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chiba\Box\共用\D-Order\Invoice\"/>
    </mc:Choice>
  </mc:AlternateContent>
  <xr:revisionPtr revIDLastSave="0" documentId="13_ncr:1_{3CE1A14B-1B76-4F0D-84C1-CC3FBB96B309}" xr6:coauthVersionLast="47" xr6:coauthVersionMax="47" xr10:uidLastSave="{00000000-0000-0000-0000-000000000000}"/>
  <bookViews>
    <workbookView xWindow="-120" yWindow="-120" windowWidth="29040" windowHeight="17520" tabRatio="774" xr2:uid="{00000000-000D-0000-FFFF-FFFF00000000}"/>
  </bookViews>
  <sheets>
    <sheet name="EU BackOrder" sheetId="1" r:id="rId1"/>
    <sheet name="取引先マスタ" sheetId="7" r:id="rId2"/>
    <sheet name="仕入先マスタ" sheetId="14" r:id="rId3"/>
    <sheet name="Invoice(EU)" sheetId="12" r:id="rId4"/>
    <sheet name="Invoice(SF大阪)" sheetId="13" state="hidden" r:id="rId5"/>
    <sheet name="発注書" sheetId="6" r:id="rId6"/>
    <sheet name="carton mark " sheetId="17" r:id="rId7"/>
    <sheet name="顧客連絡用シートEU" sheetId="16" r:id="rId8"/>
    <sheet name="Invoice(Sample)" sheetId="9" state="hidden" r:id="rId9"/>
  </sheets>
  <externalReferences>
    <externalReference r:id="rId10"/>
  </externalReferences>
  <definedNames>
    <definedName name="_xlnm._FilterDatabase" localSheetId="0" hidden="1">'EU BackOrder'!$A$1:$W$2139</definedName>
    <definedName name="_xlnm._FilterDatabase" localSheetId="7" hidden="1">顧客連絡用シートEU!$A$1069:$D$1098</definedName>
    <definedName name="_xlnm._FilterDatabase" localSheetId="1" hidden="1">取引先マスタ!$A$1:$I$1</definedName>
    <definedName name="_List_Currency">[1]Master!$K$2:$K$5</definedName>
    <definedName name="_List_TradeCondition">[1]Master!$D$2:$D$5</definedName>
    <definedName name="_xlnm.Print_Area" localSheetId="6">'carton mark '!$A$1:$H$51</definedName>
    <definedName name="_xlnm.Print_Area" localSheetId="0">'EU BackOrder'!$C$1:$O$2177</definedName>
    <definedName name="_xlnm.Print_Area" localSheetId="3">'Invoice(EU)'!$B$14:$K$80</definedName>
    <definedName name="_xlnm.Print_Area" localSheetId="8">'Invoice(Sample)'!$C$4:$AH$63</definedName>
    <definedName name="_xlnm.Print_Area" localSheetId="4">'Invoice(SF大阪)'!$B$14:$K$83</definedName>
    <definedName name="_xlnm.Print_Area" localSheetId="5">発注書!$B$28:$M$69</definedName>
    <definedName name="_xlnm.Print_Titles" localSheetId="3">'Invoice(EU)'!$14:$35</definedName>
    <definedName name="_xlnm.Print_Titles" localSheetId="5">発注書!$28:$37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671" i="16" l="1"/>
  <c r="D4671" i="16" s="1"/>
  <c r="F4671" i="16" s="1"/>
  <c r="E4670" i="16"/>
  <c r="D4670" i="16" s="1"/>
  <c r="F4670" i="16" s="1"/>
  <c r="E4669" i="16"/>
  <c r="D4669" i="16" s="1"/>
  <c r="F4669" i="16" s="1"/>
  <c r="E4667" i="16"/>
  <c r="D4667" i="16" s="1"/>
  <c r="F4667" i="16" s="1"/>
  <c r="E4666" i="16"/>
  <c r="D4666" i="16" s="1"/>
  <c r="F4666" i="16" s="1"/>
  <c r="E4665" i="16"/>
  <c r="D4665" i="16"/>
  <c r="F4665" i="16" s="1"/>
  <c r="E4663" i="16"/>
  <c r="E4662" i="16"/>
  <c r="D4662" i="16" s="1"/>
  <c r="F4662" i="16" s="1"/>
  <c r="E4661" i="16"/>
  <c r="D4661" i="16" s="1"/>
  <c r="D4663" i="16"/>
  <c r="F4663" i="16" s="1"/>
  <c r="I4676" i="16" l="1"/>
  <c r="H4676" i="16"/>
  <c r="F4661" i="16"/>
  <c r="V2138" i="1" l="1"/>
  <c r="S2138" i="1"/>
  <c r="J2138" i="1"/>
  <c r="Q2138" i="1" s="1"/>
  <c r="T2138" i="1" s="1"/>
  <c r="V2137" i="1"/>
  <c r="S2137" i="1"/>
  <c r="J2137" i="1"/>
  <c r="Q2137" i="1" s="1"/>
  <c r="T2137" i="1" s="1"/>
  <c r="V2136" i="1"/>
  <c r="S2136" i="1"/>
  <c r="J2136" i="1"/>
  <c r="Q2136" i="1" s="1"/>
  <c r="T2136" i="1" s="1"/>
  <c r="V2135" i="1"/>
  <c r="S2135" i="1"/>
  <c r="J2135" i="1"/>
  <c r="Q2135" i="1" s="1"/>
  <c r="T2135" i="1" s="1"/>
  <c r="V2134" i="1"/>
  <c r="S2134" i="1"/>
  <c r="J2134" i="1"/>
  <c r="Q2134" i="1" s="1"/>
  <c r="T2134" i="1" s="1"/>
  <c r="V2133" i="1"/>
  <c r="S2133" i="1"/>
  <c r="J2133" i="1"/>
  <c r="Q2133" i="1" s="1"/>
  <c r="T2133" i="1" s="1"/>
  <c r="L2133" i="1" l="1"/>
  <c r="L2138" i="1"/>
  <c r="L2137" i="1"/>
  <c r="L2136" i="1"/>
  <c r="L2135" i="1"/>
  <c r="L2134" i="1"/>
  <c r="F4655" i="16" l="1"/>
  <c r="V2125" i="1"/>
  <c r="S2125" i="1"/>
  <c r="Q2125" i="1"/>
  <c r="T2125" i="1" s="1"/>
  <c r="L2125" i="1"/>
  <c r="V2121" i="1"/>
  <c r="S2121" i="1"/>
  <c r="Q2121" i="1"/>
  <c r="T2121" i="1" s="1"/>
  <c r="L2121" i="1"/>
  <c r="V2122" i="1"/>
  <c r="T2122" i="1"/>
  <c r="S2122" i="1"/>
  <c r="V2124" i="1"/>
  <c r="S2124" i="1"/>
  <c r="Q2124" i="1"/>
  <c r="T2124" i="1" s="1"/>
  <c r="L2124" i="1"/>
  <c r="V2120" i="1"/>
  <c r="S2120" i="1"/>
  <c r="Q2120" i="1"/>
  <c r="T2120" i="1" s="1"/>
  <c r="L2120" i="1"/>
  <c r="V2116" i="1"/>
  <c r="S2116" i="1"/>
  <c r="Q2116" i="1"/>
  <c r="T2116" i="1" s="1"/>
  <c r="L2116" i="1"/>
  <c r="S2132" i="1"/>
  <c r="D4619" i="16"/>
  <c r="V2139" i="1"/>
  <c r="T2139" i="1"/>
  <c r="S2139" i="1"/>
  <c r="V2132" i="1"/>
  <c r="J2132" i="1"/>
  <c r="Q2132" i="1" s="1"/>
  <c r="T2132" i="1" s="1"/>
  <c r="T2131" i="1"/>
  <c r="S2131" i="1"/>
  <c r="G4649" i="16"/>
  <c r="L2132" i="1" l="1"/>
  <c r="G4651" i="16"/>
  <c r="G4650" i="16"/>
  <c r="F4644" i="16" l="1"/>
  <c r="V2130" i="1" l="1"/>
  <c r="V2129" i="1"/>
  <c r="T2130" i="1"/>
  <c r="S2130" i="1"/>
  <c r="S2129" i="1"/>
  <c r="T2129" i="1"/>
  <c r="L2129" i="1"/>
  <c r="V2128" i="1"/>
  <c r="S2128" i="1"/>
  <c r="J2128" i="1"/>
  <c r="Q2128" i="1" s="1"/>
  <c r="T2128" i="1" s="1"/>
  <c r="T2127" i="1"/>
  <c r="S2127" i="1"/>
  <c r="D4" i="16"/>
  <c r="D5" i="16"/>
  <c r="D6" i="16"/>
  <c r="D7" i="16"/>
  <c r="E73" i="16"/>
  <c r="E74" i="16"/>
  <c r="E75" i="16"/>
  <c r="E76" i="16"/>
  <c r="E77" i="16"/>
  <c r="E78" i="16"/>
  <c r="E79" i="16"/>
  <c r="D84" i="16"/>
  <c r="D85" i="16"/>
  <c r="D90" i="16"/>
  <c r="E122" i="16"/>
  <c r="E123" i="16"/>
  <c r="E124" i="16"/>
  <c r="E127" i="16"/>
  <c r="E128" i="16"/>
  <c r="E130" i="16"/>
  <c r="E132" i="16"/>
  <c r="E133" i="16"/>
  <c r="E134" i="16"/>
  <c r="E135" i="16"/>
  <c r="E185" i="16"/>
  <c r="E186" i="16"/>
  <c r="E187" i="16"/>
  <c r="D384" i="16"/>
  <c r="D385" i="16"/>
  <c r="D386" i="16"/>
  <c r="D387" i="16"/>
  <c r="D389" i="16"/>
  <c r="D390" i="16"/>
  <c r="D392" i="16"/>
  <c r="D393" i="16"/>
  <c r="D395" i="16"/>
  <c r="D396" i="16"/>
  <c r="D398" i="16"/>
  <c r="D404" i="16"/>
  <c r="D405" i="16"/>
  <c r="D406" i="16"/>
  <c r="D407" i="16"/>
  <c r="D408" i="16"/>
  <c r="D409" i="16"/>
  <c r="D410" i="16"/>
  <c r="D411" i="16"/>
  <c r="D412" i="16"/>
  <c r="D422" i="16"/>
  <c r="D461" i="16"/>
  <c r="D462" i="16"/>
  <c r="D525" i="16"/>
  <c r="D526" i="16"/>
  <c r="D527" i="16"/>
  <c r="D528" i="16"/>
  <c r="D529" i="16"/>
  <c r="E633" i="16"/>
  <c r="E634" i="16"/>
  <c r="E635" i="16"/>
  <c r="E636" i="16"/>
  <c r="E637" i="16"/>
  <c r="E638" i="16"/>
  <c r="E639" i="16"/>
  <c r="E640" i="16"/>
  <c r="D803" i="16"/>
  <c r="D804" i="16"/>
  <c r="D805" i="16"/>
  <c r="E825" i="16"/>
  <c r="E826" i="16"/>
  <c r="D1442" i="16"/>
  <c r="D1443" i="16"/>
  <c r="D1475" i="16"/>
  <c r="D1476" i="16"/>
  <c r="D1477" i="16"/>
  <c r="D1478" i="16"/>
  <c r="D1479" i="16"/>
  <c r="D1480" i="16"/>
  <c r="D1481" i="16"/>
  <c r="D1482" i="16"/>
  <c r="D1483" i="16"/>
  <c r="D1484" i="16"/>
  <c r="D1485" i="16"/>
  <c r="D1486" i="16"/>
  <c r="D1513" i="16"/>
  <c r="D1514" i="16"/>
  <c r="D1518" i="16"/>
  <c r="D1648" i="16"/>
  <c r="D1649" i="16"/>
  <c r="D1650" i="16"/>
  <c r="D1651" i="16"/>
  <c r="D1653" i="16"/>
  <c r="E1704" i="16"/>
  <c r="E1705" i="16"/>
  <c r="E1706" i="16"/>
  <c r="D1765" i="16"/>
  <c r="D1766" i="16"/>
  <c r="D1767" i="16"/>
  <c r="D1768" i="16"/>
  <c r="D1769" i="16"/>
  <c r="D1770" i="16"/>
  <c r="D1771" i="16"/>
  <c r="D1772" i="16"/>
  <c r="D1773" i="16"/>
  <c r="E1821" i="16"/>
  <c r="E1832" i="16"/>
  <c r="D1869" i="16"/>
  <c r="E1913" i="16"/>
  <c r="E1914" i="16"/>
  <c r="E1919" i="16"/>
  <c r="E1934" i="16"/>
  <c r="E1935" i="16"/>
  <c r="E1942" i="16"/>
  <c r="E1943" i="16"/>
  <c r="E1944" i="16"/>
  <c r="E1945" i="16"/>
  <c r="D1976" i="16"/>
  <c r="D1977" i="16"/>
  <c r="D1978" i="16"/>
  <c r="D1979" i="16"/>
  <c r="E2072" i="16"/>
  <c r="E2165" i="16"/>
  <c r="D2250" i="16"/>
  <c r="E2356" i="16"/>
  <c r="E2357" i="16"/>
  <c r="E2387" i="16"/>
  <c r="E2388" i="16"/>
  <c r="E2497" i="16"/>
  <c r="E2498" i="16"/>
  <c r="E2499" i="16"/>
  <c r="E2500" i="16"/>
  <c r="E2542" i="16"/>
  <c r="E2557" i="16"/>
  <c r="D2562" i="16"/>
  <c r="E2562" i="16"/>
  <c r="D2651" i="16"/>
  <c r="E2651" i="16" s="1"/>
  <c r="E2652" i="16"/>
  <c r="E2667" i="16"/>
  <c r="E2668" i="16"/>
  <c r="E2671" i="16"/>
  <c r="E2672" i="16"/>
  <c r="E2673" i="16"/>
  <c r="E2674" i="16" s="1"/>
  <c r="E2682" i="16"/>
  <c r="E2686" i="16"/>
  <c r="E2687" i="16"/>
  <c r="E2688" i="16"/>
  <c r="E2691" i="16"/>
  <c r="E2692" i="16"/>
  <c r="E2693" i="16"/>
  <c r="E2694" i="16"/>
  <c r="E2698" i="16"/>
  <c r="E2699" i="16"/>
  <c r="E2720" i="16"/>
  <c r="D2720" i="16" s="1"/>
  <c r="E2721" i="16"/>
  <c r="D2721" i="16" s="1"/>
  <c r="E2727" i="16"/>
  <c r="D2727" i="16" s="1"/>
  <c r="E2733" i="16"/>
  <c r="B2733" i="16" s="1"/>
  <c r="E2764" i="16"/>
  <c r="E2765" i="16"/>
  <c r="E2766" i="16"/>
  <c r="E2767" i="16"/>
  <c r="E2768" i="16"/>
  <c r="E2769" i="16"/>
  <c r="E2770" i="16"/>
  <c r="E2771" i="16"/>
  <c r="E2772" i="16"/>
  <c r="E2773" i="16"/>
  <c r="E2774" i="16"/>
  <c r="E2775" i="16"/>
  <c r="E2776" i="16"/>
  <c r="E2780" i="16"/>
  <c r="E2781" i="16"/>
  <c r="E2782" i="16"/>
  <c r="E2783" i="16"/>
  <c r="E2784" i="16"/>
  <c r="E2785" i="16"/>
  <c r="E2786" i="16"/>
  <c r="E2787" i="16"/>
  <c r="E2788" i="16"/>
  <c r="E2789" i="16"/>
  <c r="E2790" i="16"/>
  <c r="E2799" i="16"/>
  <c r="E2816" i="16"/>
  <c r="E2817" i="16"/>
  <c r="E2818" i="16"/>
  <c r="E2819" i="16"/>
  <c r="E2820" i="16"/>
  <c r="E2828" i="16"/>
  <c r="E2835" i="16"/>
  <c r="E2837" i="16"/>
  <c r="E2839" i="16"/>
  <c r="E2841" i="16"/>
  <c r="E2850" i="16"/>
  <c r="D2867" i="16"/>
  <c r="E2868" i="16"/>
  <c r="D2868" i="16" s="1"/>
  <c r="D2869" i="16"/>
  <c r="E2870" i="16"/>
  <c r="D2870" i="16" s="1"/>
  <c r="D2872" i="16"/>
  <c r="E2873" i="16"/>
  <c r="D2873" i="16" s="1"/>
  <c r="D2875" i="16"/>
  <c r="E2876" i="16"/>
  <c r="D2876" i="16" s="1"/>
  <c r="D2967" i="16"/>
  <c r="E2968" i="16"/>
  <c r="D2968" i="16" s="1"/>
  <c r="D2969" i="16"/>
  <c r="E2970" i="16"/>
  <c r="D2970" i="16" s="1"/>
  <c r="D2975" i="16"/>
  <c r="E2976" i="16"/>
  <c r="D2976" i="16" s="1"/>
  <c r="D2977" i="16"/>
  <c r="E2978" i="16"/>
  <c r="D2978" i="16" s="1"/>
  <c r="E2988" i="16"/>
  <c r="D2988" i="16" s="1"/>
  <c r="E2993" i="16"/>
  <c r="E2994" i="16"/>
  <c r="E2995" i="16"/>
  <c r="E2996" i="16"/>
  <c r="E2997" i="16"/>
  <c r="E2998" i="16"/>
  <c r="E2999" i="16"/>
  <c r="E3000" i="16"/>
  <c r="E3001" i="16"/>
  <c r="E3002" i="16"/>
  <c r="E3003" i="16"/>
  <c r="E3004" i="16"/>
  <c r="E3005" i="16"/>
  <c r="E3006" i="16"/>
  <c r="E3007" i="16"/>
  <c r="E3008" i="16"/>
  <c r="E3009" i="16"/>
  <c r="E3010" i="16"/>
  <c r="E3011" i="16"/>
  <c r="E3020" i="16"/>
  <c r="D3020" i="16" s="1"/>
  <c r="E3025" i="16"/>
  <c r="D3025" i="16" s="1"/>
  <c r="E3026" i="16"/>
  <c r="D3026" i="16" s="1"/>
  <c r="E3027" i="16"/>
  <c r="D3027" i="16" s="1"/>
  <c r="E3077" i="16"/>
  <c r="E3079" i="16"/>
  <c r="E3080" i="16"/>
  <c r="E3081" i="16"/>
  <c r="E3082" i="16"/>
  <c r="E3083" i="16"/>
  <c r="E3084" i="16"/>
  <c r="E3099" i="16"/>
  <c r="D3099" i="16" s="1"/>
  <c r="E3100" i="16"/>
  <c r="E3101" i="16"/>
  <c r="E3149" i="16"/>
  <c r="D3149" i="16" s="1"/>
  <c r="E3150" i="16"/>
  <c r="D3150" i="16" s="1"/>
  <c r="E3151" i="16"/>
  <c r="D3151" i="16" s="1"/>
  <c r="E3152" i="16"/>
  <c r="D3152" i="16" s="1"/>
  <c r="E3159" i="16"/>
  <c r="E3161" i="16"/>
  <c r="D3241" i="16"/>
  <c r="E3241" i="16"/>
  <c r="D3242" i="16"/>
  <c r="E3242" i="16" s="1"/>
  <c r="D3243" i="16"/>
  <c r="E3243" i="16"/>
  <c r="E3309" i="16"/>
  <c r="E3310" i="16"/>
  <c r="E3311" i="16"/>
  <c r="E3330" i="16"/>
  <c r="E3334" i="16"/>
  <c r="E3335" i="16"/>
  <c r="E3336" i="16"/>
  <c r="E3337" i="16"/>
  <c r="E3404" i="16"/>
  <c r="E3405" i="16"/>
  <c r="E3406" i="16"/>
  <c r="E3407" i="16"/>
  <c r="E3408" i="16"/>
  <c r="E3409" i="16"/>
  <c r="E3410" i="16"/>
  <c r="E3411" i="16"/>
  <c r="E3412" i="16"/>
  <c r="E3413" i="16"/>
  <c r="E3414" i="16"/>
  <c r="E3415" i="16"/>
  <c r="D3416" i="16"/>
  <c r="E3436" i="16"/>
  <c r="E3437" i="16"/>
  <c r="E3438" i="16"/>
  <c r="E3439" i="16"/>
  <c r="E3440" i="16"/>
  <c r="E3441" i="16"/>
  <c r="E3442" i="16"/>
  <c r="E3443" i="16"/>
  <c r="E3444" i="16"/>
  <c r="E3448" i="16"/>
  <c r="E3449" i="16"/>
  <c r="E3450" i="16"/>
  <c r="E3451" i="16"/>
  <c r="E3452" i="16"/>
  <c r="E3453" i="16"/>
  <c r="E3454" i="16"/>
  <c r="E3455" i="16"/>
  <c r="E3456" i="16"/>
  <c r="E3457" i="16"/>
  <c r="E3458" i="16"/>
  <c r="E3463" i="16"/>
  <c r="E3464" i="16"/>
  <c r="E3465" i="16"/>
  <c r="E3466" i="16"/>
  <c r="E3467" i="16"/>
  <c r="E3468" i="16"/>
  <c r="E3469" i="16"/>
  <c r="E3470" i="16"/>
  <c r="E3471" i="16"/>
  <c r="E3476" i="16"/>
  <c r="E3477" i="16"/>
  <c r="E3478" i="16"/>
  <c r="E3479" i="16"/>
  <c r="E3480" i="16"/>
  <c r="E3481" i="16"/>
  <c r="E3482" i="16"/>
  <c r="E3483" i="16"/>
  <c r="E3484" i="16"/>
  <c r="E3485" i="16"/>
  <c r="E3486" i="16"/>
  <c r="E3504" i="16"/>
  <c r="E3505" i="16"/>
  <c r="E3506" i="16"/>
  <c r="E3518" i="16"/>
  <c r="D3518" i="16" s="1"/>
  <c r="D3522" i="16"/>
  <c r="D3523" i="16"/>
  <c r="D3524" i="16"/>
  <c r="D3525" i="16"/>
  <c r="D3526" i="16"/>
  <c r="D3527" i="16"/>
  <c r="D3528" i="16"/>
  <c r="D3529" i="16"/>
  <c r="D3530" i="16"/>
  <c r="D3531" i="16"/>
  <c r="D3532" i="16"/>
  <c r="E3548" i="16"/>
  <c r="E3549" i="16"/>
  <c r="E3550" i="16"/>
  <c r="E3642" i="16"/>
  <c r="E3650" i="16"/>
  <c r="E3675" i="16"/>
  <c r="E3676" i="16"/>
  <c r="E3677" i="16"/>
  <c r="E3684" i="16"/>
  <c r="E3686" i="16"/>
  <c r="E3721" i="16"/>
  <c r="E3727" i="16"/>
  <c r="E3729" i="16"/>
  <c r="D3733" i="16"/>
  <c r="E3733" i="16" s="1"/>
  <c r="D3734" i="16"/>
  <c r="E3734" i="16"/>
  <c r="D3735" i="16"/>
  <c r="E3735" i="16" s="1"/>
  <c r="D3736" i="16"/>
  <c r="E3736" i="16" s="1"/>
  <c r="D3747" i="16"/>
  <c r="E3747" i="16" s="1"/>
  <c r="D3748" i="16"/>
  <c r="E3748" i="16" s="1"/>
  <c r="D3749" i="16"/>
  <c r="E3749" i="16" s="1"/>
  <c r="D3750" i="16"/>
  <c r="E3750" i="16" s="1"/>
  <c r="D3755" i="16"/>
  <c r="E3755" i="16" s="1"/>
  <c r="D3756" i="16"/>
  <c r="E3756" i="16"/>
  <c r="D3757" i="16"/>
  <c r="E3757" i="16" s="1"/>
  <c r="D3761" i="16"/>
  <c r="D3762" i="16" s="1"/>
  <c r="E3811" i="16"/>
  <c r="E3813" i="16"/>
  <c r="E3815" i="16"/>
  <c r="E3820" i="16"/>
  <c r="E3822" i="16"/>
  <c r="E3824" i="16"/>
  <c r="E3826" i="16"/>
  <c r="E3831" i="16"/>
  <c r="E3832" i="16"/>
  <c r="E3833" i="16"/>
  <c r="E3834" i="16"/>
  <c r="E3835" i="16"/>
  <c r="E3836" i="16"/>
  <c r="E3837" i="16"/>
  <c r="E3838" i="16"/>
  <c r="E3855" i="16"/>
  <c r="E3856" i="16"/>
  <c r="E3857" i="16"/>
  <c r="E3894" i="16"/>
  <c r="E3912" i="16"/>
  <c r="D3912" i="16" s="1"/>
  <c r="D3913" i="16"/>
  <c r="E3914" i="16"/>
  <c r="D3914" i="16" s="1"/>
  <c r="D3915" i="16"/>
  <c r="E3916" i="16"/>
  <c r="D3916" i="16" s="1"/>
  <c r="D3917" i="16"/>
  <c r="E3923" i="16"/>
  <c r="E3953" i="16"/>
  <c r="E3954" i="16"/>
  <c r="D3958" i="16"/>
  <c r="E3958" i="16"/>
  <c r="E3979" i="16"/>
  <c r="E3984" i="16"/>
  <c r="E3985" i="16"/>
  <c r="E3986" i="16"/>
  <c r="E3987" i="16"/>
  <c r="E4030" i="16"/>
  <c r="E4095" i="16"/>
  <c r="E4096" i="16"/>
  <c r="E4133" i="16"/>
  <c r="D4133" i="16" s="1"/>
  <c r="D4134" i="16"/>
  <c r="E4135" i="16"/>
  <c r="D4135" i="16" s="1"/>
  <c r="D4136" i="16"/>
  <c r="E4138" i="16"/>
  <c r="D4138" i="16" s="1"/>
  <c r="D4139" i="16"/>
  <c r="E4140" i="16"/>
  <c r="D4140" i="16" s="1"/>
  <c r="D4141" i="16"/>
  <c r="E4181" i="16"/>
  <c r="D4242" i="16"/>
  <c r="E4248" i="16"/>
  <c r="E4249" i="16"/>
  <c r="E4250" i="16"/>
  <c r="E4251" i="16"/>
  <c r="E4252" i="16"/>
  <c r="E4253" i="16"/>
  <c r="E4255" i="16"/>
  <c r="E4256" i="16"/>
  <c r="E4257" i="16"/>
  <c r="E4258" i="16"/>
  <c r="E4259" i="16"/>
  <c r="E4260" i="16"/>
  <c r="E4261" i="16"/>
  <c r="E4267" i="16"/>
  <c r="E4268" i="16"/>
  <c r="E4269" i="16"/>
  <c r="E4270" i="16"/>
  <c r="E4271" i="16"/>
  <c r="E4272" i="16"/>
  <c r="E4277" i="16"/>
  <c r="E4279" i="16"/>
  <c r="D4328" i="16"/>
  <c r="D4330" i="16"/>
  <c r="D4332" i="16"/>
  <c r="E4339" i="16"/>
  <c r="D4339" i="16" s="1"/>
  <c r="D4340" i="16"/>
  <c r="E4341" i="16"/>
  <c r="D4341" i="16" s="1"/>
  <c r="D4342" i="16"/>
  <c r="D4351" i="16"/>
  <c r="D4353" i="16"/>
  <c r="D4355" i="16"/>
  <c r="D4357" i="16"/>
  <c r="D4359" i="16"/>
  <c r="D4361" i="16"/>
  <c r="D4363" i="16"/>
  <c r="D4365" i="16"/>
  <c r="D4367" i="16"/>
  <c r="D4369" i="16"/>
  <c r="D4371" i="16"/>
  <c r="E4387" i="16"/>
  <c r="E4388" i="16"/>
  <c r="E4389" i="16"/>
  <c r="E4391" i="16"/>
  <c r="E4392" i="16"/>
  <c r="E4393" i="16"/>
  <c r="E4394" i="16"/>
  <c r="E4411" i="16"/>
  <c r="E4412" i="16"/>
  <c r="E4413" i="16"/>
  <c r="E4415" i="16"/>
  <c r="E4416" i="16"/>
  <c r="E4417" i="16"/>
  <c r="E4418" i="16"/>
  <c r="E4466" i="16"/>
  <c r="E4467" i="16"/>
  <c r="E4468" i="16"/>
  <c r="E4469" i="16"/>
  <c r="E4475" i="16"/>
  <c r="E4476" i="16"/>
  <c r="D4579" i="16"/>
  <c r="D4580" i="16"/>
  <c r="D4581" i="16"/>
  <c r="D4582" i="16"/>
  <c r="D4583" i="16"/>
  <c r="D4584" i="16"/>
  <c r="D4585" i="16"/>
  <c r="D4586" i="16"/>
  <c r="E4591" i="16"/>
  <c r="D4597" i="16"/>
  <c r="D4598" i="16"/>
  <c r="D4603" i="16"/>
  <c r="D4604" i="16"/>
  <c r="D4605" i="16"/>
  <c r="D4606" i="16"/>
  <c r="E4618" i="16"/>
  <c r="D4618" i="16" s="1"/>
  <c r="E4620" i="16"/>
  <c r="D4620" i="16" s="1"/>
  <c r="D4621" i="16"/>
  <c r="B1281" i="16"/>
  <c r="B1282" i="16"/>
  <c r="B1283" i="16"/>
  <c r="B2421" i="16"/>
  <c r="B2422" i="16"/>
  <c r="B2423" i="16"/>
  <c r="B2732" i="16"/>
  <c r="B2741" i="16"/>
  <c r="B2742" i="16"/>
  <c r="B2743" i="16"/>
  <c r="B2744" i="16"/>
  <c r="B2745" i="16"/>
  <c r="B3057" i="16"/>
  <c r="D3057" i="16" s="1"/>
  <c r="B3064" i="16"/>
  <c r="D3064" i="16" s="1"/>
  <c r="B3065" i="16"/>
  <c r="D3065" i="16" s="1"/>
  <c r="B3066" i="16"/>
  <c r="D3066" i="16" s="1"/>
  <c r="B3737" i="16"/>
  <c r="B3752" i="16"/>
  <c r="B3758" i="16"/>
  <c r="B3762" i="16"/>
  <c r="D807" i="16" l="1"/>
  <c r="E2695" i="16"/>
  <c r="E3678" i="16"/>
  <c r="D465" i="16"/>
  <c r="D8" i="16"/>
  <c r="E3761" i="16"/>
  <c r="E3762" i="16" s="1"/>
  <c r="E3758" i="16"/>
  <c r="E4477" i="16"/>
  <c r="D3758" i="16"/>
  <c r="D3752" i="16"/>
  <c r="D3737" i="16"/>
  <c r="E3737" i="16"/>
  <c r="L2128" i="1"/>
  <c r="E3752" i="16"/>
  <c r="E4395" i="16"/>
  <c r="D399" i="16"/>
  <c r="D414" i="16"/>
  <c r="E3012" i="16"/>
  <c r="E4419" i="16"/>
  <c r="V2126" i="1"/>
  <c r="T2126" i="1"/>
  <c r="S2126" i="1"/>
  <c r="V2119" i="1"/>
  <c r="S2119" i="1"/>
  <c r="Q2119" i="1"/>
  <c r="T2119" i="1" s="1"/>
  <c r="L2119" i="1"/>
  <c r="V2118" i="1"/>
  <c r="S2118" i="1"/>
  <c r="Q2118" i="1"/>
  <c r="T2118" i="1" s="1"/>
  <c r="L2118" i="1"/>
  <c r="V2115" i="1"/>
  <c r="S2115" i="1"/>
  <c r="Q2115" i="1"/>
  <c r="T2115" i="1" s="1"/>
  <c r="L2115" i="1"/>
  <c r="V2114" i="1"/>
  <c r="S2114" i="1"/>
  <c r="Q2114" i="1"/>
  <c r="T2114" i="1" s="1"/>
  <c r="L2114" i="1"/>
  <c r="V2111" i="1"/>
  <c r="S2111" i="1"/>
  <c r="Q2111" i="1"/>
  <c r="T2111" i="1" s="1"/>
  <c r="V2110" i="1"/>
  <c r="S2110" i="1"/>
  <c r="Q2110" i="1"/>
  <c r="T2110" i="1" s="1"/>
  <c r="L2110" i="1"/>
  <c r="W2110" i="1" l="1"/>
  <c r="V2109" i="1"/>
  <c r="S2109" i="1"/>
  <c r="Q2109" i="1"/>
  <c r="T2109" i="1" s="1"/>
  <c r="W2112" i="1"/>
  <c r="W2111" i="1"/>
  <c r="L2111" i="1"/>
  <c r="L2109" i="1"/>
  <c r="F4620" i="16" l="1"/>
  <c r="F4618" i="16"/>
  <c r="F4621" i="16"/>
  <c r="F4619" i="16"/>
  <c r="C4605" i="16"/>
  <c r="E4605" i="16" s="1"/>
  <c r="C4604" i="16"/>
  <c r="E4604" i="16" s="1"/>
  <c r="C4603" i="16"/>
  <c r="E4603" i="16" s="1"/>
  <c r="C4606" i="16"/>
  <c r="E4606" i="16" s="1"/>
  <c r="F4598" i="16"/>
  <c r="F4597" i="16"/>
  <c r="P2095" i="1" l="1"/>
  <c r="V2107" i="1" l="1"/>
  <c r="T2107" i="1"/>
  <c r="S2107" i="1"/>
  <c r="V2106" i="1"/>
  <c r="S2106" i="1"/>
  <c r="Q2106" i="1"/>
  <c r="T2106" i="1" s="1"/>
  <c r="L2106" i="1"/>
  <c r="V2105" i="1"/>
  <c r="S2105" i="1"/>
  <c r="J2105" i="1"/>
  <c r="Q2105" i="1" s="1"/>
  <c r="T2105" i="1" s="1"/>
  <c r="T2104" i="1"/>
  <c r="S2104" i="1"/>
  <c r="F4586" i="16"/>
  <c r="F4585" i="16"/>
  <c r="F4584" i="16"/>
  <c r="F4583" i="16"/>
  <c r="F4582" i="16"/>
  <c r="F4581" i="16"/>
  <c r="F4580" i="16"/>
  <c r="F4579" i="16"/>
  <c r="L2105" i="1" l="1"/>
  <c r="V2103" i="1"/>
  <c r="T2103" i="1"/>
  <c r="S2103" i="1"/>
  <c r="V2102" i="1"/>
  <c r="S2102" i="1"/>
  <c r="Q2102" i="1"/>
  <c r="T2102" i="1" s="1"/>
  <c r="L2102" i="1"/>
  <c r="V2101" i="1"/>
  <c r="S2101" i="1"/>
  <c r="Q2101" i="1"/>
  <c r="T2101" i="1" s="1"/>
  <c r="L2101" i="1"/>
  <c r="V2099" i="1"/>
  <c r="S2099" i="1"/>
  <c r="Q2099" i="1"/>
  <c r="T2099" i="1" s="1"/>
  <c r="L2099" i="1"/>
  <c r="V2098" i="1"/>
  <c r="S2098" i="1"/>
  <c r="Q2098" i="1"/>
  <c r="T2098" i="1" s="1"/>
  <c r="L2098" i="1"/>
  <c r="H4564" i="16"/>
  <c r="F4564" i="16"/>
  <c r="H4563" i="16"/>
  <c r="F4563" i="16"/>
  <c r="H4561" i="16"/>
  <c r="F4561" i="16"/>
  <c r="H4560" i="16"/>
  <c r="F4560" i="16"/>
  <c r="H4558" i="16"/>
  <c r="F4558" i="16"/>
  <c r="H4557" i="16"/>
  <c r="F4557" i="16"/>
  <c r="H4556" i="16"/>
  <c r="F4556" i="16"/>
  <c r="H4555" i="16"/>
  <c r="F4555" i="16"/>
  <c r="H4553" i="16"/>
  <c r="F4553" i="16"/>
  <c r="H4552" i="16"/>
  <c r="F4552" i="16"/>
  <c r="H4550" i="16"/>
  <c r="F4550" i="16"/>
  <c r="H4549" i="16"/>
  <c r="F4549" i="16"/>
  <c r="H4548" i="16"/>
  <c r="F4548" i="16"/>
  <c r="H4546" i="16"/>
  <c r="F4546" i="16"/>
  <c r="H4545" i="16"/>
  <c r="F4545" i="16"/>
  <c r="H4544" i="16"/>
  <c r="F4544" i="16"/>
  <c r="H4543" i="16"/>
  <c r="F4543" i="16"/>
  <c r="H4541" i="16"/>
  <c r="F4541" i="16"/>
  <c r="H4539" i="16"/>
  <c r="F4539" i="16"/>
  <c r="H4538" i="16"/>
  <c r="F4538" i="16"/>
  <c r="H4537" i="16"/>
  <c r="F4537" i="16"/>
  <c r="H4536" i="16"/>
  <c r="F4536" i="16"/>
  <c r="H4535" i="16"/>
  <c r="F4535" i="16"/>
  <c r="H4533" i="16"/>
  <c r="F4533" i="16"/>
  <c r="H4532" i="16"/>
  <c r="F4532" i="16"/>
  <c r="H4531" i="16"/>
  <c r="F4531" i="16"/>
  <c r="V2094" i="1"/>
  <c r="S2094" i="1"/>
  <c r="Q2094" i="1"/>
  <c r="T2094" i="1" s="1"/>
  <c r="L2094" i="1"/>
  <c r="J2094" i="1"/>
  <c r="V2093" i="1"/>
  <c r="S2093" i="1"/>
  <c r="Q2093" i="1"/>
  <c r="T2093" i="1" s="1"/>
  <c r="L2093" i="1"/>
  <c r="J2093" i="1"/>
  <c r="W2092" i="1"/>
  <c r="V2063" i="1"/>
  <c r="S2063" i="1"/>
  <c r="Q2063" i="1"/>
  <c r="T2063" i="1" s="1"/>
  <c r="L2063" i="1"/>
  <c r="J2063" i="1"/>
  <c r="H4526" i="16" l="1"/>
  <c r="F4526" i="16"/>
  <c r="H4525" i="16"/>
  <c r="F4525" i="16"/>
  <c r="H4523" i="16"/>
  <c r="F4523" i="16"/>
  <c r="H4522" i="16"/>
  <c r="F4522" i="16"/>
  <c r="H4521" i="16"/>
  <c r="F4521" i="16"/>
  <c r="H4520" i="16"/>
  <c r="F4520" i="16"/>
  <c r="H4518" i="16"/>
  <c r="F4518" i="16"/>
  <c r="H4517" i="16"/>
  <c r="F4517" i="16"/>
  <c r="H4515" i="16"/>
  <c r="F4515" i="16"/>
  <c r="H4514" i="16"/>
  <c r="F4514" i="16"/>
  <c r="H4513" i="16"/>
  <c r="F4513" i="16"/>
  <c r="H4511" i="16"/>
  <c r="F4511" i="16"/>
  <c r="H4510" i="16"/>
  <c r="F4510" i="16"/>
  <c r="H4509" i="16"/>
  <c r="F4509" i="16"/>
  <c r="H4508" i="16"/>
  <c r="F4508" i="16"/>
  <c r="H4506" i="16"/>
  <c r="F4506" i="16"/>
  <c r="H4504" i="16"/>
  <c r="F4504" i="16"/>
  <c r="H4503" i="16"/>
  <c r="F4503" i="16"/>
  <c r="H4502" i="16"/>
  <c r="F4502" i="16"/>
  <c r="H4501" i="16"/>
  <c r="F4501" i="16"/>
  <c r="H4500" i="16"/>
  <c r="F4500" i="16"/>
  <c r="H4498" i="16"/>
  <c r="F4498" i="16"/>
  <c r="H4497" i="16"/>
  <c r="F4497" i="16"/>
  <c r="H4492" i="16"/>
  <c r="F4492" i="16"/>
  <c r="H4491" i="16"/>
  <c r="F4491" i="16"/>
  <c r="L2091" i="1"/>
  <c r="V2096" i="1"/>
  <c r="T2096" i="1"/>
  <c r="S2096" i="1"/>
  <c r="V2095" i="1"/>
  <c r="S2095" i="1"/>
  <c r="Q2095" i="1"/>
  <c r="T2095" i="1" s="1"/>
  <c r="V2091" i="1"/>
  <c r="S2091" i="1"/>
  <c r="Q2091" i="1"/>
  <c r="T2091" i="1" s="1"/>
  <c r="J2091" i="1"/>
  <c r="V2090" i="1"/>
  <c r="S2090" i="1"/>
  <c r="Q2090" i="1"/>
  <c r="T2090" i="1" s="1"/>
  <c r="L2090" i="1"/>
  <c r="J2090" i="1"/>
  <c r="V2089" i="1"/>
  <c r="T2089" i="1"/>
  <c r="S2089" i="1"/>
  <c r="V2088" i="1"/>
  <c r="S2088" i="1"/>
  <c r="Q2088" i="1"/>
  <c r="T2088" i="1" s="1"/>
  <c r="L2088" i="1"/>
  <c r="J2088" i="1"/>
  <c r="V2087" i="1"/>
  <c r="S2087" i="1"/>
  <c r="Q2087" i="1"/>
  <c r="T2087" i="1" s="1"/>
  <c r="L2087" i="1"/>
  <c r="J2087" i="1"/>
  <c r="V2086" i="1"/>
  <c r="S2086" i="1"/>
  <c r="Q2086" i="1"/>
  <c r="T2086" i="1" s="1"/>
  <c r="L2086" i="1"/>
  <c r="J2086" i="1"/>
  <c r="V2085" i="1"/>
  <c r="S2085" i="1"/>
  <c r="Q2085" i="1"/>
  <c r="T2085" i="1" s="1"/>
  <c r="L2085" i="1"/>
  <c r="J2085" i="1"/>
  <c r="T2084" i="1"/>
  <c r="S2084" i="1"/>
  <c r="J2082" i="1"/>
  <c r="J2083" i="1"/>
  <c r="V2083" i="1"/>
  <c r="S2083" i="1"/>
  <c r="Q2083" i="1"/>
  <c r="T2083" i="1" s="1"/>
  <c r="L2083" i="1"/>
  <c r="V2082" i="1"/>
  <c r="S2082" i="1"/>
  <c r="Q2082" i="1"/>
  <c r="T2082" i="1" s="1"/>
  <c r="L2082" i="1"/>
  <c r="T2081" i="1"/>
  <c r="S2081" i="1"/>
  <c r="V2080" i="1"/>
  <c r="S2080" i="1"/>
  <c r="Q2080" i="1"/>
  <c r="T2080" i="1" s="1"/>
  <c r="L2080" i="1"/>
  <c r="J2080" i="1"/>
  <c r="V2079" i="1"/>
  <c r="S2079" i="1"/>
  <c r="Q2079" i="1"/>
  <c r="T2079" i="1" s="1"/>
  <c r="L2079" i="1"/>
  <c r="J2079" i="1"/>
  <c r="V2078" i="1"/>
  <c r="S2078" i="1"/>
  <c r="Q2078" i="1"/>
  <c r="T2078" i="1" s="1"/>
  <c r="L2078" i="1"/>
  <c r="J2078" i="1"/>
  <c r="T2077" i="1"/>
  <c r="S2077" i="1"/>
  <c r="V2076" i="1"/>
  <c r="S2076" i="1"/>
  <c r="Q2076" i="1"/>
  <c r="T2076" i="1" s="1"/>
  <c r="L2076" i="1"/>
  <c r="J2076" i="1"/>
  <c r="V2075" i="1"/>
  <c r="S2075" i="1"/>
  <c r="Q2075" i="1"/>
  <c r="T2075" i="1" s="1"/>
  <c r="L2075" i="1"/>
  <c r="J2075" i="1"/>
  <c r="V2074" i="1"/>
  <c r="S2074" i="1"/>
  <c r="Q2074" i="1"/>
  <c r="T2074" i="1" s="1"/>
  <c r="L2074" i="1"/>
  <c r="J2074" i="1"/>
  <c r="V2073" i="1"/>
  <c r="S2073" i="1"/>
  <c r="Q2073" i="1"/>
  <c r="T2073" i="1" s="1"/>
  <c r="L2073" i="1"/>
  <c r="J2073" i="1"/>
  <c r="T2072" i="1"/>
  <c r="S2072" i="1"/>
  <c r="V2071" i="1"/>
  <c r="S2071" i="1"/>
  <c r="Q2071" i="1"/>
  <c r="T2071" i="1" s="1"/>
  <c r="L2071" i="1"/>
  <c r="J2071" i="1"/>
  <c r="T2070" i="1"/>
  <c r="S2070" i="1"/>
  <c r="J2069" i="1"/>
  <c r="J2068" i="1"/>
  <c r="J2067" i="1"/>
  <c r="J2066" i="1"/>
  <c r="J2065" i="1"/>
  <c r="V2069" i="1"/>
  <c r="S2069" i="1"/>
  <c r="Q2069" i="1"/>
  <c r="T2069" i="1" s="1"/>
  <c r="L2069" i="1"/>
  <c r="V2068" i="1"/>
  <c r="S2068" i="1"/>
  <c r="Q2068" i="1"/>
  <c r="T2068" i="1" s="1"/>
  <c r="L2068" i="1"/>
  <c r="V2067" i="1"/>
  <c r="S2067" i="1"/>
  <c r="Q2067" i="1"/>
  <c r="T2067" i="1" s="1"/>
  <c r="L2067" i="1"/>
  <c r="V2066" i="1"/>
  <c r="S2066" i="1"/>
  <c r="Q2066" i="1"/>
  <c r="T2066" i="1" s="1"/>
  <c r="L2066" i="1"/>
  <c r="V2065" i="1"/>
  <c r="S2065" i="1"/>
  <c r="Q2065" i="1"/>
  <c r="T2065" i="1" s="1"/>
  <c r="L2065" i="1"/>
  <c r="T2064" i="1"/>
  <c r="S2064" i="1"/>
  <c r="J2062" i="1"/>
  <c r="V2062" i="1"/>
  <c r="S2062" i="1"/>
  <c r="Q2062" i="1"/>
  <c r="T2062" i="1" s="1"/>
  <c r="L2062" i="1"/>
  <c r="W2061" i="1" l="1"/>
  <c r="W4486" i="16"/>
  <c r="V4485" i="16"/>
  <c r="S4485" i="16"/>
  <c r="Q4485" i="16"/>
  <c r="T4485" i="16" s="1"/>
  <c r="L4485" i="16"/>
  <c r="V4484" i="16"/>
  <c r="S4484" i="16"/>
  <c r="J4484" i="16"/>
  <c r="Q4484" i="16" s="1"/>
  <c r="T4484" i="16" s="1"/>
  <c r="V4483" i="16"/>
  <c r="S4483" i="16"/>
  <c r="J4483" i="16"/>
  <c r="Q4483" i="16" s="1"/>
  <c r="T4483" i="16" s="1"/>
  <c r="V4481" i="16"/>
  <c r="S4481" i="16"/>
  <c r="J4481" i="16"/>
  <c r="Q4481" i="16" s="1"/>
  <c r="T4481" i="16" s="1"/>
  <c r="V4480" i="16"/>
  <c r="S4480" i="16"/>
  <c r="J4480" i="16"/>
  <c r="Q4480" i="16" s="1"/>
  <c r="T4480" i="16" s="1"/>
  <c r="P2059" i="1"/>
  <c r="L4481" i="16" l="1"/>
  <c r="L4484" i="16"/>
  <c r="L4480" i="16"/>
  <c r="L4483" i="16"/>
  <c r="V2060" i="1"/>
  <c r="T2060" i="1"/>
  <c r="S2060" i="1"/>
  <c r="V2059" i="1"/>
  <c r="S2059" i="1"/>
  <c r="Q2059" i="1"/>
  <c r="T2059" i="1" s="1"/>
  <c r="L2059" i="1"/>
  <c r="L2058" i="1"/>
  <c r="V2058" i="1"/>
  <c r="S2058" i="1"/>
  <c r="Q2058" i="1"/>
  <c r="T2058" i="1" s="1"/>
  <c r="V2057" i="1"/>
  <c r="S2057" i="1"/>
  <c r="Q2057" i="1"/>
  <c r="T2057" i="1" s="1"/>
  <c r="J2055" i="1" l="1"/>
  <c r="V2056" i="1"/>
  <c r="T2056" i="1"/>
  <c r="S2056" i="1"/>
  <c r="V2055" i="1"/>
  <c r="S2055" i="1"/>
  <c r="T2054" i="1"/>
  <c r="S2054" i="1"/>
  <c r="H4462" i="16"/>
  <c r="F4462" i="16"/>
  <c r="H4461" i="16"/>
  <c r="F4461" i="16"/>
  <c r="H4460" i="16"/>
  <c r="F4460" i="16"/>
  <c r="H4459" i="16"/>
  <c r="F4459" i="16"/>
  <c r="H4457" i="16"/>
  <c r="F4457" i="16"/>
  <c r="H4456" i="16"/>
  <c r="F4456" i="16"/>
  <c r="H4454" i="16"/>
  <c r="F4454" i="16"/>
  <c r="H4453" i="16"/>
  <c r="F4453" i="16"/>
  <c r="H4452" i="16"/>
  <c r="F4452" i="16"/>
  <c r="H4451" i="16"/>
  <c r="F4451" i="16"/>
  <c r="H4450" i="16"/>
  <c r="F4450" i="16"/>
  <c r="H4449" i="16"/>
  <c r="F4449" i="16"/>
  <c r="H4448" i="16"/>
  <c r="F4448" i="16"/>
  <c r="H4447" i="16"/>
  <c r="F4447" i="16"/>
  <c r="H4446" i="16"/>
  <c r="F4446" i="16"/>
  <c r="H4445" i="16"/>
  <c r="F4445" i="16"/>
  <c r="H4444" i="16"/>
  <c r="F4444" i="16"/>
  <c r="H4443" i="16"/>
  <c r="F4443" i="16"/>
  <c r="H4442" i="16"/>
  <c r="F4442" i="16"/>
  <c r="H4441" i="16"/>
  <c r="F4441" i="16"/>
  <c r="H4440" i="16"/>
  <c r="F4440" i="16"/>
  <c r="H4439" i="16"/>
  <c r="F4439" i="16"/>
  <c r="H4438" i="16"/>
  <c r="F4438" i="16"/>
  <c r="H4437" i="16"/>
  <c r="F4437" i="16"/>
  <c r="H4436" i="16"/>
  <c r="F4436" i="16"/>
  <c r="H4435" i="16"/>
  <c r="F4435" i="16"/>
  <c r="H4434" i="16"/>
  <c r="F4434" i="16"/>
  <c r="H4433" i="16"/>
  <c r="F4433" i="16"/>
  <c r="H4432" i="16"/>
  <c r="F4432" i="16"/>
  <c r="H4431" i="16"/>
  <c r="F4431" i="16"/>
  <c r="H4430" i="16"/>
  <c r="F4430" i="16"/>
  <c r="H4429" i="16"/>
  <c r="F4429" i="16"/>
  <c r="H4428" i="16"/>
  <c r="F4428" i="16"/>
  <c r="H4427" i="16"/>
  <c r="F4427" i="16"/>
  <c r="H4426" i="16"/>
  <c r="F4426" i="16"/>
  <c r="H4425" i="16"/>
  <c r="F4425" i="16"/>
  <c r="V2052" i="1"/>
  <c r="S2052" i="1"/>
  <c r="Q2052" i="1"/>
  <c r="T2052" i="1" s="1"/>
  <c r="S2053" i="1"/>
  <c r="T2053" i="1"/>
  <c r="V2053" i="1"/>
  <c r="V2051" i="1"/>
  <c r="S2051" i="1"/>
  <c r="Q2051" i="1"/>
  <c r="T2051" i="1" s="1"/>
  <c r="L2051" i="1"/>
  <c r="J2051" i="1"/>
  <c r="V2050" i="1"/>
  <c r="S2050" i="1"/>
  <c r="Q2050" i="1"/>
  <c r="T2050" i="1" s="1"/>
  <c r="L2050" i="1"/>
  <c r="J2050" i="1"/>
  <c r="V2049" i="1"/>
  <c r="S2049" i="1"/>
  <c r="Q2049" i="1"/>
  <c r="T2049" i="1" s="1"/>
  <c r="L2049" i="1"/>
  <c r="J2049" i="1"/>
  <c r="V2048" i="1"/>
  <c r="V2047" i="1"/>
  <c r="Q2048" i="1"/>
  <c r="T2048" i="1" s="1"/>
  <c r="L2048" i="1"/>
  <c r="J2048" i="1"/>
  <c r="S2048" i="1"/>
  <c r="T2047" i="1"/>
  <c r="S2047" i="1"/>
  <c r="V2046" i="1"/>
  <c r="S2046" i="1"/>
  <c r="Q2046" i="1"/>
  <c r="T2046" i="1" s="1"/>
  <c r="L2046" i="1"/>
  <c r="J2046" i="1"/>
  <c r="V2045" i="1"/>
  <c r="S2045" i="1"/>
  <c r="Q2045" i="1"/>
  <c r="T2045" i="1" s="1"/>
  <c r="L2045" i="1"/>
  <c r="J2045" i="1"/>
  <c r="W2044" i="1"/>
  <c r="V2043" i="1"/>
  <c r="S2043" i="1"/>
  <c r="Q2043" i="1"/>
  <c r="T2043" i="1" s="1"/>
  <c r="L2043" i="1"/>
  <c r="J2043" i="1"/>
  <c r="V2042" i="1"/>
  <c r="S2042" i="1"/>
  <c r="Q2042" i="1"/>
  <c r="T2042" i="1" s="1"/>
  <c r="L2042" i="1"/>
  <c r="J2042" i="1"/>
  <c r="V2041" i="1"/>
  <c r="S2041" i="1"/>
  <c r="Q2041" i="1"/>
  <c r="T2041" i="1" s="1"/>
  <c r="L2041" i="1"/>
  <c r="J2041" i="1"/>
  <c r="V2040" i="1"/>
  <c r="S2040" i="1"/>
  <c r="Q2040" i="1"/>
  <c r="T2040" i="1" s="1"/>
  <c r="L2040" i="1"/>
  <c r="J2040" i="1"/>
  <c r="V2039" i="1"/>
  <c r="S2039" i="1"/>
  <c r="Q2039" i="1"/>
  <c r="T2039" i="1" s="1"/>
  <c r="L2039" i="1"/>
  <c r="J2039" i="1"/>
  <c r="V2038" i="1"/>
  <c r="S2038" i="1"/>
  <c r="Q2038" i="1"/>
  <c r="T2038" i="1" s="1"/>
  <c r="L2038" i="1"/>
  <c r="J2038" i="1"/>
  <c r="V2037" i="1"/>
  <c r="S2037" i="1"/>
  <c r="Q2037" i="1"/>
  <c r="T2037" i="1" s="1"/>
  <c r="L2037" i="1"/>
  <c r="J2037" i="1"/>
  <c r="V2036" i="1"/>
  <c r="S2036" i="1"/>
  <c r="Q2036" i="1"/>
  <c r="T2036" i="1" s="1"/>
  <c r="L2036" i="1"/>
  <c r="J2036" i="1"/>
  <c r="V2035" i="1"/>
  <c r="S2035" i="1"/>
  <c r="Q2035" i="1"/>
  <c r="T2035" i="1" s="1"/>
  <c r="L2035" i="1"/>
  <c r="J2035" i="1"/>
  <c r="V2034" i="1"/>
  <c r="S2034" i="1"/>
  <c r="Q2034" i="1"/>
  <c r="T2034" i="1" s="1"/>
  <c r="L2034" i="1"/>
  <c r="J2034" i="1"/>
  <c r="V2033" i="1"/>
  <c r="S2033" i="1"/>
  <c r="Q2033" i="1"/>
  <c r="T2033" i="1" s="1"/>
  <c r="L2033" i="1"/>
  <c r="J2033" i="1"/>
  <c r="V2032" i="1"/>
  <c r="S2032" i="1"/>
  <c r="Q2032" i="1"/>
  <c r="T2032" i="1" s="1"/>
  <c r="L2032" i="1"/>
  <c r="J2032" i="1"/>
  <c r="V2031" i="1"/>
  <c r="S2031" i="1"/>
  <c r="Q2031" i="1"/>
  <c r="T2031" i="1" s="1"/>
  <c r="L2031" i="1"/>
  <c r="J2031" i="1"/>
  <c r="V2030" i="1"/>
  <c r="S2030" i="1"/>
  <c r="Q2030" i="1"/>
  <c r="T2030" i="1" s="1"/>
  <c r="L2030" i="1"/>
  <c r="J2030" i="1"/>
  <c r="V2029" i="1"/>
  <c r="S2029" i="1"/>
  <c r="Q2029" i="1"/>
  <c r="T2029" i="1" s="1"/>
  <c r="L2029" i="1"/>
  <c r="J2029" i="1"/>
  <c r="V2028" i="1"/>
  <c r="S2028" i="1"/>
  <c r="Q2028" i="1"/>
  <c r="T2028" i="1" s="1"/>
  <c r="L2028" i="1"/>
  <c r="J2028" i="1"/>
  <c r="V2027" i="1"/>
  <c r="S2027" i="1"/>
  <c r="Q2027" i="1"/>
  <c r="T2027" i="1" s="1"/>
  <c r="L2027" i="1"/>
  <c r="J2027" i="1"/>
  <c r="V2026" i="1"/>
  <c r="S2026" i="1"/>
  <c r="Q2026" i="1"/>
  <c r="T2026" i="1" s="1"/>
  <c r="L2026" i="1"/>
  <c r="J2026" i="1"/>
  <c r="V2025" i="1"/>
  <c r="S2025" i="1"/>
  <c r="Q2025" i="1"/>
  <c r="T2025" i="1" s="1"/>
  <c r="L2025" i="1"/>
  <c r="J2025" i="1"/>
  <c r="V2024" i="1"/>
  <c r="S2024" i="1"/>
  <c r="Q2024" i="1"/>
  <c r="T2024" i="1" s="1"/>
  <c r="L2024" i="1"/>
  <c r="J2024" i="1"/>
  <c r="V2023" i="1"/>
  <c r="S2023" i="1"/>
  <c r="Q2023" i="1"/>
  <c r="T2023" i="1" s="1"/>
  <c r="L2023" i="1"/>
  <c r="J2023" i="1"/>
  <c r="V2022" i="1"/>
  <c r="S2022" i="1"/>
  <c r="Q2022" i="1"/>
  <c r="T2022" i="1" s="1"/>
  <c r="L2022" i="1"/>
  <c r="J2022" i="1"/>
  <c r="V2021" i="1"/>
  <c r="S2021" i="1"/>
  <c r="Q2021" i="1"/>
  <c r="T2021" i="1" s="1"/>
  <c r="L2021" i="1"/>
  <c r="J2021" i="1"/>
  <c r="V2020" i="1"/>
  <c r="S2020" i="1"/>
  <c r="Q2020" i="1"/>
  <c r="T2020" i="1" s="1"/>
  <c r="L2020" i="1"/>
  <c r="J2020" i="1"/>
  <c r="V2019" i="1"/>
  <c r="S2019" i="1"/>
  <c r="Q2019" i="1"/>
  <c r="T2019" i="1" s="1"/>
  <c r="L2019" i="1"/>
  <c r="J2019" i="1"/>
  <c r="V2018" i="1"/>
  <c r="S2018" i="1"/>
  <c r="Q2018" i="1"/>
  <c r="T2018" i="1" s="1"/>
  <c r="L2018" i="1"/>
  <c r="J2018" i="1"/>
  <c r="V2017" i="1"/>
  <c r="S2017" i="1"/>
  <c r="Q2017" i="1"/>
  <c r="T2017" i="1" s="1"/>
  <c r="L2017" i="1"/>
  <c r="J2017" i="1"/>
  <c r="V2016" i="1"/>
  <c r="S2016" i="1"/>
  <c r="Q2016" i="1"/>
  <c r="T2016" i="1" s="1"/>
  <c r="L2016" i="1"/>
  <c r="J2016" i="1"/>
  <c r="V2015" i="1"/>
  <c r="S2015" i="1"/>
  <c r="Q2015" i="1"/>
  <c r="T2015" i="1" s="1"/>
  <c r="L2015" i="1"/>
  <c r="J2015" i="1"/>
  <c r="V2014" i="1"/>
  <c r="Q2014" i="1"/>
  <c r="L2014" i="1"/>
  <c r="S2014" i="1"/>
  <c r="J2014" i="1"/>
  <c r="W2013" i="1"/>
  <c r="V2012" i="1"/>
  <c r="V2011" i="1"/>
  <c r="V2010" i="1"/>
  <c r="T2012" i="1"/>
  <c r="S2012" i="1"/>
  <c r="S2011" i="1"/>
  <c r="Q2011" i="1"/>
  <c r="T2011" i="1" s="1"/>
  <c r="L2011" i="1"/>
  <c r="S2010" i="1"/>
  <c r="J2010" i="1"/>
  <c r="L2010" i="1" s="1"/>
  <c r="T2009" i="1"/>
  <c r="S2009" i="1"/>
  <c r="S2007" i="1"/>
  <c r="L2003" i="1"/>
  <c r="V2008" i="1"/>
  <c r="T2008" i="1"/>
  <c r="S2008" i="1"/>
  <c r="Q2055" i="1" l="1"/>
  <c r="T2055" i="1" s="1"/>
  <c r="L2055" i="1"/>
  <c r="T2014" i="1"/>
  <c r="Q2010" i="1"/>
  <c r="T2010" i="1" s="1"/>
  <c r="V2007" i="1"/>
  <c r="Q2007" i="1"/>
  <c r="T2007" i="1" s="1"/>
  <c r="T2006" i="1"/>
  <c r="S2006" i="1"/>
  <c r="L2007" i="1" l="1"/>
  <c r="V2003" i="1" l="1"/>
  <c r="S2003" i="1"/>
  <c r="Q2003" i="1"/>
  <c r="T2003" i="1" s="1"/>
  <c r="L2004" i="1"/>
  <c r="Q2004" i="1"/>
  <c r="T2004" i="1" s="1"/>
  <c r="S2004" i="1"/>
  <c r="V2004" i="1"/>
  <c r="V1999" i="1"/>
  <c r="S1999" i="1"/>
  <c r="Q1999" i="1"/>
  <c r="T1999" i="1" s="1"/>
  <c r="L1999" i="1"/>
  <c r="V2002" i="1"/>
  <c r="L2002" i="1"/>
  <c r="V1998" i="1"/>
  <c r="L1998" i="1"/>
  <c r="V2005" i="1"/>
  <c r="T2005" i="1"/>
  <c r="S2005" i="1"/>
  <c r="V2001" i="1"/>
  <c r="S2001" i="1"/>
  <c r="Q2001" i="1"/>
  <c r="T2001" i="1" s="1"/>
  <c r="L2001" i="1"/>
  <c r="V1997" i="1"/>
  <c r="S1997" i="1"/>
  <c r="Q1997" i="1"/>
  <c r="T1997" i="1" s="1"/>
  <c r="L1997" i="1"/>
  <c r="L1993" i="1"/>
  <c r="L1990" i="1"/>
  <c r="V1993" i="1"/>
  <c r="S1993" i="1"/>
  <c r="Q1993" i="1"/>
  <c r="T1993" i="1" s="1"/>
  <c r="V1992" i="1"/>
  <c r="S1992" i="1"/>
  <c r="Q1992" i="1"/>
  <c r="T1992" i="1" s="1"/>
  <c r="L1992" i="1"/>
  <c r="V1991" i="1"/>
  <c r="S1991" i="1"/>
  <c r="Q1991" i="1"/>
  <c r="T1991" i="1" s="1"/>
  <c r="L1991" i="1"/>
  <c r="W1995" i="1"/>
  <c r="V1994" i="1"/>
  <c r="S1994" i="1"/>
  <c r="Q1994" i="1"/>
  <c r="T1994" i="1" s="1"/>
  <c r="L1994" i="1"/>
  <c r="V1990" i="1"/>
  <c r="S1990" i="1"/>
  <c r="Q1990" i="1"/>
  <c r="T1990" i="1" s="1"/>
  <c r="G4372" i="16"/>
  <c r="D4372" i="16" s="1"/>
  <c r="G4370" i="16"/>
  <c r="D4370" i="16" s="1"/>
  <c r="G4368" i="16"/>
  <c r="D4368" i="16" s="1"/>
  <c r="G4366" i="16"/>
  <c r="D4366" i="16" s="1"/>
  <c r="G4364" i="16"/>
  <c r="D4364" i="16" s="1"/>
  <c r="G4362" i="16"/>
  <c r="D4362" i="16" s="1"/>
  <c r="G4360" i="16"/>
  <c r="D4360" i="16" s="1"/>
  <c r="G4358" i="16"/>
  <c r="D4358" i="16" s="1"/>
  <c r="Q2002" i="1" l="1"/>
  <c r="T2002" i="1" s="1"/>
  <c r="S2002" i="1"/>
  <c r="Q1998" i="1"/>
  <c r="T1998" i="1" s="1"/>
  <c r="S1998" i="1"/>
  <c r="H4372" i="16"/>
  <c r="H4371" i="16"/>
  <c r="H4370" i="16"/>
  <c r="H4369" i="16"/>
  <c r="H4368" i="16"/>
  <c r="H4367" i="16"/>
  <c r="H4366" i="16"/>
  <c r="H4365" i="16"/>
  <c r="H4364" i="16"/>
  <c r="H4363" i="16"/>
  <c r="H4362" i="16"/>
  <c r="H4361" i="16"/>
  <c r="H4360" i="16"/>
  <c r="H4359" i="16"/>
  <c r="H4358" i="16"/>
  <c r="H4357" i="16"/>
  <c r="H4355" i="16"/>
  <c r="H4353" i="16"/>
  <c r="G4356" i="16"/>
  <c r="G4354" i="16"/>
  <c r="G4352" i="16"/>
  <c r="H4351" i="16"/>
  <c r="F4341" i="16"/>
  <c r="F4339" i="16"/>
  <c r="F4342" i="16"/>
  <c r="F4340" i="16"/>
  <c r="P1987" i="1"/>
  <c r="V1987" i="1" s="1"/>
  <c r="V1986" i="1"/>
  <c r="S1986" i="1"/>
  <c r="Q1986" i="1"/>
  <c r="T1986" i="1" s="1"/>
  <c r="L1986" i="1"/>
  <c r="V1988" i="1"/>
  <c r="T1988" i="1"/>
  <c r="S1988" i="1"/>
  <c r="L1987" i="1"/>
  <c r="V1984" i="1"/>
  <c r="S1984" i="1"/>
  <c r="Q1984" i="1"/>
  <c r="T1984" i="1" s="1"/>
  <c r="L1984" i="1"/>
  <c r="V1982" i="1"/>
  <c r="S1982" i="1"/>
  <c r="Q1982" i="1"/>
  <c r="T1982" i="1" s="1"/>
  <c r="L1982" i="1"/>
  <c r="H4333" i="16"/>
  <c r="H4332" i="16"/>
  <c r="H4331" i="16"/>
  <c r="H4330" i="16"/>
  <c r="H4329" i="16"/>
  <c r="H4328" i="16"/>
  <c r="H4322" i="16"/>
  <c r="F4321" i="16"/>
  <c r="H4321" i="16" s="1"/>
  <c r="F4320" i="16"/>
  <c r="H4320" i="16" s="1"/>
  <c r="H4317" i="16"/>
  <c r="F4316" i="16"/>
  <c r="H4316" i="16" s="1"/>
  <c r="F4315" i="16"/>
  <c r="H4315" i="16" s="1"/>
  <c r="V1975" i="1"/>
  <c r="S1975" i="1"/>
  <c r="Q1975" i="1"/>
  <c r="T1975" i="1" s="1"/>
  <c r="L1975" i="1"/>
  <c r="V1979" i="1"/>
  <c r="S1979" i="1"/>
  <c r="Q1979" i="1"/>
  <c r="T1979" i="1" s="1"/>
  <c r="L1979" i="1"/>
  <c r="V1978" i="1"/>
  <c r="S1978" i="1"/>
  <c r="J1978" i="1"/>
  <c r="L1978" i="1" s="1"/>
  <c r="V1977" i="1"/>
  <c r="S1977" i="1"/>
  <c r="J1977" i="1"/>
  <c r="Q1977" i="1" s="1"/>
  <c r="T1977" i="1" s="1"/>
  <c r="V1974" i="1"/>
  <c r="S1974" i="1"/>
  <c r="J1974" i="1"/>
  <c r="Q1974" i="1" s="1"/>
  <c r="T1974" i="1" s="1"/>
  <c r="J1973" i="1"/>
  <c r="L1973" i="1" s="1"/>
  <c r="F4307" i="16"/>
  <c r="F4306" i="16"/>
  <c r="W1980" i="1"/>
  <c r="V1973" i="1"/>
  <c r="S1973" i="1"/>
  <c r="G4290" i="16"/>
  <c r="W1971" i="1"/>
  <c r="Q1970" i="1"/>
  <c r="T1970" i="1" s="1"/>
  <c r="L1970" i="1"/>
  <c r="V1969" i="1"/>
  <c r="S1969" i="1"/>
  <c r="Q1969" i="1"/>
  <c r="T1969" i="1" s="1"/>
  <c r="L1969" i="1"/>
  <c r="D4354" i="16" l="1"/>
  <c r="H4354" i="16" s="1"/>
  <c r="D4356" i="16"/>
  <c r="H4356" i="16" s="1"/>
  <c r="D4352" i="16"/>
  <c r="H4352" i="16" s="1"/>
  <c r="F4308" i="16"/>
  <c r="H4323" i="16"/>
  <c r="Q1987" i="1"/>
  <c r="T1987" i="1" s="1"/>
  <c r="S1987" i="1"/>
  <c r="Q1973" i="1"/>
  <c r="T1973" i="1" s="1"/>
  <c r="Q1978" i="1"/>
  <c r="T1978" i="1" s="1"/>
  <c r="L1977" i="1"/>
  <c r="L1974" i="1"/>
  <c r="S1970" i="1"/>
  <c r="V1970" i="1"/>
  <c r="C4280" i="16"/>
  <c r="F4280" i="16" s="1"/>
  <c r="C4279" i="16"/>
  <c r="F4279" i="16" s="1"/>
  <c r="C4278" i="16"/>
  <c r="F4278" i="16" s="1"/>
  <c r="C4277" i="16"/>
  <c r="F4277" i="16" l="1"/>
  <c r="P1966" i="1" l="1"/>
  <c r="V1966" i="1" s="1"/>
  <c r="W1967" i="1"/>
  <c r="L1966" i="1"/>
  <c r="V1965" i="1"/>
  <c r="S1965" i="1"/>
  <c r="Q1965" i="1"/>
  <c r="T1965" i="1" s="1"/>
  <c r="L1965" i="1"/>
  <c r="V1964" i="1"/>
  <c r="S1964" i="1"/>
  <c r="Q1964" i="1"/>
  <c r="T1964" i="1" s="1"/>
  <c r="L1964" i="1"/>
  <c r="V1963" i="1"/>
  <c r="S1963" i="1"/>
  <c r="Q1963" i="1"/>
  <c r="T1963" i="1" s="1"/>
  <c r="L1963" i="1"/>
  <c r="V1962" i="1"/>
  <c r="S1962" i="1"/>
  <c r="Q1962" i="1"/>
  <c r="T1962" i="1" s="1"/>
  <c r="L1962" i="1"/>
  <c r="V1958" i="1"/>
  <c r="S1958" i="1"/>
  <c r="Q1958" i="1"/>
  <c r="T1958" i="1" s="1"/>
  <c r="L1958" i="1"/>
  <c r="V1957" i="1"/>
  <c r="S1957" i="1"/>
  <c r="Q1957" i="1"/>
  <c r="T1957" i="1" s="1"/>
  <c r="L1957" i="1"/>
  <c r="V1956" i="1"/>
  <c r="S1956" i="1"/>
  <c r="Q1956" i="1"/>
  <c r="T1956" i="1" s="1"/>
  <c r="L1956" i="1"/>
  <c r="W1960" i="1"/>
  <c r="V1959" i="1"/>
  <c r="S1959" i="1"/>
  <c r="Q1959" i="1"/>
  <c r="T1959" i="1" s="1"/>
  <c r="L1959" i="1"/>
  <c r="V1955" i="1"/>
  <c r="S1955" i="1"/>
  <c r="Q1955" i="1"/>
  <c r="T1955" i="1" s="1"/>
  <c r="L1955" i="1"/>
  <c r="V1954" i="1"/>
  <c r="S1954" i="1"/>
  <c r="Q1954" i="1"/>
  <c r="T1954" i="1" s="1"/>
  <c r="L1954" i="1"/>
  <c r="W1953" i="1"/>
  <c r="L1943" i="1"/>
  <c r="H4242" i="16"/>
  <c r="G4243" i="16"/>
  <c r="V1949" i="1"/>
  <c r="S1949" i="1"/>
  <c r="Q1949" i="1"/>
  <c r="T1949" i="1" s="1"/>
  <c r="L1949" i="1"/>
  <c r="V1952" i="1"/>
  <c r="T1952" i="1"/>
  <c r="V1951" i="1"/>
  <c r="S1951" i="1"/>
  <c r="Q1951" i="1"/>
  <c r="T1951" i="1" s="1"/>
  <c r="L1951" i="1"/>
  <c r="V1950" i="1"/>
  <c r="S1950" i="1"/>
  <c r="Q1950" i="1"/>
  <c r="T1950" i="1" s="1"/>
  <c r="L1950" i="1"/>
  <c r="V1947" i="1"/>
  <c r="S1947" i="1"/>
  <c r="Q1947" i="1"/>
  <c r="T1947" i="1" s="1"/>
  <c r="L1947" i="1"/>
  <c r="V1948" i="1"/>
  <c r="S1948" i="1"/>
  <c r="Q1948" i="1"/>
  <c r="T1948" i="1" s="1"/>
  <c r="L1948" i="1"/>
  <c r="F4197" i="16"/>
  <c r="F4196" i="16"/>
  <c r="F4195" i="16"/>
  <c r="F4193" i="16"/>
  <c r="F4192" i="16"/>
  <c r="F4191" i="16"/>
  <c r="F4188" i="16"/>
  <c r="F4189" i="16"/>
  <c r="F4187" i="16"/>
  <c r="V1921" i="1"/>
  <c r="V1922" i="1"/>
  <c r="V1923" i="1"/>
  <c r="V1924" i="1"/>
  <c r="V1925" i="1"/>
  <c r="V1926" i="1"/>
  <c r="V1927" i="1"/>
  <c r="V1928" i="1"/>
  <c r="V1929" i="1"/>
  <c r="V1930" i="1"/>
  <c r="V1931" i="1"/>
  <c r="V1932" i="1"/>
  <c r="V1933" i="1"/>
  <c r="V1934" i="1"/>
  <c r="V1935" i="1"/>
  <c r="V1936" i="1"/>
  <c r="V1937" i="1"/>
  <c r="V1938" i="1"/>
  <c r="V1920" i="1"/>
  <c r="V1919" i="1"/>
  <c r="L1920" i="1"/>
  <c r="L1921" i="1"/>
  <c r="L1922" i="1"/>
  <c r="L1923" i="1"/>
  <c r="L1924" i="1"/>
  <c r="L1925" i="1"/>
  <c r="L1926" i="1"/>
  <c r="L1927" i="1"/>
  <c r="L1928" i="1"/>
  <c r="L1929" i="1"/>
  <c r="L1930" i="1"/>
  <c r="L1931" i="1"/>
  <c r="L1932" i="1"/>
  <c r="L1933" i="1"/>
  <c r="L1934" i="1"/>
  <c r="L1935" i="1"/>
  <c r="L1936" i="1"/>
  <c r="L1937" i="1"/>
  <c r="L1938" i="1"/>
  <c r="L1919" i="1"/>
  <c r="S1919" i="1"/>
  <c r="S1920" i="1"/>
  <c r="S1921" i="1"/>
  <c r="S1922" i="1"/>
  <c r="S1923" i="1"/>
  <c r="S1924" i="1"/>
  <c r="S1925" i="1"/>
  <c r="S1926" i="1"/>
  <c r="S1927" i="1"/>
  <c r="S1928" i="1"/>
  <c r="S1929" i="1"/>
  <c r="S1930" i="1"/>
  <c r="S1931" i="1"/>
  <c r="S1932" i="1"/>
  <c r="S1933" i="1"/>
  <c r="S1934" i="1"/>
  <c r="S1935" i="1"/>
  <c r="S1936" i="1"/>
  <c r="S1937" i="1"/>
  <c r="S1938" i="1"/>
  <c r="Q1920" i="1"/>
  <c r="T1920" i="1" s="1"/>
  <c r="Q1921" i="1"/>
  <c r="T1921" i="1" s="1"/>
  <c r="Q1922" i="1"/>
  <c r="T1922" i="1" s="1"/>
  <c r="Q1923" i="1"/>
  <c r="T1923" i="1" s="1"/>
  <c r="Q1924" i="1"/>
  <c r="T1924" i="1" s="1"/>
  <c r="Q1925" i="1"/>
  <c r="T1925" i="1" s="1"/>
  <c r="Q1926" i="1"/>
  <c r="T1926" i="1" s="1"/>
  <c r="Q1927" i="1"/>
  <c r="T1927" i="1" s="1"/>
  <c r="Q1928" i="1"/>
  <c r="T1928" i="1" s="1"/>
  <c r="Q1929" i="1"/>
  <c r="T1929" i="1" s="1"/>
  <c r="Q1930" i="1"/>
  <c r="T1930" i="1" s="1"/>
  <c r="Q1931" i="1"/>
  <c r="T1931" i="1" s="1"/>
  <c r="Q1932" i="1"/>
  <c r="T1932" i="1" s="1"/>
  <c r="Q1933" i="1"/>
  <c r="T1933" i="1" s="1"/>
  <c r="Q1934" i="1"/>
  <c r="T1934" i="1" s="1"/>
  <c r="Q1935" i="1"/>
  <c r="T1935" i="1" s="1"/>
  <c r="Q1936" i="1"/>
  <c r="T1936" i="1" s="1"/>
  <c r="Q1937" i="1"/>
  <c r="T1937" i="1" s="1"/>
  <c r="Q1938" i="1"/>
  <c r="T1938" i="1" s="1"/>
  <c r="Q1919" i="1"/>
  <c r="T1919" i="1" s="1"/>
  <c r="V1918" i="1"/>
  <c r="L1917" i="1"/>
  <c r="V1945" i="1"/>
  <c r="T1945" i="1"/>
  <c r="S1945" i="1"/>
  <c r="V1944" i="1"/>
  <c r="S1944" i="1"/>
  <c r="Q1944" i="1"/>
  <c r="T1944" i="1" s="1"/>
  <c r="L1944" i="1"/>
  <c r="L1942" i="1"/>
  <c r="Q1942" i="1"/>
  <c r="T1942" i="1" s="1"/>
  <c r="V1943" i="1"/>
  <c r="S1943" i="1"/>
  <c r="Q1943" i="1"/>
  <c r="T1943" i="1" s="1"/>
  <c r="V1942" i="1"/>
  <c r="S1942" i="1"/>
  <c r="V1940" i="1"/>
  <c r="S1940" i="1"/>
  <c r="T1940" i="1"/>
  <c r="V1939" i="1"/>
  <c r="S1939" i="1"/>
  <c r="Q1939" i="1"/>
  <c r="T1939" i="1" s="1"/>
  <c r="L1939" i="1"/>
  <c r="S1918" i="1"/>
  <c r="Q1918" i="1"/>
  <c r="T1918" i="1" s="1"/>
  <c r="S1917" i="1"/>
  <c r="Q1917" i="1"/>
  <c r="T1917" i="1" s="1"/>
  <c r="L1918" i="1"/>
  <c r="V1917" i="1"/>
  <c r="V1915" i="1"/>
  <c r="T1915" i="1"/>
  <c r="S1915" i="1"/>
  <c r="V1914" i="1"/>
  <c r="S1914" i="1"/>
  <c r="Q1914" i="1"/>
  <c r="T1914" i="1" s="1"/>
  <c r="L1914" i="1"/>
  <c r="V1913" i="1"/>
  <c r="S1913" i="1"/>
  <c r="J1913" i="1"/>
  <c r="L1913" i="1" s="1"/>
  <c r="T1912" i="1"/>
  <c r="S1912" i="1"/>
  <c r="F4176" i="16"/>
  <c r="F4175" i="16"/>
  <c r="F4174" i="16"/>
  <c r="V1911" i="1"/>
  <c r="V1910" i="1"/>
  <c r="S1910" i="1"/>
  <c r="Q1910" i="1"/>
  <c r="T1910" i="1" s="1"/>
  <c r="L1910" i="1"/>
  <c r="V1909" i="1"/>
  <c r="S1909" i="1"/>
  <c r="J1909" i="1"/>
  <c r="Q1909" i="1" s="1"/>
  <c r="T1909" i="1" s="1"/>
  <c r="V1908" i="1"/>
  <c r="S1908" i="1"/>
  <c r="J1908" i="1"/>
  <c r="V1907" i="1"/>
  <c r="S1907" i="1"/>
  <c r="J1907" i="1"/>
  <c r="V1906" i="1"/>
  <c r="T1906" i="1"/>
  <c r="S1906" i="1"/>
  <c r="T1905" i="1"/>
  <c r="S1905" i="1"/>
  <c r="V1904" i="1"/>
  <c r="S1904" i="1"/>
  <c r="Q1904" i="1"/>
  <c r="T1904" i="1" s="1"/>
  <c r="L1904" i="1"/>
  <c r="V1903" i="1"/>
  <c r="S1903" i="1"/>
  <c r="J1903" i="1"/>
  <c r="T1902" i="1"/>
  <c r="S1902" i="1"/>
  <c r="T1901" i="1"/>
  <c r="S1901" i="1"/>
  <c r="V1900" i="1"/>
  <c r="S1900" i="1"/>
  <c r="Q1900" i="1"/>
  <c r="T1900" i="1" s="1"/>
  <c r="V1898" i="1"/>
  <c r="S1898" i="1"/>
  <c r="Q1898" i="1"/>
  <c r="T1898" i="1" s="1"/>
  <c r="L1898" i="1"/>
  <c r="V1899" i="1"/>
  <c r="S1899" i="1"/>
  <c r="Q1899" i="1"/>
  <c r="T1899" i="1" s="1"/>
  <c r="L1899" i="1"/>
  <c r="C4160" i="16"/>
  <c r="E4160" i="16" s="1"/>
  <c r="C4159" i="16"/>
  <c r="E4159" i="16" s="1"/>
  <c r="C4158" i="16"/>
  <c r="E4158" i="16" s="1"/>
  <c r="C4157" i="16"/>
  <c r="E4157" i="16" s="1"/>
  <c r="C4156" i="16"/>
  <c r="E4156" i="16" s="1"/>
  <c r="C4155" i="16"/>
  <c r="E4155" i="16" s="1"/>
  <c r="C4154" i="16"/>
  <c r="E4154" i="16" s="1"/>
  <c r="F4141" i="16"/>
  <c r="F4140" i="16"/>
  <c r="F4138" i="16"/>
  <c r="F4139" i="16"/>
  <c r="F4136" i="16"/>
  <c r="F4134" i="16"/>
  <c r="F4135" i="16"/>
  <c r="F4133" i="16"/>
  <c r="C4119" i="16"/>
  <c r="G4119" i="16" s="1"/>
  <c r="C4121" i="16"/>
  <c r="G4121" i="16" s="1"/>
  <c r="C4123" i="16"/>
  <c r="G4123" i="16" s="1"/>
  <c r="C4125" i="16"/>
  <c r="G4125" i="16" s="1"/>
  <c r="C4117" i="16"/>
  <c r="G4117" i="16" s="1"/>
  <c r="C4115" i="16"/>
  <c r="G4115" i="16" s="1"/>
  <c r="C4113" i="16"/>
  <c r="G4113" i="16" s="1"/>
  <c r="C4111" i="16"/>
  <c r="G4111" i="16" s="1"/>
  <c r="F4126" i="16"/>
  <c r="C4126" i="16" s="1"/>
  <c r="G4126" i="16" s="1"/>
  <c r="F4124" i="16"/>
  <c r="C4124" i="16" s="1"/>
  <c r="G4124" i="16" s="1"/>
  <c r="F4122" i="16"/>
  <c r="C4122" i="16" s="1"/>
  <c r="G4122" i="16" s="1"/>
  <c r="F4120" i="16"/>
  <c r="C4120" i="16" s="1"/>
  <c r="G4120" i="16" s="1"/>
  <c r="F4118" i="16"/>
  <c r="C4118" i="16" s="1"/>
  <c r="G4118" i="16" s="1"/>
  <c r="F4116" i="16"/>
  <c r="C4116" i="16" s="1"/>
  <c r="G4116" i="16" s="1"/>
  <c r="F4114" i="16"/>
  <c r="C4114" i="16" s="1"/>
  <c r="G4114" i="16" s="1"/>
  <c r="F4112" i="16"/>
  <c r="C4112" i="16" s="1"/>
  <c r="G4112" i="16" s="1"/>
  <c r="F4104" i="16"/>
  <c r="F4103" i="16"/>
  <c r="F4102" i="16"/>
  <c r="F4101" i="16"/>
  <c r="F4100" i="16"/>
  <c r="V1894" i="1"/>
  <c r="S1894" i="1"/>
  <c r="J1894" i="1"/>
  <c r="Q1894" i="1" s="1"/>
  <c r="T1894" i="1" s="1"/>
  <c r="V1893" i="1"/>
  <c r="S1893" i="1"/>
  <c r="J1893" i="1"/>
  <c r="L1893" i="1" s="1"/>
  <c r="V1892" i="1"/>
  <c r="S1892" i="1"/>
  <c r="J1892" i="1"/>
  <c r="V1891" i="1"/>
  <c r="S1891" i="1"/>
  <c r="J1891" i="1"/>
  <c r="V1896" i="1"/>
  <c r="V1895" i="1"/>
  <c r="S1895" i="1"/>
  <c r="Q1895" i="1"/>
  <c r="T1895" i="1" s="1"/>
  <c r="L1895" i="1"/>
  <c r="V1890" i="1"/>
  <c r="S1890" i="1"/>
  <c r="J1890" i="1"/>
  <c r="L1890" i="1" s="1"/>
  <c r="V1889" i="1"/>
  <c r="T1889" i="1"/>
  <c r="S1889" i="1"/>
  <c r="F4095" i="16"/>
  <c r="I4096" i="16"/>
  <c r="G4074" i="16"/>
  <c r="F4074" i="16" s="1"/>
  <c r="H4074" i="16" s="1"/>
  <c r="G4073" i="16"/>
  <c r="F4073" i="16" s="1"/>
  <c r="H4073" i="16" s="1"/>
  <c r="G4072" i="16"/>
  <c r="F4072" i="16" s="1"/>
  <c r="H4072" i="16" s="1"/>
  <c r="G4071" i="16"/>
  <c r="F4071" i="16" s="1"/>
  <c r="H4071" i="16" s="1"/>
  <c r="G4070" i="16"/>
  <c r="F4070" i="16" s="1"/>
  <c r="H4070" i="16" s="1"/>
  <c r="G4069" i="16"/>
  <c r="F4069" i="16" s="1"/>
  <c r="H4069" i="16" s="1"/>
  <c r="G4068" i="16"/>
  <c r="F4068" i="16" s="1"/>
  <c r="H4068" i="16" s="1"/>
  <c r="G4067" i="16"/>
  <c r="F4067" i="16" s="1"/>
  <c r="H4067" i="16" s="1"/>
  <c r="G4066" i="16"/>
  <c r="F4066" i="16" s="1"/>
  <c r="H4066" i="16" s="1"/>
  <c r="G4065" i="16"/>
  <c r="F4065" i="16" s="1"/>
  <c r="H4065" i="16" s="1"/>
  <c r="G4064" i="16"/>
  <c r="F4064" i="16" s="1"/>
  <c r="H4064" i="16" s="1"/>
  <c r="G4063" i="16"/>
  <c r="F4063" i="16" s="1"/>
  <c r="H4063" i="16" s="1"/>
  <c r="G4062" i="16"/>
  <c r="F4062" i="16" s="1"/>
  <c r="H4062" i="16" s="1"/>
  <c r="G4061" i="16"/>
  <c r="F4061" i="16" s="1"/>
  <c r="H4061" i="16" s="1"/>
  <c r="G4057" i="16"/>
  <c r="G4056" i="16"/>
  <c r="G4055" i="16"/>
  <c r="G4054" i="16"/>
  <c r="G4053" i="16"/>
  <c r="G4052" i="16"/>
  <c r="G4051" i="16"/>
  <c r="G4050" i="16"/>
  <c r="P1887" i="1"/>
  <c r="S1887" i="1" s="1"/>
  <c r="L1887" i="1"/>
  <c r="T1888" i="1"/>
  <c r="S1888" i="1"/>
  <c r="T1886" i="1"/>
  <c r="S1886" i="1"/>
  <c r="C4041" i="16"/>
  <c r="B4041" i="16" s="1"/>
  <c r="D4041" i="16" s="1"/>
  <c r="C4040" i="16"/>
  <c r="B4040" i="16" s="1"/>
  <c r="D4040" i="16" s="1"/>
  <c r="C4036" i="16"/>
  <c r="F4036" i="16" s="1"/>
  <c r="C4035" i="16"/>
  <c r="F4035" i="16" s="1"/>
  <c r="F4014" i="16"/>
  <c r="F4013" i="16"/>
  <c r="F4012" i="16"/>
  <c r="F4011" i="16"/>
  <c r="Q1884" i="1"/>
  <c r="T1884" i="1" s="1"/>
  <c r="H4002" i="16"/>
  <c r="F4001" i="16"/>
  <c r="H4001" i="16" s="1"/>
  <c r="S1884" i="1"/>
  <c r="L1884" i="1"/>
  <c r="T1885" i="1"/>
  <c r="S1885" i="1"/>
  <c r="V1883" i="1"/>
  <c r="S1883" i="1"/>
  <c r="J1883" i="1"/>
  <c r="L1883" i="1" s="1"/>
  <c r="T1881" i="1"/>
  <c r="S1881" i="1"/>
  <c r="T1880" i="1"/>
  <c r="S1880" i="1"/>
  <c r="L1880" i="1"/>
  <c r="V1879" i="1"/>
  <c r="S1879" i="1"/>
  <c r="J1879" i="1"/>
  <c r="T1878" i="1"/>
  <c r="S1878" i="1"/>
  <c r="F3997" i="16"/>
  <c r="H3997" i="16" s="1"/>
  <c r="T1877" i="1"/>
  <c r="S1877" i="1"/>
  <c r="V1876" i="1"/>
  <c r="S1876" i="1"/>
  <c r="Q1876" i="1"/>
  <c r="T1876" i="1" s="1"/>
  <c r="L1876" i="1"/>
  <c r="V1875" i="1"/>
  <c r="S1875" i="1"/>
  <c r="J1875" i="1"/>
  <c r="L1875" i="1" s="1"/>
  <c r="G3992" i="16"/>
  <c r="Q1859" i="1"/>
  <c r="T1859" i="1" s="1"/>
  <c r="T1873" i="1"/>
  <c r="S1873" i="1"/>
  <c r="V1872" i="1"/>
  <c r="S1872" i="1"/>
  <c r="Q1872" i="1"/>
  <c r="T1872" i="1" s="1"/>
  <c r="L1872" i="1"/>
  <c r="V1871" i="1"/>
  <c r="S1871" i="1"/>
  <c r="Q1871" i="1"/>
  <c r="T1871" i="1" s="1"/>
  <c r="L1871" i="1"/>
  <c r="V1870" i="1"/>
  <c r="S1870" i="1"/>
  <c r="Q1870" i="1"/>
  <c r="T1870" i="1" s="1"/>
  <c r="L1870" i="1"/>
  <c r="V1869" i="1"/>
  <c r="S1869" i="1"/>
  <c r="Q1869" i="1"/>
  <c r="T1869" i="1" s="1"/>
  <c r="L1869" i="1"/>
  <c r="C3978" i="16"/>
  <c r="F3978" i="16" s="1"/>
  <c r="C3979" i="16"/>
  <c r="F3979" i="16" s="1"/>
  <c r="Q1866" i="1"/>
  <c r="T1866" i="1" s="1"/>
  <c r="F3973" i="16"/>
  <c r="T1867" i="1"/>
  <c r="S1867" i="1"/>
  <c r="V1866" i="1"/>
  <c r="S1866" i="1"/>
  <c r="L1866" i="1"/>
  <c r="V1865" i="1"/>
  <c r="S1865" i="1"/>
  <c r="J1865" i="1"/>
  <c r="Q1865" i="1" s="1"/>
  <c r="T1865" i="1" s="1"/>
  <c r="T1864" i="1"/>
  <c r="S1864" i="1"/>
  <c r="V1863" i="1"/>
  <c r="V1862" i="1"/>
  <c r="S1862" i="1"/>
  <c r="Q1862" i="1"/>
  <c r="T1862" i="1" s="1"/>
  <c r="L1862" i="1"/>
  <c r="V1861" i="1"/>
  <c r="S1861" i="1"/>
  <c r="J1861" i="1"/>
  <c r="V1860" i="1"/>
  <c r="T1860" i="1"/>
  <c r="S1860" i="1"/>
  <c r="L1858" i="1"/>
  <c r="V1857" i="1"/>
  <c r="S1857" i="1"/>
  <c r="Q1857" i="1"/>
  <c r="T1857" i="1" s="1"/>
  <c r="L1857" i="1"/>
  <c r="V1855" i="1"/>
  <c r="S1855" i="1"/>
  <c r="Q1855" i="1"/>
  <c r="T1855" i="1" s="1"/>
  <c r="L1855" i="1"/>
  <c r="V1859" i="1"/>
  <c r="S1859" i="1"/>
  <c r="V1858" i="1"/>
  <c r="S1858" i="1"/>
  <c r="Q1858" i="1"/>
  <c r="T1858" i="1" s="1"/>
  <c r="V1854" i="1"/>
  <c r="S1854" i="1"/>
  <c r="Q1854" i="1"/>
  <c r="T1854" i="1" s="1"/>
  <c r="L1854" i="1"/>
  <c r="V1856" i="1"/>
  <c r="S1856" i="1"/>
  <c r="Q1856" i="1"/>
  <c r="T1856" i="1" s="1"/>
  <c r="L1856" i="1"/>
  <c r="V1853" i="1"/>
  <c r="S1853" i="1"/>
  <c r="Q1853" i="1"/>
  <c r="T1853" i="1" s="1"/>
  <c r="L1853" i="1"/>
  <c r="V1842" i="1"/>
  <c r="S1842" i="1"/>
  <c r="J1842" i="1"/>
  <c r="L1842" i="1" s="1"/>
  <c r="L1849" i="1"/>
  <c r="T1851" i="1"/>
  <c r="S1851" i="1"/>
  <c r="V1849" i="1"/>
  <c r="S1849" i="1"/>
  <c r="Q1849" i="1"/>
  <c r="T1849" i="1" s="1"/>
  <c r="V1847" i="1"/>
  <c r="L1847" i="1"/>
  <c r="V1850" i="1"/>
  <c r="S1850" i="1"/>
  <c r="Q1850" i="1"/>
  <c r="T1850" i="1" s="1"/>
  <c r="V1848" i="1"/>
  <c r="S1848" i="1"/>
  <c r="Q1848" i="1"/>
  <c r="T1848" i="1" s="1"/>
  <c r="L1848" i="1"/>
  <c r="V1846" i="1"/>
  <c r="S1846" i="1"/>
  <c r="Q1846" i="1"/>
  <c r="T1846" i="1" s="1"/>
  <c r="L1846" i="1"/>
  <c r="I3940" i="16"/>
  <c r="F3940" i="16"/>
  <c r="G3940" i="16" s="1"/>
  <c r="I3939" i="16"/>
  <c r="F3939" i="16"/>
  <c r="G3939" i="16" s="1"/>
  <c r="I3938" i="16"/>
  <c r="F3938" i="16"/>
  <c r="G3938" i="16" s="1"/>
  <c r="I3937" i="16"/>
  <c r="G3937" i="16"/>
  <c r="I3936" i="16"/>
  <c r="G3936" i="16"/>
  <c r="I3935" i="16"/>
  <c r="G3935" i="16"/>
  <c r="I3934" i="16"/>
  <c r="G3934" i="16"/>
  <c r="I3933" i="16"/>
  <c r="G3933" i="16"/>
  <c r="I3932" i="16"/>
  <c r="G3932" i="16"/>
  <c r="I3931" i="16"/>
  <c r="G3931" i="16"/>
  <c r="I3930" i="16"/>
  <c r="G3930" i="16"/>
  <c r="I3929" i="16"/>
  <c r="G3929" i="16"/>
  <c r="T1844" i="1"/>
  <c r="S1844" i="1"/>
  <c r="V1843" i="1"/>
  <c r="S1843" i="1"/>
  <c r="Q1843" i="1"/>
  <c r="T1843" i="1" s="1"/>
  <c r="L1843" i="1"/>
  <c r="V1841" i="1"/>
  <c r="S1841" i="1"/>
  <c r="J1841" i="1"/>
  <c r="L1841" i="1" s="1"/>
  <c r="T1840" i="1"/>
  <c r="S1840" i="1"/>
  <c r="T1839" i="1"/>
  <c r="S1839" i="1"/>
  <c r="T1838" i="1"/>
  <c r="S1838" i="1"/>
  <c r="L1838" i="1"/>
  <c r="V1837" i="1"/>
  <c r="S1837" i="1"/>
  <c r="J1837" i="1"/>
  <c r="T1836" i="1"/>
  <c r="S1836" i="1"/>
  <c r="G3924" i="16"/>
  <c r="G3923" i="16"/>
  <c r="L1834" i="1"/>
  <c r="V1835" i="1"/>
  <c r="V1834" i="1"/>
  <c r="V1833" i="1"/>
  <c r="T1835" i="1"/>
  <c r="S1835" i="1"/>
  <c r="S1834" i="1"/>
  <c r="Q1834" i="1"/>
  <c r="T1834" i="1" s="1"/>
  <c r="S1833" i="1"/>
  <c r="J1833" i="1"/>
  <c r="T1832" i="1"/>
  <c r="S1832" i="1"/>
  <c r="L1830" i="1"/>
  <c r="F3917" i="16"/>
  <c r="F3915" i="16"/>
  <c r="F3913" i="16"/>
  <c r="F3916" i="16"/>
  <c r="F3914" i="16"/>
  <c r="F3912" i="16"/>
  <c r="H3905" i="16"/>
  <c r="F3904" i="16"/>
  <c r="H3904" i="16" s="1"/>
  <c r="F3903" i="16"/>
  <c r="H3903" i="16" s="1"/>
  <c r="F3902" i="16"/>
  <c r="H3902" i="16" s="1"/>
  <c r="V1830" i="1"/>
  <c r="S1830" i="1"/>
  <c r="Q1830" i="1"/>
  <c r="T1830" i="1" s="1"/>
  <c r="V1829" i="1"/>
  <c r="S1829" i="1"/>
  <c r="J1829" i="1"/>
  <c r="Q1829" i="1" s="1"/>
  <c r="T1829" i="1" s="1"/>
  <c r="V1828" i="1"/>
  <c r="S1828" i="1"/>
  <c r="J1828" i="1"/>
  <c r="L1828" i="1" s="1"/>
  <c r="V1827" i="1"/>
  <c r="S1827" i="1"/>
  <c r="J1827" i="1"/>
  <c r="Q1827" i="1" s="1"/>
  <c r="T1827" i="1" s="1"/>
  <c r="W1826" i="1"/>
  <c r="T1825" i="1"/>
  <c r="S1825" i="1"/>
  <c r="V1824" i="1"/>
  <c r="S1824" i="1"/>
  <c r="Q1824" i="1"/>
  <c r="T1824" i="1" s="1"/>
  <c r="L1824" i="1"/>
  <c r="V1823" i="1"/>
  <c r="S1823" i="1"/>
  <c r="J1823" i="1"/>
  <c r="L1823" i="1" s="1"/>
  <c r="T1822" i="1"/>
  <c r="S1822" i="1"/>
  <c r="V1820" i="1"/>
  <c r="S1820" i="1"/>
  <c r="J1820" i="1"/>
  <c r="Q1820" i="1" s="1"/>
  <c r="T1820" i="1" s="1"/>
  <c r="V1819" i="1"/>
  <c r="S1819" i="1"/>
  <c r="Q1819" i="1"/>
  <c r="T1819" i="1" s="1"/>
  <c r="V1818" i="1"/>
  <c r="S1818" i="1"/>
  <c r="J1818" i="1"/>
  <c r="L1818" i="1" s="1"/>
  <c r="V1817" i="1"/>
  <c r="S1817" i="1"/>
  <c r="J1817" i="1"/>
  <c r="V1812" i="1"/>
  <c r="S1812" i="1"/>
  <c r="J1812" i="1"/>
  <c r="Q1812" i="1" s="1"/>
  <c r="T1812" i="1" s="1"/>
  <c r="F3889" i="16"/>
  <c r="H3889" i="16" s="1"/>
  <c r="F3888" i="16"/>
  <c r="H3888" i="16" s="1"/>
  <c r="F3887" i="16"/>
  <c r="H3887" i="16" s="1"/>
  <c r="F3886" i="16"/>
  <c r="H3886" i="16" s="1"/>
  <c r="F3885" i="16"/>
  <c r="H3885" i="16" s="1"/>
  <c r="F3884" i="16"/>
  <c r="H3884" i="16" s="1"/>
  <c r="F3883" i="16"/>
  <c r="H3883" i="16" s="1"/>
  <c r="F3882" i="16"/>
  <c r="H3882" i="16" s="1"/>
  <c r="F3881" i="16"/>
  <c r="H3881" i="16" s="1"/>
  <c r="F3880" i="16"/>
  <c r="H3880" i="16" s="1"/>
  <c r="F3879" i="16"/>
  <c r="H3879" i="16" s="1"/>
  <c r="F3878" i="16"/>
  <c r="H3878" i="16" s="1"/>
  <c r="F3877" i="16"/>
  <c r="H3877" i="16" s="1"/>
  <c r="F3876" i="16"/>
  <c r="H3876" i="16" s="1"/>
  <c r="W1821" i="1"/>
  <c r="V1816" i="1"/>
  <c r="S1816" i="1"/>
  <c r="J1816" i="1"/>
  <c r="Q1816" i="1" s="1"/>
  <c r="T1816" i="1" s="1"/>
  <c r="V1815" i="1"/>
  <c r="S1815" i="1"/>
  <c r="J1815" i="1"/>
  <c r="L1815" i="1" s="1"/>
  <c r="V1814" i="1"/>
  <c r="S1814" i="1"/>
  <c r="J1814" i="1"/>
  <c r="Q1814" i="1" s="1"/>
  <c r="T1814" i="1" s="1"/>
  <c r="V1813" i="1"/>
  <c r="S1813" i="1"/>
  <c r="J1813" i="1"/>
  <c r="Q1813" i="1" s="1"/>
  <c r="T1813" i="1" s="1"/>
  <c r="V1811" i="1"/>
  <c r="S1811" i="1"/>
  <c r="J1811" i="1"/>
  <c r="Q1811" i="1" s="1"/>
  <c r="T1811" i="1" s="1"/>
  <c r="V1810" i="1"/>
  <c r="S1810" i="1"/>
  <c r="J1810" i="1"/>
  <c r="L1810" i="1" s="1"/>
  <c r="V1809" i="1"/>
  <c r="S1809" i="1"/>
  <c r="J1809" i="1"/>
  <c r="V1808" i="1"/>
  <c r="S1808" i="1"/>
  <c r="J1808" i="1"/>
  <c r="Q1808" i="1" s="1"/>
  <c r="T1808" i="1" s="1"/>
  <c r="W1807" i="1"/>
  <c r="G3872" i="16"/>
  <c r="I3872" i="16" s="1"/>
  <c r="G3871" i="16"/>
  <c r="I3871" i="16" s="1"/>
  <c r="G3869" i="16"/>
  <c r="I3869" i="16" s="1"/>
  <c r="G3868" i="16"/>
  <c r="I3868" i="16" s="1"/>
  <c r="I3870" i="16"/>
  <c r="L1805" i="1"/>
  <c r="L1804" i="1"/>
  <c r="L1803" i="1"/>
  <c r="Q1847" i="1"/>
  <c r="T1847" i="1" s="1"/>
  <c r="S1847" i="1"/>
  <c r="L1819" i="1"/>
  <c r="V1805" i="1"/>
  <c r="S1805" i="1"/>
  <c r="Q1805" i="1"/>
  <c r="T1805" i="1" s="1"/>
  <c r="V1804" i="1"/>
  <c r="S1804" i="1"/>
  <c r="Q1804" i="1"/>
  <c r="T1804" i="1" s="1"/>
  <c r="V1803" i="1"/>
  <c r="S1803" i="1"/>
  <c r="Q1803" i="1"/>
  <c r="T1803" i="1" s="1"/>
  <c r="W1806" i="1"/>
  <c r="W1802" i="1"/>
  <c r="Q1796" i="1"/>
  <c r="T1796" i="1" s="1"/>
  <c r="L1800" i="1"/>
  <c r="V1800" i="1"/>
  <c r="S1800" i="1"/>
  <c r="Q1800" i="1"/>
  <c r="T1800" i="1" s="1"/>
  <c r="V1801" i="1"/>
  <c r="T1801" i="1"/>
  <c r="S1801" i="1"/>
  <c r="V1799" i="1"/>
  <c r="S1799" i="1"/>
  <c r="J1799" i="1"/>
  <c r="L1799" i="1" s="1"/>
  <c r="T1798" i="1"/>
  <c r="S1798" i="1"/>
  <c r="V1797" i="1"/>
  <c r="V1796" i="1"/>
  <c r="S1796" i="1"/>
  <c r="V1795" i="1"/>
  <c r="S1795" i="1"/>
  <c r="Q1795" i="1"/>
  <c r="T1795" i="1" s="1"/>
  <c r="L1795" i="1"/>
  <c r="V1794" i="1"/>
  <c r="S1794" i="1"/>
  <c r="Q1794" i="1"/>
  <c r="T1794" i="1" s="1"/>
  <c r="L1794" i="1"/>
  <c r="V1793" i="1"/>
  <c r="S1793" i="1"/>
  <c r="Q1793" i="1"/>
  <c r="T1793" i="1" s="1"/>
  <c r="L1793" i="1"/>
  <c r="V1792" i="1"/>
  <c r="S1792" i="1"/>
  <c r="Q1792" i="1"/>
  <c r="T1792" i="1" s="1"/>
  <c r="L1792" i="1"/>
  <c r="F3843" i="16"/>
  <c r="F3842" i="16"/>
  <c r="L1788" i="1"/>
  <c r="L1787" i="1"/>
  <c r="L1786" i="1"/>
  <c r="L1785" i="1"/>
  <c r="L1784" i="1"/>
  <c r="L1783" i="1"/>
  <c r="L1782" i="1"/>
  <c r="V1790" i="1"/>
  <c r="T1790" i="1"/>
  <c r="S1790" i="1"/>
  <c r="V1789" i="1"/>
  <c r="S1789" i="1"/>
  <c r="Q1789" i="1"/>
  <c r="T1789" i="1" s="1"/>
  <c r="V1786" i="1"/>
  <c r="S1786" i="1"/>
  <c r="Q1786" i="1"/>
  <c r="T1786" i="1" s="1"/>
  <c r="V1784" i="1"/>
  <c r="S1784" i="1"/>
  <c r="Q1784" i="1"/>
  <c r="T1784" i="1" s="1"/>
  <c r="V1782" i="1"/>
  <c r="S1782" i="1"/>
  <c r="Q1782" i="1"/>
  <c r="T1782" i="1" s="1"/>
  <c r="V1788" i="1"/>
  <c r="S1788" i="1"/>
  <c r="Q1788" i="1"/>
  <c r="T1788" i="1" s="1"/>
  <c r="V1787" i="1"/>
  <c r="S1787" i="1"/>
  <c r="Q1787" i="1"/>
  <c r="T1787" i="1" s="1"/>
  <c r="V1785" i="1"/>
  <c r="S1785" i="1"/>
  <c r="Q1785" i="1"/>
  <c r="T1785" i="1" s="1"/>
  <c r="V1783" i="1"/>
  <c r="S1783" i="1"/>
  <c r="Q1783" i="1"/>
  <c r="T1783" i="1" s="1"/>
  <c r="V1781" i="1"/>
  <c r="S1781" i="1"/>
  <c r="Q1781" i="1"/>
  <c r="T1781" i="1" s="1"/>
  <c r="L1781" i="1"/>
  <c r="C3825" i="16"/>
  <c r="F3825" i="16" s="1"/>
  <c r="C3823" i="16"/>
  <c r="F3823" i="16" s="1"/>
  <c r="C3821" i="16"/>
  <c r="F3821" i="16" s="1"/>
  <c r="C3819" i="16"/>
  <c r="F3819" i="16" s="1"/>
  <c r="C3826" i="16"/>
  <c r="F3826" i="16" s="1"/>
  <c r="C3824" i="16"/>
  <c r="F3824" i="16" s="1"/>
  <c r="C3822" i="16"/>
  <c r="F3822" i="16" s="1"/>
  <c r="C3820" i="16"/>
  <c r="F3820" i="16" s="1"/>
  <c r="F3814" i="16"/>
  <c r="F3812" i="16"/>
  <c r="F3810" i="16"/>
  <c r="F3815" i="16"/>
  <c r="F3813" i="16"/>
  <c r="F3811" i="16"/>
  <c r="G3801" i="16"/>
  <c r="G3800" i="16"/>
  <c r="G3799" i="16"/>
  <c r="G3798" i="16"/>
  <c r="G3797" i="16"/>
  <c r="G3796" i="16"/>
  <c r="G3795" i="16"/>
  <c r="G3794" i="16"/>
  <c r="G3793" i="16"/>
  <c r="F3804" i="16"/>
  <c r="G3804" i="16" s="1"/>
  <c r="I3804" i="16"/>
  <c r="F3803" i="16"/>
  <c r="G3803" i="16" s="1"/>
  <c r="I3803" i="16"/>
  <c r="F3802" i="16"/>
  <c r="G3802" i="16" s="1"/>
  <c r="I3802" i="16"/>
  <c r="I3801" i="16"/>
  <c r="I3800" i="16"/>
  <c r="I3799" i="16"/>
  <c r="I3798" i="16"/>
  <c r="I3797" i="16"/>
  <c r="I3796" i="16"/>
  <c r="I3795" i="16"/>
  <c r="I3794" i="16"/>
  <c r="I3793" i="16"/>
  <c r="V1779" i="1"/>
  <c r="T1779" i="1"/>
  <c r="S1779" i="1"/>
  <c r="V1778" i="1"/>
  <c r="S1778" i="1"/>
  <c r="Q1778" i="1"/>
  <c r="T1778" i="1" s="1"/>
  <c r="Q1774" i="1"/>
  <c r="T1774" i="1" s="1"/>
  <c r="L1774" i="1"/>
  <c r="P1777" i="1"/>
  <c r="P1776" i="1"/>
  <c r="V1776" i="1" s="1"/>
  <c r="P1775" i="1"/>
  <c r="V1775" i="1" s="1"/>
  <c r="L1777" i="1"/>
  <c r="L1776" i="1"/>
  <c r="L1775" i="1"/>
  <c r="L1766" i="1"/>
  <c r="V1774" i="1"/>
  <c r="S1774" i="1"/>
  <c r="V1773" i="1"/>
  <c r="S1773" i="1"/>
  <c r="Q1773" i="1"/>
  <c r="T1773" i="1" s="1"/>
  <c r="L1773" i="1"/>
  <c r="V1772" i="1"/>
  <c r="S1772" i="1"/>
  <c r="Q1772" i="1"/>
  <c r="T1772" i="1" s="1"/>
  <c r="L1772" i="1"/>
  <c r="V1771" i="1"/>
  <c r="S1771" i="1"/>
  <c r="Q1771" i="1"/>
  <c r="T1771" i="1" s="1"/>
  <c r="L1771" i="1"/>
  <c r="V1770" i="1"/>
  <c r="S1770" i="1"/>
  <c r="Q1770" i="1"/>
  <c r="T1770" i="1" s="1"/>
  <c r="L1770" i="1"/>
  <c r="V1769" i="1"/>
  <c r="S1769" i="1"/>
  <c r="Q1769" i="1"/>
  <c r="T1769" i="1" s="1"/>
  <c r="L1769" i="1"/>
  <c r="V1768" i="1"/>
  <c r="S1768" i="1"/>
  <c r="Q1768" i="1"/>
  <c r="T1768" i="1" s="1"/>
  <c r="L1768" i="1"/>
  <c r="V1767" i="1"/>
  <c r="S1767" i="1"/>
  <c r="Q1767" i="1"/>
  <c r="T1767" i="1" s="1"/>
  <c r="L1767" i="1"/>
  <c r="V1766" i="1"/>
  <c r="S1766" i="1"/>
  <c r="Q1766" i="1"/>
  <c r="T1766" i="1" s="1"/>
  <c r="C3768" i="16"/>
  <c r="C3762" i="16"/>
  <c r="C3758" i="16"/>
  <c r="C3752" i="16"/>
  <c r="U53" i="9"/>
  <c r="L53" i="9"/>
  <c r="H53" i="9"/>
  <c r="AA52" i="9" s="1"/>
  <c r="AF52" i="9" s="1" a="1"/>
  <c r="AF52" i="9" s="1"/>
  <c r="AC52" i="9"/>
  <c r="Y52" i="9"/>
  <c r="W52" i="9"/>
  <c r="H52" i="9"/>
  <c r="D52" i="9"/>
  <c r="C52" i="9"/>
  <c r="U51" i="9"/>
  <c r="L51" i="9"/>
  <c r="H51" i="9"/>
  <c r="AA50" i="9" s="1"/>
  <c r="AF50" i="9" s="1" a="1"/>
  <c r="AF50" i="9" s="1"/>
  <c r="AC50" i="9"/>
  <c r="Y50" i="9"/>
  <c r="W50" i="9"/>
  <c r="H50" i="9"/>
  <c r="D50" i="9"/>
  <c r="C50" i="9"/>
  <c r="U49" i="9"/>
  <c r="L49" i="9"/>
  <c r="H49" i="9"/>
  <c r="AA48" i="9" s="1"/>
  <c r="AF48" i="9" s="1" a="1"/>
  <c r="AF48" i="9" s="1"/>
  <c r="AC48" i="9"/>
  <c r="Y48" i="9"/>
  <c r="W48" i="9"/>
  <c r="H48" i="9"/>
  <c r="D48" i="9"/>
  <c r="C48" i="9"/>
  <c r="U47" i="9"/>
  <c r="L47" i="9"/>
  <c r="H47" i="9"/>
  <c r="AA46" i="9" s="1"/>
  <c r="AF46" i="9" s="1" a="1"/>
  <c r="AF46" i="9" s="1"/>
  <c r="AC46" i="9"/>
  <c r="Y46" i="9"/>
  <c r="W46" i="9"/>
  <c r="H46" i="9"/>
  <c r="D46" i="9"/>
  <c r="C46" i="9"/>
  <c r="U45" i="9"/>
  <c r="L45" i="9"/>
  <c r="H45" i="9"/>
  <c r="AA44" i="9" s="1"/>
  <c r="AF44" i="9" s="1" a="1"/>
  <c r="AF44" i="9" s="1"/>
  <c r="AC44" i="9"/>
  <c r="Y44" i="9"/>
  <c r="W44" i="9"/>
  <c r="H44" i="9"/>
  <c r="D44" i="9"/>
  <c r="C44" i="9"/>
  <c r="U43" i="9"/>
  <c r="L43" i="9"/>
  <c r="H43" i="9"/>
  <c r="AA42" i="9" s="1"/>
  <c r="AF42" i="9" s="1" a="1"/>
  <c r="AF42" i="9" s="1"/>
  <c r="AC42" i="9"/>
  <c r="Y42" i="9"/>
  <c r="W42" i="9"/>
  <c r="H42" i="9"/>
  <c r="D42" i="9"/>
  <c r="C42" i="9"/>
  <c r="U41" i="9"/>
  <c r="L41" i="9"/>
  <c r="H41" i="9"/>
  <c r="AA40" i="9" s="1"/>
  <c r="AF40" i="9" s="1" a="1"/>
  <c r="AF40" i="9" s="1"/>
  <c r="AC40" i="9"/>
  <c r="Y40" i="9"/>
  <c r="W40" i="9"/>
  <c r="H40" i="9"/>
  <c r="D40" i="9"/>
  <c r="C40" i="9"/>
  <c r="U39" i="9"/>
  <c r="L39" i="9"/>
  <c r="H39" i="9"/>
  <c r="AA38" i="9" s="1"/>
  <c r="AF38" i="9" s="1" a="1"/>
  <c r="AF38" i="9" s="1"/>
  <c r="AC38" i="9"/>
  <c r="Y38" i="9"/>
  <c r="W38" i="9"/>
  <c r="H38" i="9"/>
  <c r="D38" i="9"/>
  <c r="C38" i="9"/>
  <c r="U37" i="9"/>
  <c r="L37" i="9"/>
  <c r="H37" i="9"/>
  <c r="AA36" i="9" s="1"/>
  <c r="AF36" i="9" s="1" a="1"/>
  <c r="AF36" i="9" s="1"/>
  <c r="AC36" i="9"/>
  <c r="Y36" i="9"/>
  <c r="W36" i="9"/>
  <c r="H36" i="9"/>
  <c r="D36" i="9"/>
  <c r="C36" i="9"/>
  <c r="U35" i="9"/>
  <c r="L35" i="9"/>
  <c r="H35" i="9"/>
  <c r="AA34" i="9" s="1"/>
  <c r="AF34" i="9" s="1" a="1"/>
  <c r="AF34" i="9" s="1"/>
  <c r="AC34" i="9"/>
  <c r="Y34" i="9"/>
  <c r="W34" i="9"/>
  <c r="H34" i="9"/>
  <c r="D34" i="9"/>
  <c r="C34" i="9"/>
  <c r="U33" i="9"/>
  <c r="L33" i="9"/>
  <c r="H33" i="9"/>
  <c r="AA32" i="9" s="1"/>
  <c r="AF32" i="9" s="1" a="1"/>
  <c r="AF32" i="9" s="1"/>
  <c r="AC32" i="9"/>
  <c r="Y32" i="9"/>
  <c r="W32" i="9"/>
  <c r="H32" i="9"/>
  <c r="D32" i="9"/>
  <c r="C32" i="9"/>
  <c r="U31" i="9"/>
  <c r="L31" i="9"/>
  <c r="H31" i="9"/>
  <c r="AA30" i="9" s="1"/>
  <c r="AF30" i="9" s="1" a="1"/>
  <c r="AF30" i="9" s="1"/>
  <c r="AC30" i="9"/>
  <c r="Y30" i="9"/>
  <c r="W30" i="9"/>
  <c r="H30" i="9"/>
  <c r="D30" i="9"/>
  <c r="C30" i="9"/>
  <c r="U29" i="9"/>
  <c r="L29" i="9"/>
  <c r="H29" i="9"/>
  <c r="AA28" i="9" s="1"/>
  <c r="AF28" i="9" s="1" a="1"/>
  <c r="AF28" i="9" s="1"/>
  <c r="AC28" i="9"/>
  <c r="Y28" i="9"/>
  <c r="W28" i="9"/>
  <c r="H28" i="9"/>
  <c r="D28" i="9"/>
  <c r="C28" i="9"/>
  <c r="U27" i="9"/>
  <c r="L27" i="9"/>
  <c r="H27" i="9"/>
  <c r="AA26" i="9" s="1"/>
  <c r="AF26" i="9" s="1" a="1"/>
  <c r="AF26" i="9" s="1"/>
  <c r="AC26" i="9"/>
  <c r="Y26" i="9"/>
  <c r="W26" i="9"/>
  <c r="H26" i="9"/>
  <c r="D26" i="9"/>
  <c r="C3743" i="16"/>
  <c r="E3743" i="16" s="1"/>
  <c r="C3742" i="16"/>
  <c r="E3742" i="16" s="1"/>
  <c r="C3741" i="16"/>
  <c r="E3741" i="16" s="1"/>
  <c r="C3737" i="16"/>
  <c r="C3729" i="16"/>
  <c r="F3729" i="16" s="1"/>
  <c r="C3728" i="16"/>
  <c r="F3728" i="16" s="1"/>
  <c r="C3727" i="16"/>
  <c r="F3727" i="16" s="1"/>
  <c r="C3726" i="16"/>
  <c r="F3726" i="16" s="1"/>
  <c r="C3721" i="16"/>
  <c r="F3721" i="16" s="1"/>
  <c r="C3720" i="16"/>
  <c r="F3720" i="16" s="1"/>
  <c r="C3711" i="16"/>
  <c r="E3711" i="16" s="1"/>
  <c r="C3710" i="16"/>
  <c r="E3710" i="16" s="1"/>
  <c r="C3709" i="16"/>
  <c r="E3709" i="16" s="1"/>
  <c r="C3708" i="16"/>
  <c r="E3708" i="16" s="1"/>
  <c r="C3707" i="16"/>
  <c r="E3707" i="16" s="1"/>
  <c r="C3706" i="16"/>
  <c r="E3706" i="16" s="1"/>
  <c r="C3702" i="16"/>
  <c r="E3702" i="16" s="1"/>
  <c r="C3701" i="16"/>
  <c r="E3701" i="16" s="1"/>
  <c r="C3700" i="16"/>
  <c r="E3700" i="16" s="1"/>
  <c r="C3699" i="16"/>
  <c r="E3699" i="16" s="1"/>
  <c r="C3698" i="16"/>
  <c r="E3698" i="16" s="1"/>
  <c r="C3695" i="16"/>
  <c r="E3695" i="16" s="1"/>
  <c r="F3686" i="16"/>
  <c r="F3685" i="16"/>
  <c r="F3684" i="16"/>
  <c r="F3683" i="16"/>
  <c r="C3644" i="16"/>
  <c r="F3644" i="16" s="1"/>
  <c r="C3642" i="16"/>
  <c r="F3642" i="16" s="1"/>
  <c r="C3641" i="16"/>
  <c r="F3641" i="16" s="1"/>
  <c r="C3640" i="16"/>
  <c r="F3640" i="16" s="1"/>
  <c r="F3626" i="16"/>
  <c r="F3625" i="16"/>
  <c r="F3624" i="16"/>
  <c r="F3621" i="16"/>
  <c r="F3620" i="16"/>
  <c r="F3615" i="16"/>
  <c r="F3613" i="16"/>
  <c r="F3596" i="16"/>
  <c r="F3595" i="16"/>
  <c r="F3594" i="16"/>
  <c r="F3593" i="16"/>
  <c r="H3586" i="16"/>
  <c r="H3585" i="16"/>
  <c r="F3584" i="16"/>
  <c r="H3584" i="16" s="1"/>
  <c r="F3583" i="16"/>
  <c r="H3583" i="16" s="1"/>
  <c r="F3582" i="16"/>
  <c r="H3582" i="16" s="1"/>
  <c r="F3581" i="16"/>
  <c r="H3581" i="16" s="1"/>
  <c r="F3580" i="16"/>
  <c r="H3580" i="16" s="1"/>
  <c r="F3579" i="16"/>
  <c r="H3579" i="16" s="1"/>
  <c r="F3578" i="16"/>
  <c r="H3578" i="16" s="1"/>
  <c r="F3577" i="16"/>
  <c r="H3577" i="16" s="1"/>
  <c r="F3576" i="16"/>
  <c r="H3576" i="16" s="1"/>
  <c r="H3571" i="16"/>
  <c r="H3570" i="16"/>
  <c r="F3564" i="16"/>
  <c r="F3560" i="16"/>
  <c r="F3559" i="16"/>
  <c r="F3556" i="16"/>
  <c r="H3532" i="16"/>
  <c r="C3532" i="16"/>
  <c r="G3532" i="16" s="1"/>
  <c r="H3531" i="16"/>
  <c r="C3531" i="16"/>
  <c r="G3531" i="16" s="1"/>
  <c r="H3530" i="16"/>
  <c r="C3530" i="16"/>
  <c r="G3530" i="16" s="1"/>
  <c r="H3529" i="16"/>
  <c r="C3529" i="16"/>
  <c r="G3529" i="16" s="1"/>
  <c r="H3528" i="16"/>
  <c r="C3528" i="16"/>
  <c r="G3528" i="16" s="1"/>
  <c r="H3527" i="16"/>
  <c r="C3527" i="16"/>
  <c r="G3527" i="16" s="1"/>
  <c r="H3526" i="16"/>
  <c r="C3526" i="16"/>
  <c r="G3526" i="16" s="1"/>
  <c r="H3525" i="16"/>
  <c r="C3525" i="16"/>
  <c r="G3525" i="16" s="1"/>
  <c r="H3524" i="16"/>
  <c r="C3524" i="16"/>
  <c r="G3524" i="16" s="1"/>
  <c r="H3523" i="16"/>
  <c r="C3523" i="16"/>
  <c r="G3523" i="16" s="1"/>
  <c r="H3522" i="16"/>
  <c r="C3522" i="16"/>
  <c r="G3522" i="16" s="1"/>
  <c r="G3518" i="16"/>
  <c r="I3513" i="16"/>
  <c r="G3513" i="16"/>
  <c r="C3513" i="16"/>
  <c r="E3513" i="16" s="1"/>
  <c r="I3512" i="16"/>
  <c r="C3512" i="16"/>
  <c r="I3511" i="16"/>
  <c r="G3511" i="16"/>
  <c r="C3511" i="16"/>
  <c r="H3506" i="16"/>
  <c r="F3506" i="16"/>
  <c r="J3506" i="16" s="1"/>
  <c r="H3505" i="16"/>
  <c r="F3505" i="16"/>
  <c r="H3504" i="16"/>
  <c r="F3504" i="16"/>
  <c r="I3499" i="16"/>
  <c r="G3499" i="16"/>
  <c r="C3499" i="16"/>
  <c r="I3498" i="16"/>
  <c r="C3498" i="16"/>
  <c r="I3497" i="16"/>
  <c r="G3497" i="16"/>
  <c r="C3497" i="16"/>
  <c r="I3496" i="16"/>
  <c r="G3496" i="16"/>
  <c r="C3496" i="16"/>
  <c r="I3495" i="16"/>
  <c r="G3495" i="16"/>
  <c r="C3495" i="16"/>
  <c r="I3494" i="16"/>
  <c r="C3494" i="16"/>
  <c r="I3493" i="16"/>
  <c r="C3493" i="16"/>
  <c r="I3492" i="16"/>
  <c r="C3492" i="16"/>
  <c r="I3491" i="16"/>
  <c r="C3491" i="16"/>
  <c r="H3486" i="16"/>
  <c r="F3486" i="16"/>
  <c r="H3485" i="16"/>
  <c r="F3485" i="16"/>
  <c r="J3485" i="16" s="1"/>
  <c r="H3484" i="16"/>
  <c r="F3484" i="16"/>
  <c r="F3483" i="16"/>
  <c r="H3482" i="16"/>
  <c r="F3482" i="16"/>
  <c r="H3481" i="16"/>
  <c r="F3481" i="16"/>
  <c r="F3480" i="16"/>
  <c r="J3480" i="16" s="1"/>
  <c r="H3479" i="16"/>
  <c r="F3479" i="16"/>
  <c r="J3479" i="16" s="1"/>
  <c r="H3478" i="16"/>
  <c r="F3478" i="16"/>
  <c r="H3477" i="16"/>
  <c r="F3477" i="16"/>
  <c r="J3477" i="16" s="1"/>
  <c r="H3476" i="16"/>
  <c r="F3476" i="16"/>
  <c r="H3471" i="16"/>
  <c r="F3471" i="16"/>
  <c r="H3470" i="16"/>
  <c r="F3470" i="16"/>
  <c r="J3470" i="16" s="1"/>
  <c r="H3469" i="16"/>
  <c r="F3469" i="16"/>
  <c r="J3469" i="16" s="1"/>
  <c r="H3468" i="16"/>
  <c r="F3468" i="16"/>
  <c r="J3468" i="16" s="1"/>
  <c r="H3467" i="16"/>
  <c r="F3467" i="16"/>
  <c r="J3467" i="16" s="1"/>
  <c r="H3466" i="16"/>
  <c r="F3466" i="16"/>
  <c r="H3465" i="16"/>
  <c r="F3465" i="16"/>
  <c r="H3464" i="16"/>
  <c r="F3464" i="16"/>
  <c r="H3463" i="16"/>
  <c r="F3463" i="16"/>
  <c r="G3458" i="16"/>
  <c r="H3458" i="16" s="1"/>
  <c r="F3458" i="16"/>
  <c r="G3457" i="16"/>
  <c r="H3457" i="16" s="1"/>
  <c r="F3457" i="16"/>
  <c r="I3457" i="16" s="1"/>
  <c r="G3456" i="16"/>
  <c r="H3456" i="16" s="1"/>
  <c r="F3456" i="16"/>
  <c r="I3456" i="16" s="1"/>
  <c r="G3455" i="16"/>
  <c r="H3455" i="16" s="1"/>
  <c r="F3455" i="16"/>
  <c r="I3455" i="16" s="1"/>
  <c r="G3454" i="16"/>
  <c r="H3454" i="16" s="1"/>
  <c r="F3454" i="16"/>
  <c r="I3454" i="16" s="1"/>
  <c r="G3453" i="16"/>
  <c r="H3453" i="16" s="1"/>
  <c r="F3453" i="16"/>
  <c r="I3453" i="16" s="1"/>
  <c r="G3452" i="16"/>
  <c r="H3452" i="16" s="1"/>
  <c r="F3452" i="16"/>
  <c r="I3452" i="16" s="1"/>
  <c r="G3451" i="16"/>
  <c r="H3451" i="16" s="1"/>
  <c r="F3451" i="16"/>
  <c r="I3451" i="16" s="1"/>
  <c r="G3450" i="16"/>
  <c r="H3450" i="16" s="1"/>
  <c r="F3450" i="16"/>
  <c r="I3450" i="16" s="1"/>
  <c r="G3449" i="16"/>
  <c r="H3449" i="16" s="1"/>
  <c r="F3449" i="16"/>
  <c r="I3449" i="16" s="1"/>
  <c r="G3448" i="16"/>
  <c r="H3448" i="16" s="1"/>
  <c r="F3448" i="16"/>
  <c r="I3448" i="16" s="1"/>
  <c r="H3444" i="16"/>
  <c r="I3444" i="16" s="1"/>
  <c r="G3444" i="16"/>
  <c r="F3444" i="16"/>
  <c r="J3444" i="16" s="1"/>
  <c r="I3443" i="16"/>
  <c r="G3443" i="16"/>
  <c r="F3443" i="16"/>
  <c r="J3443" i="16" s="1"/>
  <c r="H3442" i="16"/>
  <c r="I3442" i="16" s="1"/>
  <c r="G3442" i="16"/>
  <c r="F3442" i="16"/>
  <c r="H3441" i="16"/>
  <c r="I3441" i="16" s="1"/>
  <c r="G3441" i="16"/>
  <c r="F3441" i="16"/>
  <c r="J3441" i="16" s="1"/>
  <c r="H3440" i="16"/>
  <c r="I3440" i="16" s="1"/>
  <c r="G3440" i="16"/>
  <c r="F3440" i="16"/>
  <c r="I3439" i="16"/>
  <c r="G3439" i="16"/>
  <c r="F3439" i="16"/>
  <c r="J3439" i="16" s="1"/>
  <c r="I3438" i="16"/>
  <c r="G3438" i="16"/>
  <c r="F3438" i="16"/>
  <c r="J3438" i="16" s="1"/>
  <c r="I3437" i="16"/>
  <c r="G3437" i="16"/>
  <c r="F3437" i="16"/>
  <c r="I3436" i="16"/>
  <c r="G3436" i="16"/>
  <c r="F3436" i="16"/>
  <c r="J3436" i="16" s="1"/>
  <c r="F3428" i="16"/>
  <c r="H3423" i="16"/>
  <c r="H3422" i="16"/>
  <c r="F3421" i="16"/>
  <c r="H3421" i="16" s="1"/>
  <c r="F3420" i="16"/>
  <c r="H3420" i="16" s="1"/>
  <c r="F3415" i="16"/>
  <c r="G3415" i="16" s="1"/>
  <c r="F3414" i="16"/>
  <c r="G3414" i="16" s="1"/>
  <c r="F3413" i="16"/>
  <c r="G3413" i="16" s="1"/>
  <c r="F3412" i="16"/>
  <c r="G3412" i="16" s="1"/>
  <c r="F3411" i="16"/>
  <c r="G3411" i="16" s="1"/>
  <c r="F3410" i="16"/>
  <c r="G3410" i="16" s="1"/>
  <c r="F3409" i="16"/>
  <c r="G3409" i="16" s="1"/>
  <c r="F3408" i="16"/>
  <c r="G3408" i="16" s="1"/>
  <c r="F3407" i="16"/>
  <c r="F3406" i="16"/>
  <c r="G3406" i="16" s="1"/>
  <c r="F3405" i="16"/>
  <c r="G3405" i="16" s="1"/>
  <c r="F3404" i="16"/>
  <c r="G3404" i="16" s="1"/>
  <c r="F3399" i="16"/>
  <c r="F3398" i="16"/>
  <c r="F3385" i="16"/>
  <c r="F3384" i="16"/>
  <c r="F3383" i="16"/>
  <c r="F3382" i="16"/>
  <c r="F3381" i="16"/>
  <c r="F3380" i="16"/>
  <c r="F3379" i="16"/>
  <c r="F3378" i="16"/>
  <c r="F3377" i="16"/>
  <c r="F3376" i="16"/>
  <c r="F3375" i="16"/>
  <c r="F3374" i="16"/>
  <c r="N3365" i="16"/>
  <c r="G3365" i="16"/>
  <c r="F3365" i="16"/>
  <c r="J3365" i="16" s="1"/>
  <c r="N3364" i="16"/>
  <c r="G3364" i="16"/>
  <c r="F3364" i="16"/>
  <c r="J3364" i="16" s="1"/>
  <c r="N3363" i="16"/>
  <c r="G3363" i="16"/>
  <c r="F3363" i="16"/>
  <c r="J3363" i="16" s="1"/>
  <c r="N3362" i="16"/>
  <c r="G3362" i="16"/>
  <c r="F3362" i="16"/>
  <c r="J3362" i="16" s="1"/>
  <c r="N3361" i="16"/>
  <c r="G3361" i="16"/>
  <c r="F3361" i="16"/>
  <c r="J3361" i="16" s="1"/>
  <c r="N3360" i="16"/>
  <c r="G3360" i="16"/>
  <c r="F3360" i="16"/>
  <c r="J3360" i="16" s="1"/>
  <c r="N3359" i="16"/>
  <c r="G3359" i="16"/>
  <c r="F3359" i="16"/>
  <c r="J3359" i="16" s="1"/>
  <c r="N3358" i="16"/>
  <c r="G3358" i="16"/>
  <c r="F3358" i="16"/>
  <c r="J3358" i="16" s="1"/>
  <c r="N3357" i="16"/>
  <c r="G3357" i="16"/>
  <c r="F3357" i="16"/>
  <c r="J3357" i="16" s="1"/>
  <c r="N3356" i="16"/>
  <c r="G3356" i="16"/>
  <c r="F3356" i="16"/>
  <c r="J3356" i="16" s="1"/>
  <c r="N3355" i="16"/>
  <c r="G3355" i="16"/>
  <c r="F3355" i="16"/>
  <c r="J3355" i="16" s="1"/>
  <c r="N3354" i="16"/>
  <c r="G3354" i="16"/>
  <c r="F3354" i="16"/>
  <c r="J3354" i="16" s="1"/>
  <c r="F3349" i="16"/>
  <c r="F3347" i="16"/>
  <c r="F3346" i="16"/>
  <c r="F3341" i="16"/>
  <c r="F3337" i="16"/>
  <c r="H3336" i="16"/>
  <c r="J3335" i="16"/>
  <c r="F3334" i="16"/>
  <c r="H3330" i="16"/>
  <c r="J3311" i="16"/>
  <c r="H3310" i="16"/>
  <c r="J3309" i="16"/>
  <c r="F3299" i="16"/>
  <c r="F3298" i="16"/>
  <c r="F3297" i="16"/>
  <c r="F3296" i="16"/>
  <c r="F3295" i="16"/>
  <c r="F3294" i="16"/>
  <c r="F3293" i="16"/>
  <c r="F3292" i="16"/>
  <c r="F3291" i="16"/>
  <c r="F3290" i="16"/>
  <c r="F3289" i="16"/>
  <c r="F3288" i="16"/>
  <c r="F3287" i="16"/>
  <c r="F3286" i="16"/>
  <c r="F3285" i="16"/>
  <c r="H3281" i="16"/>
  <c r="F3280" i="16"/>
  <c r="H3280" i="16" s="1"/>
  <c r="H3278" i="16"/>
  <c r="F3277" i="16"/>
  <c r="H3277" i="16" s="1"/>
  <c r="H3275" i="16"/>
  <c r="F3274" i="16"/>
  <c r="H3274" i="16" s="1"/>
  <c r="H3270" i="16"/>
  <c r="F3269" i="16"/>
  <c r="H3269" i="16" s="1"/>
  <c r="H3267" i="16"/>
  <c r="F3266" i="16"/>
  <c r="H3266" i="16" s="1"/>
  <c r="H3261" i="16"/>
  <c r="H3260" i="16"/>
  <c r="F3259" i="16"/>
  <c r="H3259" i="16" s="1"/>
  <c r="H3255" i="16"/>
  <c r="F3254" i="16"/>
  <c r="H3254" i="16" s="1"/>
  <c r="F3253" i="16"/>
  <c r="H3253" i="16" s="1"/>
  <c r="C3248" i="16"/>
  <c r="C3247" i="16"/>
  <c r="C3246" i="16"/>
  <c r="F3216" i="16"/>
  <c r="F3212" i="16"/>
  <c r="F3206" i="16"/>
  <c r="F3205" i="16"/>
  <c r="H3184" i="16"/>
  <c r="H3183" i="16"/>
  <c r="F3182" i="16"/>
  <c r="H3182" i="16" s="1"/>
  <c r="H3181" i="16"/>
  <c r="F3180" i="16"/>
  <c r="H3180" i="16" s="1"/>
  <c r="F3174" i="16"/>
  <c r="F3170" i="16"/>
  <c r="F3161" i="16"/>
  <c r="F3160" i="16"/>
  <c r="F3159" i="16"/>
  <c r="F3158" i="16"/>
  <c r="C3152" i="16"/>
  <c r="F3152" i="16" s="1"/>
  <c r="G3151" i="16"/>
  <c r="C3150" i="16"/>
  <c r="F3150" i="16" s="1"/>
  <c r="G3149" i="16"/>
  <c r="F3143" i="16"/>
  <c r="F3142" i="16"/>
  <c r="F3141" i="16"/>
  <c r="F3140" i="16"/>
  <c r="F3139" i="16"/>
  <c r="F3138" i="16"/>
  <c r="F3137" i="16"/>
  <c r="F3136" i="16"/>
  <c r="F3135" i="16"/>
  <c r="F3134" i="16"/>
  <c r="F3133" i="16"/>
  <c r="F3132" i="16"/>
  <c r="F3131" i="16"/>
  <c r="F3130" i="16"/>
  <c r="F3129" i="16"/>
  <c r="F3128" i="16"/>
  <c r="F3127" i="16"/>
  <c r="F3126" i="16"/>
  <c r="F3125" i="16"/>
  <c r="F3124" i="16"/>
  <c r="F3123" i="16"/>
  <c r="F3122" i="16"/>
  <c r="F3121" i="16"/>
  <c r="F3120" i="16"/>
  <c r="F3119" i="16"/>
  <c r="F3118" i="16"/>
  <c r="C3101" i="16"/>
  <c r="F3101" i="16" s="1"/>
  <c r="C3100" i="16"/>
  <c r="F3100" i="16" s="1"/>
  <c r="G3099" i="16"/>
  <c r="F3092" i="16"/>
  <c r="F3091" i="16"/>
  <c r="F3090" i="16"/>
  <c r="F3089" i="16"/>
  <c r="F3088" i="16"/>
  <c r="F3087" i="16"/>
  <c r="F3086" i="16"/>
  <c r="G3084" i="16"/>
  <c r="G3083" i="16"/>
  <c r="G3082" i="16"/>
  <c r="G3081" i="16"/>
  <c r="G3080" i="16"/>
  <c r="G3079" i="16"/>
  <c r="G3078" i="16"/>
  <c r="G3077" i="16"/>
  <c r="F3071" i="16"/>
  <c r="H3071" i="16" s="1"/>
  <c r="F3070" i="16"/>
  <c r="H3070" i="16" s="1"/>
  <c r="C3058" i="16"/>
  <c r="B3058" i="16" s="1"/>
  <c r="D3058" i="16" s="1"/>
  <c r="C3056" i="16"/>
  <c r="B3056" i="16" s="1"/>
  <c r="D3056" i="16" s="1"/>
  <c r="F3032" i="16"/>
  <c r="G3027" i="16"/>
  <c r="G3026" i="16"/>
  <c r="C3025" i="16"/>
  <c r="F3025" i="16" s="1"/>
  <c r="C3020" i="16"/>
  <c r="F3020" i="16" s="1"/>
  <c r="G2988" i="16"/>
  <c r="F2983" i="16"/>
  <c r="F2978" i="16"/>
  <c r="F2977" i="16"/>
  <c r="F2976" i="16"/>
  <c r="F2975" i="16"/>
  <c r="F2970" i="16"/>
  <c r="F2969" i="16"/>
  <c r="F2968" i="16"/>
  <c r="F2967" i="16"/>
  <c r="F2962" i="16"/>
  <c r="H2962" i="16" s="1"/>
  <c r="F2961" i="16"/>
  <c r="H2961" i="16" s="1"/>
  <c r="F2960" i="16"/>
  <c r="H2960" i="16" s="1"/>
  <c r="F2959" i="16"/>
  <c r="H2959" i="16" s="1"/>
  <c r="F2958" i="16"/>
  <c r="H2958" i="16" s="1"/>
  <c r="F2957" i="16"/>
  <c r="H2957" i="16" s="1"/>
  <c r="F2956" i="16"/>
  <c r="H2956" i="16" s="1"/>
  <c r="F2955" i="16"/>
  <c r="H2955" i="16" s="1"/>
  <c r="F2954" i="16"/>
  <c r="H2954" i="16" s="1"/>
  <c r="F2953" i="16"/>
  <c r="H2953" i="16" s="1"/>
  <c r="F2952" i="16"/>
  <c r="H2952" i="16" s="1"/>
  <c r="F2951" i="16"/>
  <c r="H2951" i="16" s="1"/>
  <c r="F2950" i="16"/>
  <c r="H2950" i="16" s="1"/>
  <c r="F2949" i="16"/>
  <c r="H2949" i="16" s="1"/>
  <c r="F2948" i="16"/>
  <c r="H2948" i="16" s="1"/>
  <c r="F2947" i="16"/>
  <c r="H2947" i="16" s="1"/>
  <c r="F2946" i="16"/>
  <c r="H2946" i="16" s="1"/>
  <c r="F2945" i="16"/>
  <c r="H2945" i="16" s="1"/>
  <c r="F2944" i="16"/>
  <c r="H2944" i="16" s="1"/>
  <c r="F2943" i="16"/>
  <c r="H2943" i="16" s="1"/>
  <c r="F2942" i="16"/>
  <c r="H2942" i="16" s="1"/>
  <c r="F2941" i="16"/>
  <c r="H2941" i="16" s="1"/>
  <c r="F2940" i="16"/>
  <c r="H2940" i="16" s="1"/>
  <c r="F2939" i="16"/>
  <c r="H2939" i="16" s="1"/>
  <c r="F2938" i="16"/>
  <c r="H2938" i="16" s="1"/>
  <c r="F2937" i="16"/>
  <c r="H2937" i="16" s="1"/>
  <c r="F2936" i="16"/>
  <c r="H2936" i="16" s="1"/>
  <c r="F2935" i="16"/>
  <c r="H2935" i="16" s="1"/>
  <c r="F2934" i="16"/>
  <c r="H2934" i="16" s="1"/>
  <c r="F2933" i="16"/>
  <c r="H2933" i="16" s="1"/>
  <c r="F2932" i="16"/>
  <c r="H2932" i="16" s="1"/>
  <c r="F2931" i="16"/>
  <c r="H2931" i="16" s="1"/>
  <c r="F2930" i="16"/>
  <c r="H2930" i="16" s="1"/>
  <c r="F2929" i="16"/>
  <c r="H2929" i="16" s="1"/>
  <c r="F2928" i="16"/>
  <c r="H2928" i="16" s="1"/>
  <c r="F2927" i="16"/>
  <c r="H2927" i="16" s="1"/>
  <c r="F2926" i="16"/>
  <c r="H2926" i="16" s="1"/>
  <c r="F2925" i="16"/>
  <c r="H2925" i="16" s="1"/>
  <c r="F2924" i="16"/>
  <c r="H2924" i="16" s="1"/>
  <c r="F2923" i="16"/>
  <c r="H2923" i="16" s="1"/>
  <c r="F2922" i="16"/>
  <c r="H2922" i="16" s="1"/>
  <c r="F2921" i="16"/>
  <c r="H2921" i="16" s="1"/>
  <c r="F2920" i="16"/>
  <c r="H2920" i="16" s="1"/>
  <c r="F2919" i="16"/>
  <c r="H2919" i="16" s="1"/>
  <c r="F2918" i="16"/>
  <c r="H2918" i="16" s="1"/>
  <c r="F2917" i="16"/>
  <c r="H2917" i="16" s="1"/>
  <c r="F2916" i="16"/>
  <c r="H2916" i="16" s="1"/>
  <c r="F2915" i="16"/>
  <c r="H2915" i="16" s="1"/>
  <c r="F2914" i="16"/>
  <c r="H2914" i="16" s="1"/>
  <c r="F2913" i="16"/>
  <c r="H2913" i="16" s="1"/>
  <c r="F2912" i="16"/>
  <c r="H2912" i="16" s="1"/>
  <c r="F2906" i="16"/>
  <c r="H2903" i="16"/>
  <c r="F2902" i="16"/>
  <c r="H2902" i="16" s="1"/>
  <c r="H2898" i="16"/>
  <c r="H2897" i="16"/>
  <c r="H2896" i="16"/>
  <c r="H2895" i="16"/>
  <c r="H2894" i="16"/>
  <c r="H2893" i="16"/>
  <c r="H2892" i="16"/>
  <c r="H2891" i="16"/>
  <c r="H2890" i="16"/>
  <c r="F2883" i="16"/>
  <c r="F2879" i="16"/>
  <c r="F2876" i="16"/>
  <c r="F2875" i="16"/>
  <c r="F2873" i="16"/>
  <c r="F2872" i="16"/>
  <c r="F2870" i="16"/>
  <c r="F2869" i="16"/>
  <c r="F2868" i="16"/>
  <c r="F2867" i="16"/>
  <c r="G2862" i="16"/>
  <c r="I2862" i="16" s="1"/>
  <c r="G2861" i="16"/>
  <c r="I2861" i="16" s="1"/>
  <c r="F2841" i="16"/>
  <c r="F2840" i="16"/>
  <c r="F2839" i="16"/>
  <c r="F2838" i="16"/>
  <c r="F2837" i="16"/>
  <c r="F2836" i="16"/>
  <c r="F2835" i="16"/>
  <c r="F2834" i="16"/>
  <c r="F2820" i="16"/>
  <c r="F2819" i="16"/>
  <c r="F2818" i="16"/>
  <c r="F2817" i="16"/>
  <c r="F2816" i="16"/>
  <c r="C2811" i="16"/>
  <c r="F2807" i="16"/>
  <c r="F2790" i="16"/>
  <c r="F2789" i="16"/>
  <c r="F2788" i="16"/>
  <c r="F2787" i="16"/>
  <c r="F2786" i="16"/>
  <c r="F2785" i="16"/>
  <c r="F2784" i="16"/>
  <c r="F2783" i="16"/>
  <c r="F2782" i="16"/>
  <c r="F2781" i="16"/>
  <c r="F2780" i="16"/>
  <c r="F2769" i="16"/>
  <c r="F2768" i="16"/>
  <c r="F2767" i="16"/>
  <c r="F2766" i="16"/>
  <c r="F2765" i="16"/>
  <c r="F2764" i="16"/>
  <c r="F2703" i="16"/>
  <c r="F2702" i="16"/>
  <c r="F2682" i="16"/>
  <c r="F2681" i="16"/>
  <c r="D2681" i="16" s="1"/>
  <c r="E2681" i="16" s="1"/>
  <c r="F2679" i="16"/>
  <c r="D2679" i="16" s="1"/>
  <c r="E2679" i="16" s="1"/>
  <c r="G2652" i="16"/>
  <c r="G2651" i="16"/>
  <c r="F2642" i="16"/>
  <c r="F2641" i="16"/>
  <c r="F2639" i="16"/>
  <c r="F2638" i="16"/>
  <c r="G2634" i="16"/>
  <c r="G2627" i="16"/>
  <c r="G2623" i="16"/>
  <c r="F2617" i="16"/>
  <c r="F2616" i="16"/>
  <c r="F2615" i="16"/>
  <c r="G2612" i="16"/>
  <c r="G2609" i="16"/>
  <c r="G2604" i="16"/>
  <c r="F2591" i="16"/>
  <c r="F2590" i="16"/>
  <c r="F2589" i="16"/>
  <c r="F2588" i="16"/>
  <c r="F2587" i="16"/>
  <c r="F2584" i="16"/>
  <c r="F2583" i="16"/>
  <c r="F2582" i="16"/>
  <c r="F2581" i="16"/>
  <c r="F2580" i="16"/>
  <c r="F2577" i="16"/>
  <c r="F2576" i="16"/>
  <c r="F2575" i="16"/>
  <c r="F2574" i="16"/>
  <c r="F2573" i="16"/>
  <c r="G2569" i="16"/>
  <c r="G2568" i="16"/>
  <c r="G2567" i="16"/>
  <c r="G2566" i="16"/>
  <c r="G2565" i="16"/>
  <c r="F2557" i="16"/>
  <c r="F2556" i="16"/>
  <c r="F2555" i="16"/>
  <c r="G2551" i="16"/>
  <c r="G2547" i="16"/>
  <c r="I2547" i="16" s="1"/>
  <c r="G2546" i="16"/>
  <c r="I2546" i="16" s="1"/>
  <c r="F2538" i="16"/>
  <c r="H2531" i="16"/>
  <c r="F2530" i="16"/>
  <c r="H2530" i="16" s="1"/>
  <c r="F2529" i="16"/>
  <c r="H2529" i="16" s="1"/>
  <c r="F2528" i="16"/>
  <c r="H2528" i="16" s="1"/>
  <c r="F2527" i="16"/>
  <c r="H2527" i="16" s="1"/>
  <c r="F2526" i="16"/>
  <c r="H2526" i="16" s="1"/>
  <c r="F2525" i="16"/>
  <c r="H2525" i="16" s="1"/>
  <c r="F2524" i="16"/>
  <c r="H2524" i="16" s="1"/>
  <c r="F2523" i="16"/>
  <c r="H2523" i="16" s="1"/>
  <c r="F2522" i="16"/>
  <c r="H2522" i="16" s="1"/>
  <c r="F2520" i="16"/>
  <c r="H2520" i="16" s="1"/>
  <c r="F2519" i="16"/>
  <c r="H2519" i="16" s="1"/>
  <c r="F2518" i="16"/>
  <c r="H2518" i="16" s="1"/>
  <c r="F2517" i="16"/>
  <c r="H2517" i="16" s="1"/>
  <c r="F2516" i="16"/>
  <c r="H2516" i="16" s="1"/>
  <c r="F2515" i="16"/>
  <c r="H2515" i="16" s="1"/>
  <c r="F2514" i="16"/>
  <c r="H2514" i="16" s="1"/>
  <c r="F2513" i="16"/>
  <c r="H2513" i="16" s="1"/>
  <c r="F2512" i="16"/>
  <c r="H2512" i="16" s="1"/>
  <c r="F2511" i="16"/>
  <c r="H2511" i="16" s="1"/>
  <c r="F2510" i="16"/>
  <c r="H2510" i="16" s="1"/>
  <c r="C2500" i="16"/>
  <c r="D2500" i="16" s="1"/>
  <c r="C2499" i="16"/>
  <c r="D2499" i="16" s="1"/>
  <c r="C2498" i="16"/>
  <c r="C2497" i="16"/>
  <c r="D2497" i="16" s="1"/>
  <c r="F2494" i="16"/>
  <c r="H2494" i="16" s="1"/>
  <c r="G2481" i="16"/>
  <c r="J2481" i="16" s="1"/>
  <c r="G2480" i="16"/>
  <c r="J2480" i="16" s="1"/>
  <c r="G2479" i="16"/>
  <c r="J2479" i="16" s="1"/>
  <c r="G2478" i="16"/>
  <c r="J2478" i="16" s="1"/>
  <c r="G2474" i="16"/>
  <c r="J2474" i="16" s="1"/>
  <c r="G2473" i="16"/>
  <c r="J2473" i="16" s="1"/>
  <c r="G2472" i="16"/>
  <c r="J2472" i="16" s="1"/>
  <c r="G2471" i="16"/>
  <c r="J2471" i="16" s="1"/>
  <c r="G2470" i="16"/>
  <c r="J2470" i="16" s="1"/>
  <c r="G2469" i="16"/>
  <c r="J2469" i="16" s="1"/>
  <c r="F2465" i="16"/>
  <c r="F2464" i="16"/>
  <c r="F2463" i="16"/>
  <c r="F2462" i="16"/>
  <c r="F2461" i="16"/>
  <c r="F2460" i="16"/>
  <c r="F2456" i="16"/>
  <c r="F2455" i="16"/>
  <c r="F2454" i="16"/>
  <c r="F2453" i="16"/>
  <c r="G2448" i="16"/>
  <c r="F2445" i="16"/>
  <c r="I2445" i="16" s="1"/>
  <c r="F2441" i="16"/>
  <c r="F2440" i="16"/>
  <c r="C2420" i="16"/>
  <c r="G2410" i="16"/>
  <c r="G2409" i="16"/>
  <c r="G2407" i="16"/>
  <c r="G2405" i="16"/>
  <c r="G2404" i="16"/>
  <c r="G2403" i="16"/>
  <c r="G2402" i="16"/>
  <c r="G2401" i="16"/>
  <c r="G2400" i="16"/>
  <c r="G2399" i="16"/>
  <c r="F2381" i="16"/>
  <c r="F2380" i="16"/>
  <c r="G2374" i="16"/>
  <c r="G2373" i="16"/>
  <c r="H2367" i="16"/>
  <c r="G2367" i="16"/>
  <c r="J2352" i="16"/>
  <c r="H2352" i="16" s="1"/>
  <c r="I2352" i="16"/>
  <c r="G2352" i="16" s="1"/>
  <c r="G2347" i="16"/>
  <c r="G2346" i="16"/>
  <c r="G2345" i="16"/>
  <c r="H2335" i="16"/>
  <c r="F2335" i="16"/>
  <c r="H2334" i="16"/>
  <c r="F2334" i="16"/>
  <c r="H2333" i="16"/>
  <c r="F2333" i="16"/>
  <c r="F2329" i="16"/>
  <c r="I2326" i="16"/>
  <c r="H2326" i="16"/>
  <c r="I2325" i="16"/>
  <c r="H2325" i="16"/>
  <c r="I2324" i="16"/>
  <c r="H2324" i="16"/>
  <c r="I2323" i="16"/>
  <c r="H2323" i="16"/>
  <c r="I2322" i="16"/>
  <c r="H2322" i="16"/>
  <c r="I2321" i="16"/>
  <c r="H2321" i="16"/>
  <c r="I2320" i="16"/>
  <c r="H2320" i="16"/>
  <c r="I2318" i="16"/>
  <c r="H2318" i="16"/>
  <c r="I2317" i="16"/>
  <c r="H2317" i="16"/>
  <c r="I2316" i="16"/>
  <c r="H2316" i="16"/>
  <c r="I2315" i="16"/>
  <c r="H2315" i="16"/>
  <c r="I2314" i="16"/>
  <c r="H2314" i="16"/>
  <c r="I2313" i="16"/>
  <c r="H2313" i="16"/>
  <c r="I2312" i="16"/>
  <c r="H2312" i="16"/>
  <c r="I2310" i="16"/>
  <c r="H2310" i="16"/>
  <c r="I2308" i="16"/>
  <c r="H2308" i="16"/>
  <c r="I2307" i="16"/>
  <c r="H2307" i="16"/>
  <c r="I2306" i="16"/>
  <c r="H2306" i="16"/>
  <c r="I2305" i="16"/>
  <c r="H2305" i="16"/>
  <c r="I2303" i="16"/>
  <c r="H2303" i="16"/>
  <c r="I2302" i="16"/>
  <c r="H2302" i="16"/>
  <c r="I2301" i="16"/>
  <c r="H2301" i="16"/>
  <c r="I2300" i="16"/>
  <c r="H2300" i="16"/>
  <c r="I2299" i="16"/>
  <c r="H2299" i="16"/>
  <c r="I2298" i="16"/>
  <c r="H2298" i="16"/>
  <c r="I2296" i="16"/>
  <c r="H2296" i="16"/>
  <c r="I2295" i="16"/>
  <c r="H2295" i="16"/>
  <c r="I2294" i="16"/>
  <c r="H2294" i="16"/>
  <c r="I2293" i="16"/>
  <c r="H2293" i="16"/>
  <c r="I2292" i="16"/>
  <c r="H2292" i="16"/>
  <c r="I2291" i="16"/>
  <c r="H2291" i="16"/>
  <c r="I2289" i="16"/>
  <c r="H2289" i="16"/>
  <c r="I2288" i="16"/>
  <c r="H2288" i="16"/>
  <c r="I2287" i="16"/>
  <c r="H2287" i="16"/>
  <c r="I2286" i="16"/>
  <c r="H2286" i="16"/>
  <c r="I2285" i="16"/>
  <c r="H2285" i="16"/>
  <c r="I2284" i="16"/>
  <c r="H2284" i="16"/>
  <c r="I2282" i="16"/>
  <c r="H2282" i="16"/>
  <c r="I2281" i="16"/>
  <c r="H2281" i="16"/>
  <c r="I2280" i="16"/>
  <c r="H2280" i="16"/>
  <c r="I2279" i="16"/>
  <c r="H2279" i="16"/>
  <c r="I2278" i="16"/>
  <c r="H2278" i="16"/>
  <c r="I2277" i="16"/>
  <c r="H2277" i="16"/>
  <c r="I2276" i="16"/>
  <c r="H2276" i="16"/>
  <c r="I2275" i="16"/>
  <c r="H2275" i="16"/>
  <c r="I2273" i="16"/>
  <c r="H2273" i="16"/>
  <c r="I2272" i="16"/>
  <c r="H2272" i="16"/>
  <c r="I2271" i="16"/>
  <c r="H2271" i="16"/>
  <c r="I2270" i="16"/>
  <c r="H2270" i="16"/>
  <c r="I2269" i="16"/>
  <c r="H2269" i="16"/>
  <c r="I2268" i="16"/>
  <c r="H2268" i="16"/>
  <c r="I2267" i="16"/>
  <c r="H2267" i="16"/>
  <c r="I2266" i="16"/>
  <c r="H2266" i="16"/>
  <c r="C2250" i="16"/>
  <c r="F2236" i="16"/>
  <c r="F2235" i="16"/>
  <c r="F2234" i="16"/>
  <c r="F2231" i="16"/>
  <c r="F2230" i="16"/>
  <c r="F2229" i="16"/>
  <c r="F2228" i="16"/>
  <c r="F2227" i="16"/>
  <c r="F2226" i="16"/>
  <c r="F2225" i="16"/>
  <c r="F2224" i="16"/>
  <c r="F2223" i="16"/>
  <c r="F2218" i="16"/>
  <c r="F2217" i="16"/>
  <c r="F2216" i="16"/>
  <c r="F2215" i="16"/>
  <c r="G2211" i="16"/>
  <c r="G2210" i="16"/>
  <c r="G2209" i="16"/>
  <c r="G2208" i="16"/>
  <c r="G2207" i="16"/>
  <c r="G2206" i="16"/>
  <c r="G2205" i="16"/>
  <c r="G2204" i="16"/>
  <c r="G2203" i="16"/>
  <c r="G2202" i="16"/>
  <c r="G2201" i="16"/>
  <c r="F2196" i="16"/>
  <c r="F2195" i="16"/>
  <c r="F2190" i="16"/>
  <c r="F2189" i="16"/>
  <c r="F2173" i="16"/>
  <c r="F2172" i="16"/>
  <c r="F2171" i="16"/>
  <c r="F2170" i="16"/>
  <c r="I2160" i="16"/>
  <c r="G2159" i="16"/>
  <c r="I2159" i="16" s="1"/>
  <c r="G2158" i="16"/>
  <c r="I2158" i="16" s="1"/>
  <c r="G2146" i="16"/>
  <c r="G2145" i="16"/>
  <c r="G2144" i="16"/>
  <c r="I2102" i="16"/>
  <c r="G2102" i="16"/>
  <c r="I2101" i="16"/>
  <c r="G2101" i="16"/>
  <c r="I2100" i="16"/>
  <c r="G2100" i="16"/>
  <c r="I2099" i="16"/>
  <c r="G2099" i="16"/>
  <c r="I2098" i="16"/>
  <c r="G2098" i="16"/>
  <c r="I2097" i="16"/>
  <c r="G2097" i="16"/>
  <c r="I2096" i="16"/>
  <c r="G2096" i="16"/>
  <c r="H2092" i="16"/>
  <c r="F2091" i="16"/>
  <c r="H2091" i="16" s="1"/>
  <c r="F2090" i="16"/>
  <c r="H2090" i="16" s="1"/>
  <c r="F2064" i="16"/>
  <c r="F2055" i="16"/>
  <c r="F2054" i="16"/>
  <c r="H2049" i="16"/>
  <c r="F2048" i="16"/>
  <c r="H2048" i="16" s="1"/>
  <c r="F2047" i="16"/>
  <c r="H2047" i="16" s="1"/>
  <c r="F2042" i="16"/>
  <c r="F2041" i="16"/>
  <c r="I2034" i="16"/>
  <c r="G2034" i="16"/>
  <c r="I2033" i="16"/>
  <c r="G2033" i="16"/>
  <c r="I2032" i="16"/>
  <c r="G2032" i="16"/>
  <c r="I2031" i="16"/>
  <c r="G2031" i="16"/>
  <c r="I2030" i="16"/>
  <c r="G2030" i="16"/>
  <c r="I2029" i="16"/>
  <c r="G2029" i="16"/>
  <c r="I2028" i="16"/>
  <c r="G2028" i="16"/>
  <c r="I2027" i="16"/>
  <c r="G2027" i="16"/>
  <c r="I2026" i="16"/>
  <c r="G2026" i="16"/>
  <c r="I2025" i="16"/>
  <c r="G2025" i="16"/>
  <c r="I2024" i="16"/>
  <c r="G2024" i="16"/>
  <c r="I2023" i="16"/>
  <c r="G2023" i="16"/>
  <c r="I2022" i="16"/>
  <c r="G2022" i="16"/>
  <c r="I2021" i="16"/>
  <c r="G2021" i="16"/>
  <c r="F1952" i="16"/>
  <c r="F1929" i="16"/>
  <c r="G1915" i="16"/>
  <c r="G1914" i="16"/>
  <c r="G1913" i="16"/>
  <c r="F1844" i="16"/>
  <c r="F1843" i="16"/>
  <c r="F1842" i="16"/>
  <c r="F1841" i="16"/>
  <c r="F1839" i="16"/>
  <c r="F1838" i="16"/>
  <c r="F1837" i="16"/>
  <c r="C1775" i="16"/>
  <c r="C1774" i="16"/>
  <c r="C1773" i="16"/>
  <c r="C1772" i="16"/>
  <c r="C1771" i="16"/>
  <c r="C1770" i="16"/>
  <c r="C1769" i="16"/>
  <c r="C1768" i="16"/>
  <c r="C1767" i="16"/>
  <c r="C1766" i="16"/>
  <c r="C1765" i="16"/>
  <c r="C1764" i="16"/>
  <c r="C1763" i="16"/>
  <c r="C1762" i="16"/>
  <c r="C1761" i="16"/>
  <c r="C1760" i="16"/>
  <c r="C1759" i="16"/>
  <c r="C1758" i="16"/>
  <c r="C1757" i="16"/>
  <c r="C1756" i="16"/>
  <c r="C1755" i="16"/>
  <c r="C1754" i="16"/>
  <c r="C1753" i="16"/>
  <c r="C1752" i="16"/>
  <c r="C1751" i="16"/>
  <c r="C1750" i="16"/>
  <c r="C1749" i="16"/>
  <c r="C1748" i="16"/>
  <c r="C1744" i="16"/>
  <c r="C1743" i="16"/>
  <c r="C1742" i="16"/>
  <c r="C1741" i="16"/>
  <c r="C1740" i="16"/>
  <c r="C1739" i="16"/>
  <c r="C1738" i="16"/>
  <c r="C1737" i="16"/>
  <c r="C1736" i="16"/>
  <c r="C1735" i="16"/>
  <c r="G1642" i="16"/>
  <c r="G1644" i="16" s="1"/>
  <c r="F1566" i="16"/>
  <c r="F1565" i="16"/>
  <c r="G1534" i="16"/>
  <c r="G1533" i="16"/>
  <c r="G1532" i="16"/>
  <c r="G1531" i="16"/>
  <c r="G1530" i="16"/>
  <c r="G1529" i="16"/>
  <c r="G1528" i="16"/>
  <c r="G1527" i="16"/>
  <c r="G1526" i="16"/>
  <c r="G1525" i="16"/>
  <c r="G1524" i="16"/>
  <c r="G1522" i="16"/>
  <c r="C1519" i="16"/>
  <c r="D1519" i="16" s="1"/>
  <c r="C1517" i="16"/>
  <c r="D1517" i="16" s="1"/>
  <c r="C1516" i="16"/>
  <c r="D1516" i="16" s="1"/>
  <c r="C1515" i="16"/>
  <c r="D1515" i="16" s="1"/>
  <c r="H1486" i="16"/>
  <c r="J1486" i="16" s="1"/>
  <c r="H1485" i="16"/>
  <c r="J1485" i="16" s="1"/>
  <c r="H1484" i="16"/>
  <c r="J1484" i="16" s="1"/>
  <c r="H1483" i="16"/>
  <c r="J1483" i="16" s="1"/>
  <c r="H1482" i="16"/>
  <c r="J1482" i="16" s="1"/>
  <c r="H1481" i="16"/>
  <c r="J1481" i="16" s="1"/>
  <c r="H1480" i="16"/>
  <c r="J1480" i="16" s="1"/>
  <c r="H1479" i="16"/>
  <c r="J1479" i="16" s="1"/>
  <c r="H1478" i="16"/>
  <c r="H1477" i="16"/>
  <c r="J1477" i="16" s="1"/>
  <c r="H1476" i="16"/>
  <c r="J1476" i="16" s="1"/>
  <c r="C1443" i="16"/>
  <c r="C1442" i="16"/>
  <c r="K1217" i="16"/>
  <c r="K1216" i="16"/>
  <c r="K1215" i="16"/>
  <c r="K1211" i="16"/>
  <c r="K1210" i="16"/>
  <c r="K1209" i="16"/>
  <c r="K1208" i="16"/>
  <c r="K1207" i="16"/>
  <c r="K1206" i="16"/>
  <c r="K1205" i="16"/>
  <c r="K1204" i="16"/>
  <c r="K1203" i="16"/>
  <c r="K1202" i="16"/>
  <c r="K1201" i="16"/>
  <c r="K1199" i="16"/>
  <c r="K1198" i="16"/>
  <c r="K1197" i="16"/>
  <c r="K1196" i="16"/>
  <c r="K1195" i="16"/>
  <c r="K1191" i="16"/>
  <c r="K1190" i="16"/>
  <c r="K1189" i="16"/>
  <c r="K1188" i="16"/>
  <c r="K1187" i="16"/>
  <c r="K1186" i="16"/>
  <c r="K1185" i="16"/>
  <c r="K1184" i="16"/>
  <c r="K1183" i="16"/>
  <c r="K1182" i="16"/>
  <c r="K1181" i="16"/>
  <c r="K1180" i="16"/>
  <c r="K1179" i="16"/>
  <c r="K1178" i="16"/>
  <c r="K1177" i="16"/>
  <c r="K1176" i="16"/>
  <c r="K1175" i="16"/>
  <c r="K1174" i="16"/>
  <c r="K1173" i="16"/>
  <c r="K1172" i="16"/>
  <c r="K1171" i="16"/>
  <c r="K1170" i="16"/>
  <c r="K1169" i="16"/>
  <c r="K1168" i="16"/>
  <c r="K1167" i="16"/>
  <c r="K1166" i="16"/>
  <c r="K1165" i="16"/>
  <c r="G948" i="16"/>
  <c r="G947" i="16"/>
  <c r="G946" i="16"/>
  <c r="G945" i="16"/>
  <c r="G550" i="16"/>
  <c r="G549" i="16"/>
  <c r="G548" i="16"/>
  <c r="G547" i="16"/>
  <c r="F477" i="16"/>
  <c r="F476" i="16"/>
  <c r="F469" i="16"/>
  <c r="C235" i="16"/>
  <c r="C234" i="16"/>
  <c r="C16" i="16"/>
  <c r="C15" i="16"/>
  <c r="C14" i="16"/>
  <c r="C13" i="16"/>
  <c r="B69" i="6"/>
  <c r="C69" i="6" s="1"/>
  <c r="B68" i="6"/>
  <c r="C68" i="6" s="1"/>
  <c r="B67" i="6"/>
  <c r="B66" i="6"/>
  <c r="B65" i="6"/>
  <c r="C65" i="6" s="1"/>
  <c r="J63" i="6"/>
  <c r="B62" i="6"/>
  <c r="A62" i="6"/>
  <c r="B61" i="6"/>
  <c r="A61" i="6"/>
  <c r="B60" i="6"/>
  <c r="A60" i="6"/>
  <c r="B59" i="6"/>
  <c r="A59" i="6"/>
  <c r="B58" i="6"/>
  <c r="A58" i="6"/>
  <c r="B57" i="6"/>
  <c r="A57" i="6"/>
  <c r="B56" i="6"/>
  <c r="A56" i="6"/>
  <c r="B55" i="6"/>
  <c r="A55" i="6"/>
  <c r="B54" i="6"/>
  <c r="A54" i="6"/>
  <c r="B53" i="6"/>
  <c r="A53" i="6"/>
  <c r="B52" i="6"/>
  <c r="A52" i="6"/>
  <c r="B51" i="6"/>
  <c r="A51" i="6"/>
  <c r="B50" i="6"/>
  <c r="A50" i="6"/>
  <c r="B49" i="6"/>
  <c r="A49" i="6"/>
  <c r="B48" i="6"/>
  <c r="A48" i="6"/>
  <c r="B47" i="6"/>
  <c r="A47" i="6"/>
  <c r="B46" i="6"/>
  <c r="A46" i="6"/>
  <c r="B45" i="6"/>
  <c r="A45" i="6"/>
  <c r="B44" i="6"/>
  <c r="A44" i="6"/>
  <c r="B43" i="6"/>
  <c r="A43" i="6"/>
  <c r="B42" i="6"/>
  <c r="A42" i="6"/>
  <c r="A41" i="6"/>
  <c r="A40" i="6"/>
  <c r="B40" i="6" s="1"/>
  <c r="A39" i="6"/>
  <c r="B38" i="6"/>
  <c r="A38" i="6"/>
  <c r="B39" i="6"/>
  <c r="C33" i="6"/>
  <c r="C32" i="6"/>
  <c r="C31" i="6"/>
  <c r="M29" i="6"/>
  <c r="M28" i="6"/>
  <c r="B25" i="6"/>
  <c r="B20" i="6"/>
  <c r="B19" i="6"/>
  <c r="F18" i="6"/>
  <c r="B18" i="6" s="1"/>
  <c r="C67" i="6" s="1"/>
  <c r="C13" i="6"/>
  <c r="C12" i="6"/>
  <c r="E11" i="6"/>
  <c r="C11" i="6"/>
  <c r="E10" i="6"/>
  <c r="C10" i="6"/>
  <c r="C9" i="6"/>
  <c r="E8" i="6" a="1"/>
  <c r="E8" i="6" s="1"/>
  <c r="E7" i="6"/>
  <c r="C7" i="6"/>
  <c r="E4" i="6"/>
  <c r="E5" i="6" s="1"/>
  <c r="J74" i="13"/>
  <c r="H74" i="13" a="1"/>
  <c r="H74" i="13" s="1"/>
  <c r="J73" i="13"/>
  <c r="H73" i="13" a="1"/>
  <c r="H73" i="13" s="1"/>
  <c r="J72" i="13"/>
  <c r="F33" i="13"/>
  <c r="D33" i="13"/>
  <c r="B33" i="13"/>
  <c r="J32" i="13"/>
  <c r="J31" i="13"/>
  <c r="D31" i="13"/>
  <c r="B31" i="13"/>
  <c r="D28" i="13"/>
  <c r="C28" i="13"/>
  <c r="D27" i="13"/>
  <c r="C27" i="13"/>
  <c r="C26" i="13"/>
  <c r="C25" i="13"/>
  <c r="C24" i="13"/>
  <c r="D22" i="13"/>
  <c r="C7" i="13"/>
  <c r="C6" i="13"/>
  <c r="F5" i="13"/>
  <c r="F6" i="13" s="1"/>
  <c r="C5" i="13"/>
  <c r="C3" i="13"/>
  <c r="C22" i="13"/>
  <c r="H2" i="13"/>
  <c r="E2" i="13"/>
  <c r="C2" i="13"/>
  <c r="G16" i="13" s="1"/>
  <c r="C1" i="13" a="1"/>
  <c r="C1" i="13" s="1"/>
  <c r="J73" i="12"/>
  <c r="J71" i="12"/>
  <c r="H71" i="12" a="1"/>
  <c r="H71" i="12" s="1"/>
  <c r="J70" i="12"/>
  <c r="H70" i="12" a="1"/>
  <c r="H70" i="12" s="1"/>
  <c r="J69" i="12"/>
  <c r="D28" i="12"/>
  <c r="C28" i="12"/>
  <c r="D27" i="12"/>
  <c r="C27" i="12"/>
  <c r="C26" i="12"/>
  <c r="C25" i="12"/>
  <c r="C24" i="12"/>
  <c r="D22" i="12"/>
  <c r="C22" i="12"/>
  <c r="D21" i="12"/>
  <c r="C21" i="12"/>
  <c r="C20" i="12"/>
  <c r="C19" i="12"/>
  <c r="C18" i="12"/>
  <c r="I32" i="12"/>
  <c r="J17" i="12"/>
  <c r="J17" i="13" s="1"/>
  <c r="G16" i="12"/>
  <c r="E12" i="12"/>
  <c r="C12" i="12" a="1"/>
  <c r="C12" i="12" s="1"/>
  <c r="E11" i="12" a="1"/>
  <c r="E11" i="12" s="1"/>
  <c r="C11" i="12"/>
  <c r="E10" i="12" a="1"/>
  <c r="E10" i="12" s="1"/>
  <c r="J3" i="13" s="1"/>
  <c r="C10" i="12"/>
  <c r="E9" i="12" a="1"/>
  <c r="E9" i="12" s="1"/>
  <c r="J2" i="13" s="1"/>
  <c r="E8" i="12"/>
  <c r="C8" i="12"/>
  <c r="E5" i="12"/>
  <c r="E6" i="12" s="1"/>
  <c r="V1764" i="1"/>
  <c r="T1764" i="1"/>
  <c r="S1764" i="1"/>
  <c r="V1763" i="1"/>
  <c r="S1763" i="1"/>
  <c r="Q1763" i="1"/>
  <c r="T1763" i="1" s="1"/>
  <c r="L1763" i="1"/>
  <c r="V1762" i="1"/>
  <c r="S1762" i="1"/>
  <c r="Q1762" i="1"/>
  <c r="T1762" i="1" s="1"/>
  <c r="L1762" i="1"/>
  <c r="V1761" i="1"/>
  <c r="S1761" i="1"/>
  <c r="Q1761" i="1"/>
  <c r="T1761" i="1" s="1"/>
  <c r="L1761" i="1"/>
  <c r="V1759" i="1"/>
  <c r="T1759" i="1"/>
  <c r="S1759" i="1"/>
  <c r="V1758" i="1"/>
  <c r="S1758" i="1"/>
  <c r="Q1758" i="1"/>
  <c r="T1758" i="1" s="1"/>
  <c r="L1758" i="1"/>
  <c r="V1757" i="1"/>
  <c r="S1757" i="1"/>
  <c r="Q1757" i="1"/>
  <c r="T1757" i="1" s="1"/>
  <c r="L1757" i="1"/>
  <c r="V1755" i="1"/>
  <c r="T1755" i="1"/>
  <c r="S1755" i="1"/>
  <c r="V1754" i="1"/>
  <c r="S1754" i="1"/>
  <c r="Q1754" i="1"/>
  <c r="T1754" i="1" s="1"/>
  <c r="L1754" i="1"/>
  <c r="V1753" i="1"/>
  <c r="S1753" i="1"/>
  <c r="Q1753" i="1"/>
  <c r="T1753" i="1" s="1"/>
  <c r="L1753" i="1"/>
  <c r="V1752" i="1"/>
  <c r="S1752" i="1"/>
  <c r="Q1752" i="1"/>
  <c r="T1752" i="1" s="1"/>
  <c r="L1752" i="1"/>
  <c r="T1750" i="1"/>
  <c r="S1750" i="1"/>
  <c r="V1749" i="1"/>
  <c r="S1749" i="1"/>
  <c r="J1749" i="1"/>
  <c r="Q1749" i="1" s="1"/>
  <c r="T1749" i="1" s="1"/>
  <c r="T1748" i="1"/>
  <c r="S1748" i="1"/>
  <c r="L1748" i="1"/>
  <c r="V1747" i="1"/>
  <c r="S1747" i="1"/>
  <c r="J1747" i="1"/>
  <c r="L1747" i="1" s="1"/>
  <c r="T1746" i="1"/>
  <c r="S1746" i="1"/>
  <c r="V1745" i="1"/>
  <c r="T1745" i="1"/>
  <c r="S1745" i="1"/>
  <c r="V1744" i="1"/>
  <c r="S1744" i="1"/>
  <c r="Q1744" i="1"/>
  <c r="T1744" i="1" s="1"/>
  <c r="L1744" i="1"/>
  <c r="V1743" i="1"/>
  <c r="S1743" i="1"/>
  <c r="J1743" i="1"/>
  <c r="L1743" i="1" s="1"/>
  <c r="V1741" i="1"/>
  <c r="T1741" i="1"/>
  <c r="S1741" i="1"/>
  <c r="V1740" i="1"/>
  <c r="S1740" i="1"/>
  <c r="Q1740" i="1"/>
  <c r="T1740" i="1" s="1"/>
  <c r="L1740" i="1"/>
  <c r="V1739" i="1"/>
  <c r="S1739" i="1"/>
  <c r="Q1739" i="1"/>
  <c r="T1739" i="1" s="1"/>
  <c r="L1739" i="1"/>
  <c r="V1738" i="1"/>
  <c r="S1738" i="1"/>
  <c r="Q1738" i="1"/>
  <c r="T1738" i="1" s="1"/>
  <c r="L1738" i="1"/>
  <c r="V1737" i="1"/>
  <c r="S1737" i="1"/>
  <c r="Q1737" i="1"/>
  <c r="T1737" i="1" s="1"/>
  <c r="L1737" i="1"/>
  <c r="V1736" i="1"/>
  <c r="T1736" i="1"/>
  <c r="S1736" i="1"/>
  <c r="V1735" i="1"/>
  <c r="V1734" i="1"/>
  <c r="S1734" i="1"/>
  <c r="Q1734" i="1"/>
  <c r="T1734" i="1" s="1"/>
  <c r="L1734" i="1"/>
  <c r="V1733" i="1"/>
  <c r="S1733" i="1"/>
  <c r="J1733" i="1"/>
  <c r="L1733" i="1" s="1"/>
  <c r="V1732" i="1"/>
  <c r="S1732" i="1"/>
  <c r="J1732" i="1"/>
  <c r="V1731" i="1"/>
  <c r="S1731" i="1"/>
  <c r="Q1731" i="1"/>
  <c r="T1731" i="1" s="1"/>
  <c r="L1731" i="1"/>
  <c r="V1730" i="1"/>
  <c r="S1730" i="1"/>
  <c r="J1730" i="1"/>
  <c r="Q1730" i="1" s="1"/>
  <c r="T1730" i="1" s="1"/>
  <c r="V1729" i="1"/>
  <c r="T1729" i="1"/>
  <c r="S1729" i="1"/>
  <c r="V1728" i="1"/>
  <c r="V1727" i="1"/>
  <c r="S1727" i="1"/>
  <c r="Q1727" i="1"/>
  <c r="T1727" i="1" s="1"/>
  <c r="L1727" i="1"/>
  <c r="V1726" i="1"/>
  <c r="S1726" i="1"/>
  <c r="Q1726" i="1"/>
  <c r="T1726" i="1" s="1"/>
  <c r="L1726" i="1"/>
  <c r="V1725" i="1"/>
  <c r="S1725" i="1"/>
  <c r="Q1725" i="1"/>
  <c r="T1725" i="1" s="1"/>
  <c r="L1725" i="1"/>
  <c r="V1724" i="1"/>
  <c r="S1724" i="1"/>
  <c r="Q1724" i="1"/>
  <c r="T1724" i="1" s="1"/>
  <c r="L1724" i="1"/>
  <c r="V1723" i="1"/>
  <c r="S1723" i="1"/>
  <c r="J1723" i="1"/>
  <c r="L1723" i="1" s="1"/>
  <c r="V1722" i="1"/>
  <c r="S1722" i="1"/>
  <c r="J1722" i="1"/>
  <c r="Q1722" i="1" s="1"/>
  <c r="T1722" i="1" s="1"/>
  <c r="V1721" i="1"/>
  <c r="S1721" i="1"/>
  <c r="J1721" i="1"/>
  <c r="Q1721" i="1" s="1"/>
  <c r="T1721" i="1" s="1"/>
  <c r="V1720" i="1"/>
  <c r="S1720" i="1"/>
  <c r="J1720" i="1"/>
  <c r="L1720" i="1" s="1"/>
  <c r="V1719" i="1"/>
  <c r="S1719" i="1"/>
  <c r="J1719" i="1"/>
  <c r="L1719" i="1" s="1"/>
  <c r="V1718" i="1"/>
  <c r="S1718" i="1"/>
  <c r="J1718" i="1"/>
  <c r="L1718" i="1" s="1"/>
  <c r="V1717" i="1"/>
  <c r="S1717" i="1"/>
  <c r="J1717" i="1"/>
  <c r="V1716" i="1"/>
  <c r="S1716" i="1"/>
  <c r="J1716" i="1"/>
  <c r="V1715" i="1"/>
  <c r="S1715" i="1"/>
  <c r="J1715" i="1"/>
  <c r="Q1715" i="1" s="1"/>
  <c r="T1715" i="1" s="1"/>
  <c r="V1714" i="1"/>
  <c r="T1714" i="1"/>
  <c r="S1714" i="1"/>
  <c r="V1713" i="1"/>
  <c r="T1713" i="1"/>
  <c r="S1713" i="1"/>
  <c r="P1712" i="1"/>
  <c r="J1712" i="1"/>
  <c r="L1712" i="1" s="1"/>
  <c r="V1711" i="1"/>
  <c r="S1711" i="1"/>
  <c r="J1711" i="1"/>
  <c r="L1711" i="1" s="1"/>
  <c r="V1710" i="1"/>
  <c r="S1710" i="1"/>
  <c r="J1710" i="1"/>
  <c r="Q1710" i="1" s="1"/>
  <c r="T1710" i="1" s="1"/>
  <c r="V1709" i="1"/>
  <c r="S1709" i="1"/>
  <c r="J1709" i="1"/>
  <c r="Q1709" i="1" s="1"/>
  <c r="T1709" i="1" s="1"/>
  <c r="V1708" i="1"/>
  <c r="V1707" i="1"/>
  <c r="T1707" i="1"/>
  <c r="S1707" i="1"/>
  <c r="V1706" i="1"/>
  <c r="S1706" i="1"/>
  <c r="J1706" i="1"/>
  <c r="L1706" i="1" s="1"/>
  <c r="V1705" i="1"/>
  <c r="S1705" i="1"/>
  <c r="J1705" i="1"/>
  <c r="T1704" i="1"/>
  <c r="S1704" i="1"/>
  <c r="T1703" i="1"/>
  <c r="S1703" i="1"/>
  <c r="V1702" i="1"/>
  <c r="S1702" i="1"/>
  <c r="Q1702" i="1"/>
  <c r="T1702" i="1" s="1"/>
  <c r="L1702" i="1"/>
  <c r="V1701" i="1"/>
  <c r="S1701" i="1"/>
  <c r="J1701" i="1"/>
  <c r="Q1701" i="1" s="1"/>
  <c r="T1701" i="1" s="1"/>
  <c r="T1700" i="1"/>
  <c r="S1700" i="1"/>
  <c r="V1699" i="1"/>
  <c r="V1698" i="1"/>
  <c r="S1698" i="1"/>
  <c r="Q1698" i="1"/>
  <c r="T1698" i="1" s="1"/>
  <c r="L1698" i="1"/>
  <c r="V1697" i="1"/>
  <c r="S1697" i="1"/>
  <c r="J1697" i="1"/>
  <c r="Q1697" i="1" s="1"/>
  <c r="T1697" i="1" s="1"/>
  <c r="V1696" i="1"/>
  <c r="T1696" i="1"/>
  <c r="S1696" i="1"/>
  <c r="V1695" i="1"/>
  <c r="V1694" i="1"/>
  <c r="S1694" i="1"/>
  <c r="Q1694" i="1"/>
  <c r="T1694" i="1" s="1"/>
  <c r="L1694" i="1"/>
  <c r="V1693" i="1"/>
  <c r="S1693" i="1"/>
  <c r="J1693" i="1"/>
  <c r="Q1693" i="1" s="1"/>
  <c r="T1693" i="1" s="1"/>
  <c r="V1692" i="1"/>
  <c r="T1692" i="1"/>
  <c r="S1692" i="1"/>
  <c r="V1691" i="1"/>
  <c r="V1690" i="1"/>
  <c r="S1690" i="1"/>
  <c r="Q1690" i="1"/>
  <c r="T1690" i="1" s="1"/>
  <c r="L1690" i="1"/>
  <c r="V1689" i="1"/>
  <c r="S1689" i="1"/>
  <c r="J1689" i="1"/>
  <c r="L1689" i="1" s="1"/>
  <c r="V1688" i="1"/>
  <c r="T1688" i="1"/>
  <c r="S1688" i="1"/>
  <c r="V1687" i="1"/>
  <c r="V1686" i="1"/>
  <c r="S1686" i="1"/>
  <c r="Q1686" i="1"/>
  <c r="T1686" i="1" s="1"/>
  <c r="L1686" i="1"/>
  <c r="V1685" i="1"/>
  <c r="S1685" i="1"/>
  <c r="Q1685" i="1"/>
  <c r="T1685" i="1" s="1"/>
  <c r="L1685" i="1"/>
  <c r="V1684" i="1"/>
  <c r="S1684" i="1"/>
  <c r="J1684" i="1"/>
  <c r="L1684" i="1" s="1"/>
  <c r="V1683" i="1"/>
  <c r="S1683" i="1"/>
  <c r="J1683" i="1"/>
  <c r="L1683" i="1" s="1"/>
  <c r="V1682" i="1"/>
  <c r="T1682" i="1"/>
  <c r="S1682" i="1"/>
  <c r="V1681" i="1"/>
  <c r="P1680" i="1"/>
  <c r="Q1680" i="1" s="1"/>
  <c r="T1680" i="1" s="1"/>
  <c r="P1679" i="1"/>
  <c r="V1679" i="1" s="1"/>
  <c r="J1679" i="1"/>
  <c r="L1679" i="1" s="1"/>
  <c r="V1678" i="1"/>
  <c r="S1678" i="1"/>
  <c r="Q1678" i="1"/>
  <c r="T1678" i="1" s="1"/>
  <c r="P1677" i="1"/>
  <c r="V1677" i="1" s="1"/>
  <c r="P1676" i="1"/>
  <c r="V1676" i="1" s="1"/>
  <c r="J1676" i="1"/>
  <c r="L1676" i="1" s="1"/>
  <c r="P1675" i="1"/>
  <c r="Q1675" i="1" s="1"/>
  <c r="T1675" i="1" s="1"/>
  <c r="P1674" i="1"/>
  <c r="V1674" i="1" s="1"/>
  <c r="J1674" i="1"/>
  <c r="L1674" i="1" s="1"/>
  <c r="P1673" i="1"/>
  <c r="S1673" i="1" s="1"/>
  <c r="J1673" i="1"/>
  <c r="L1673" i="1" s="1"/>
  <c r="P1672" i="1"/>
  <c r="Q1672" i="1" s="1"/>
  <c r="T1672" i="1" s="1"/>
  <c r="P1671" i="1"/>
  <c r="S1671" i="1" s="1"/>
  <c r="J1671" i="1"/>
  <c r="L1671" i="1" s="1"/>
  <c r="V1670" i="1"/>
  <c r="S1670" i="1"/>
  <c r="Q1670" i="1"/>
  <c r="T1670" i="1" s="1"/>
  <c r="P1669" i="1"/>
  <c r="Q1669" i="1" s="1"/>
  <c r="T1669" i="1" s="1"/>
  <c r="P1668" i="1"/>
  <c r="S1668" i="1" s="1"/>
  <c r="J1668" i="1"/>
  <c r="L1668" i="1" s="1"/>
  <c r="P1667" i="1"/>
  <c r="J1667" i="1"/>
  <c r="L1667" i="1" s="1"/>
  <c r="P1666" i="1"/>
  <c r="S1666" i="1" s="1"/>
  <c r="J1666" i="1"/>
  <c r="L1666" i="1" s="1"/>
  <c r="P1665" i="1"/>
  <c r="V1665" i="1" s="1"/>
  <c r="P1664" i="1"/>
  <c r="V1664" i="1" s="1"/>
  <c r="J1664" i="1"/>
  <c r="L1664" i="1" s="1"/>
  <c r="V1663" i="1"/>
  <c r="S1663" i="1"/>
  <c r="Q1663" i="1"/>
  <c r="T1663" i="1" s="1"/>
  <c r="L1663" i="1"/>
  <c r="P1662" i="1"/>
  <c r="Q1662" i="1" s="1"/>
  <c r="T1662" i="1" s="1"/>
  <c r="P1661" i="1"/>
  <c r="V1661" i="1" s="1"/>
  <c r="J1661" i="1"/>
  <c r="L1661" i="1" s="1"/>
  <c r="P1660" i="1"/>
  <c r="S1660" i="1" s="1"/>
  <c r="P1659" i="1"/>
  <c r="V1659" i="1" s="1"/>
  <c r="J1659" i="1"/>
  <c r="V1658" i="1"/>
  <c r="T1658" i="1"/>
  <c r="S1658" i="1"/>
  <c r="T1657" i="1"/>
  <c r="S1657" i="1"/>
  <c r="V1656" i="1"/>
  <c r="S1656" i="1"/>
  <c r="Q1656" i="1"/>
  <c r="T1656" i="1" s="1"/>
  <c r="L1656" i="1"/>
  <c r="V1655" i="1"/>
  <c r="S1655" i="1"/>
  <c r="J1655" i="1"/>
  <c r="L1655" i="1" s="1"/>
  <c r="V1654" i="1"/>
  <c r="T1654" i="1"/>
  <c r="S1654" i="1"/>
  <c r="V1653" i="1"/>
  <c r="S1653" i="1"/>
  <c r="J1653" i="1"/>
  <c r="L1653" i="1" s="1"/>
  <c r="V1652" i="1"/>
  <c r="S1652" i="1"/>
  <c r="J1652" i="1"/>
  <c r="L1652" i="1" s="1"/>
  <c r="T1651" i="1"/>
  <c r="S1651" i="1"/>
  <c r="V1650" i="1"/>
  <c r="T1650" i="1"/>
  <c r="S1650" i="1"/>
  <c r="V1649" i="1"/>
  <c r="S1649" i="1"/>
  <c r="Q1649" i="1"/>
  <c r="T1649" i="1" s="1"/>
  <c r="L1649" i="1"/>
  <c r="V1648" i="1"/>
  <c r="S1648" i="1"/>
  <c r="Q1648" i="1"/>
  <c r="T1648" i="1" s="1"/>
  <c r="L1648" i="1"/>
  <c r="V1647" i="1"/>
  <c r="T1647" i="1"/>
  <c r="S1647" i="1"/>
  <c r="V1646" i="1"/>
  <c r="V1645" i="1"/>
  <c r="S1645" i="1"/>
  <c r="Q1645" i="1"/>
  <c r="T1645" i="1" s="1"/>
  <c r="L1645" i="1"/>
  <c r="V1644" i="1"/>
  <c r="S1644" i="1"/>
  <c r="Q1644" i="1"/>
  <c r="T1644" i="1" s="1"/>
  <c r="L1644" i="1"/>
  <c r="V1643" i="1"/>
  <c r="S1643" i="1"/>
  <c r="Q1643" i="1"/>
  <c r="T1643" i="1" s="1"/>
  <c r="L1643" i="1"/>
  <c r="V1642" i="1"/>
  <c r="S1642" i="1"/>
  <c r="Q1642" i="1"/>
  <c r="T1642" i="1" s="1"/>
  <c r="L1642" i="1"/>
  <c r="V1641" i="1"/>
  <c r="S1641" i="1"/>
  <c r="Q1641" i="1"/>
  <c r="T1641" i="1" s="1"/>
  <c r="L1641" i="1"/>
  <c r="V1640" i="1"/>
  <c r="T1640" i="1"/>
  <c r="S1640" i="1"/>
  <c r="V1639" i="1"/>
  <c r="V1638" i="1"/>
  <c r="S1638" i="1"/>
  <c r="Q1638" i="1"/>
  <c r="T1638" i="1" s="1"/>
  <c r="L1638" i="1"/>
  <c r="V1637" i="1"/>
  <c r="S1637" i="1"/>
  <c r="J1637" i="1"/>
  <c r="Q1637" i="1" s="1"/>
  <c r="T1637" i="1" s="1"/>
  <c r="V1636" i="1"/>
  <c r="S1636" i="1"/>
  <c r="J1636" i="1"/>
  <c r="Q1636" i="1" s="1"/>
  <c r="T1636" i="1" s="1"/>
  <c r="V1635" i="1"/>
  <c r="S1635" i="1"/>
  <c r="J1635" i="1"/>
  <c r="L1635" i="1" s="1"/>
  <c r="V1634" i="1"/>
  <c r="S1634" i="1"/>
  <c r="J1634" i="1"/>
  <c r="Q1634" i="1" s="1"/>
  <c r="T1634" i="1" s="1"/>
  <c r="V1633" i="1"/>
  <c r="S1633" i="1"/>
  <c r="J1633" i="1"/>
  <c r="Q1633" i="1" s="1"/>
  <c r="T1633" i="1" s="1"/>
  <c r="V1632" i="1"/>
  <c r="S1632" i="1"/>
  <c r="J1632" i="1"/>
  <c r="L1632" i="1" s="1"/>
  <c r="V1631" i="1"/>
  <c r="S1631" i="1"/>
  <c r="J1631" i="1"/>
  <c r="Q1631" i="1" s="1"/>
  <c r="T1631" i="1" s="1"/>
  <c r="V1630" i="1"/>
  <c r="S1630" i="1"/>
  <c r="J1630" i="1"/>
  <c r="Q1630" i="1" s="1"/>
  <c r="T1630" i="1" s="1"/>
  <c r="V1629" i="1"/>
  <c r="S1629" i="1"/>
  <c r="J1629" i="1"/>
  <c r="Q1629" i="1" s="1"/>
  <c r="T1629" i="1" s="1"/>
  <c r="V1628" i="1"/>
  <c r="S1628" i="1"/>
  <c r="J1628" i="1"/>
  <c r="V1627" i="1"/>
  <c r="S1627" i="1"/>
  <c r="J1627" i="1"/>
  <c r="L1627" i="1" s="1"/>
  <c r="V1626" i="1"/>
  <c r="S1626" i="1"/>
  <c r="J1626" i="1"/>
  <c r="V1625" i="1"/>
  <c r="S1625" i="1"/>
  <c r="J1625" i="1"/>
  <c r="V1624" i="1"/>
  <c r="S1624" i="1"/>
  <c r="J1624" i="1"/>
  <c r="Q1624" i="1" s="1"/>
  <c r="T1624" i="1" s="1"/>
  <c r="V1623" i="1"/>
  <c r="S1623" i="1"/>
  <c r="J1623" i="1"/>
  <c r="Q1623" i="1" s="1"/>
  <c r="T1623" i="1" s="1"/>
  <c r="V1622" i="1"/>
  <c r="T1622" i="1"/>
  <c r="S1622" i="1"/>
  <c r="V1621" i="1"/>
  <c r="V1620" i="1"/>
  <c r="S1620" i="1"/>
  <c r="Q1620" i="1"/>
  <c r="T1620" i="1" s="1"/>
  <c r="L1620" i="1"/>
  <c r="V1619" i="1"/>
  <c r="S1619" i="1"/>
  <c r="J1619" i="1"/>
  <c r="L1619" i="1" s="1"/>
  <c r="V1618" i="1"/>
  <c r="S1618" i="1"/>
  <c r="J1618" i="1"/>
  <c r="L1618" i="1" s="1"/>
  <c r="V1617" i="1"/>
  <c r="T1617" i="1"/>
  <c r="S1617" i="1"/>
  <c r="T1616" i="1"/>
  <c r="S1616" i="1"/>
  <c r="S1615" i="1"/>
  <c r="Q1615" i="1"/>
  <c r="T1615" i="1" s="1"/>
  <c r="L1615" i="1"/>
  <c r="V1614" i="1"/>
  <c r="S1614" i="1"/>
  <c r="J1614" i="1"/>
  <c r="L1614" i="1" s="1"/>
  <c r="V1613" i="1"/>
  <c r="S1613" i="1"/>
  <c r="J1613" i="1"/>
  <c r="Q1613" i="1" s="1"/>
  <c r="T1613" i="1" s="1"/>
  <c r="V1612" i="1"/>
  <c r="T1612" i="1"/>
  <c r="S1612" i="1"/>
  <c r="T1611" i="1"/>
  <c r="S1611" i="1"/>
  <c r="S1610" i="1"/>
  <c r="Q1610" i="1"/>
  <c r="T1610" i="1" s="1"/>
  <c r="L1610" i="1"/>
  <c r="V1609" i="1"/>
  <c r="S1609" i="1"/>
  <c r="J1609" i="1"/>
  <c r="Q1609" i="1" s="1"/>
  <c r="T1609" i="1" s="1"/>
  <c r="V1608" i="1"/>
  <c r="S1608" i="1"/>
  <c r="J1608" i="1"/>
  <c r="L1608" i="1" s="1"/>
  <c r="V1607" i="1"/>
  <c r="S1607" i="1"/>
  <c r="J1607" i="1"/>
  <c r="L1607" i="1" s="1"/>
  <c r="V1606" i="1"/>
  <c r="T1606" i="1"/>
  <c r="S1606" i="1"/>
  <c r="V1605" i="1"/>
  <c r="S1604" i="1"/>
  <c r="Q1604" i="1"/>
  <c r="T1604" i="1" s="1"/>
  <c r="V1603" i="1"/>
  <c r="S1603" i="1"/>
  <c r="Q1603" i="1"/>
  <c r="T1603" i="1" s="1"/>
  <c r="L1603" i="1"/>
  <c r="V1602" i="1"/>
  <c r="T1602" i="1"/>
  <c r="S1602" i="1"/>
  <c r="V1601" i="1"/>
  <c r="V1600" i="1"/>
  <c r="S1600" i="1"/>
  <c r="Q1600" i="1"/>
  <c r="T1600" i="1" s="1"/>
  <c r="L1600" i="1"/>
  <c r="V1599" i="1"/>
  <c r="S1599" i="1"/>
  <c r="J1599" i="1"/>
  <c r="Q1599" i="1" s="1"/>
  <c r="T1599" i="1" s="1"/>
  <c r="V1598" i="1"/>
  <c r="S1598" i="1"/>
  <c r="J1598" i="1"/>
  <c r="V1597" i="1"/>
  <c r="T1597" i="1"/>
  <c r="S1597" i="1"/>
  <c r="T1596" i="1"/>
  <c r="S1596" i="1"/>
  <c r="V1595" i="1"/>
  <c r="S1595" i="1"/>
  <c r="J1595" i="1"/>
  <c r="Q1595" i="1" s="1"/>
  <c r="T1595" i="1" s="1"/>
  <c r="V1594" i="1"/>
  <c r="S1594" i="1"/>
  <c r="J1594" i="1"/>
  <c r="L1594" i="1" s="1"/>
  <c r="V1593" i="1"/>
  <c r="S1593" i="1"/>
  <c r="J1593" i="1"/>
  <c r="Q1593" i="1" s="1"/>
  <c r="T1593" i="1" s="1"/>
  <c r="V1592" i="1"/>
  <c r="S1592" i="1"/>
  <c r="J1592" i="1"/>
  <c r="L1592" i="1" s="1"/>
  <c r="V1591" i="1"/>
  <c r="S1591" i="1"/>
  <c r="J1591" i="1"/>
  <c r="L1591" i="1" s="1"/>
  <c r="T1590" i="1"/>
  <c r="S1590" i="1"/>
  <c r="T1589" i="1"/>
  <c r="S1589" i="1"/>
  <c r="V1588" i="1"/>
  <c r="S1588" i="1"/>
  <c r="J1588" i="1"/>
  <c r="L1588" i="1" s="1"/>
  <c r="V1587" i="1"/>
  <c r="S1587" i="1"/>
  <c r="J1587" i="1"/>
  <c r="Q1587" i="1" s="1"/>
  <c r="T1587" i="1" s="1"/>
  <c r="V1586" i="1"/>
  <c r="S1586" i="1"/>
  <c r="J1586" i="1"/>
  <c r="V1585" i="1"/>
  <c r="S1585" i="1"/>
  <c r="J1585" i="1"/>
  <c r="L1585" i="1" s="1"/>
  <c r="V1584" i="1"/>
  <c r="S1584" i="1"/>
  <c r="J1584" i="1"/>
  <c r="L1584" i="1" s="1"/>
  <c r="T1583" i="1"/>
  <c r="S1583" i="1"/>
  <c r="T1582" i="1"/>
  <c r="S1582" i="1"/>
  <c r="V1581" i="1"/>
  <c r="S1581" i="1"/>
  <c r="J1581" i="1"/>
  <c r="Q1581" i="1" s="1"/>
  <c r="T1581" i="1" s="1"/>
  <c r="V1580" i="1"/>
  <c r="S1580" i="1"/>
  <c r="J1580" i="1"/>
  <c r="Q1580" i="1" s="1"/>
  <c r="T1580" i="1" s="1"/>
  <c r="V1579" i="1"/>
  <c r="S1579" i="1"/>
  <c r="J1579" i="1"/>
  <c r="Q1579" i="1" s="1"/>
  <c r="T1579" i="1" s="1"/>
  <c r="V1578" i="1"/>
  <c r="S1578" i="1"/>
  <c r="J1578" i="1"/>
  <c r="V1577" i="1"/>
  <c r="S1577" i="1"/>
  <c r="J1577" i="1"/>
  <c r="L1577" i="1" s="1"/>
  <c r="V1576" i="1"/>
  <c r="S1576" i="1"/>
  <c r="J1576" i="1"/>
  <c r="L1576" i="1" s="1"/>
  <c r="V1575" i="1"/>
  <c r="S1575" i="1"/>
  <c r="J1575" i="1"/>
  <c r="L1575" i="1" s="1"/>
  <c r="V1574" i="1"/>
  <c r="S1574" i="1"/>
  <c r="J1574" i="1"/>
  <c r="L1574" i="1" s="1"/>
  <c r="V1573" i="1"/>
  <c r="S1573" i="1"/>
  <c r="J1573" i="1"/>
  <c r="L1573" i="1" s="1"/>
  <c r="V1572" i="1"/>
  <c r="S1572" i="1"/>
  <c r="J1572" i="1"/>
  <c r="Q1572" i="1" s="1"/>
  <c r="T1572" i="1" s="1"/>
  <c r="V1571" i="1"/>
  <c r="S1571" i="1"/>
  <c r="J1571" i="1"/>
  <c r="L1571" i="1" s="1"/>
  <c r="V1570" i="1"/>
  <c r="S1570" i="1"/>
  <c r="J1570" i="1"/>
  <c r="Q1570" i="1" s="1"/>
  <c r="T1570" i="1" s="1"/>
  <c r="V1569" i="1"/>
  <c r="S1569" i="1"/>
  <c r="J1569" i="1"/>
  <c r="L1569" i="1" s="1"/>
  <c r="V1568" i="1"/>
  <c r="S1568" i="1"/>
  <c r="J1568" i="1"/>
  <c r="Q1568" i="1" s="1"/>
  <c r="T1568" i="1" s="1"/>
  <c r="V1567" i="1"/>
  <c r="S1567" i="1"/>
  <c r="J1567" i="1"/>
  <c r="Q1567" i="1" s="1"/>
  <c r="T1567" i="1" s="1"/>
  <c r="V1566" i="1"/>
  <c r="S1566" i="1"/>
  <c r="J1566" i="1"/>
  <c r="L1566" i="1" s="1"/>
  <c r="V1565" i="1"/>
  <c r="S1565" i="1"/>
  <c r="J1565" i="1"/>
  <c r="L1565" i="1" s="1"/>
  <c r="V1564" i="1"/>
  <c r="S1564" i="1"/>
  <c r="J1564" i="1"/>
  <c r="V1563" i="1"/>
  <c r="S1563" i="1"/>
  <c r="J1563" i="1"/>
  <c r="Q1563" i="1" s="1"/>
  <c r="T1563" i="1" s="1"/>
  <c r="T1562" i="1"/>
  <c r="S1562" i="1"/>
  <c r="V1561" i="1"/>
  <c r="T1561" i="1"/>
  <c r="S1561" i="1"/>
  <c r="V1560" i="1"/>
  <c r="S1560" i="1"/>
  <c r="Q1560" i="1"/>
  <c r="T1560" i="1" s="1"/>
  <c r="L1560" i="1"/>
  <c r="V1559" i="1"/>
  <c r="S1559" i="1"/>
  <c r="J1559" i="1"/>
  <c r="V1558" i="1"/>
  <c r="V1557" i="1"/>
  <c r="V1556" i="1"/>
  <c r="S1556" i="1"/>
  <c r="Q1556" i="1"/>
  <c r="T1556" i="1" s="1"/>
  <c r="L1556" i="1"/>
  <c r="V1555" i="1"/>
  <c r="S1555" i="1"/>
  <c r="J1555" i="1"/>
  <c r="L1555" i="1" s="1"/>
  <c r="V1554" i="1"/>
  <c r="S1554" i="1"/>
  <c r="J1554" i="1"/>
  <c r="L1554" i="1" s="1"/>
  <c r="V1553" i="1"/>
  <c r="S1553" i="1"/>
  <c r="J1553" i="1"/>
  <c r="L1553" i="1" s="1"/>
  <c r="V1552" i="1"/>
  <c r="S1552" i="1"/>
  <c r="J1552" i="1"/>
  <c r="Q1552" i="1" s="1"/>
  <c r="T1552" i="1" s="1"/>
  <c r="V1551" i="1"/>
  <c r="S1551" i="1"/>
  <c r="J1551" i="1"/>
  <c r="L1551" i="1" s="1"/>
  <c r="V1550" i="1"/>
  <c r="S1550" i="1"/>
  <c r="J1550" i="1"/>
  <c r="V1549" i="1"/>
  <c r="S1549" i="1"/>
  <c r="J1549" i="1"/>
  <c r="Q1549" i="1" s="1"/>
  <c r="T1549" i="1" s="1"/>
  <c r="V1548" i="1"/>
  <c r="S1548" i="1"/>
  <c r="J1548" i="1"/>
  <c r="L1548" i="1" s="1"/>
  <c r="V1547" i="1"/>
  <c r="S1547" i="1"/>
  <c r="J1547" i="1"/>
  <c r="L1547" i="1" s="1"/>
  <c r="V1546" i="1"/>
  <c r="S1546" i="1"/>
  <c r="J1546" i="1"/>
  <c r="L1546" i="1" s="1"/>
  <c r="V1545" i="1"/>
  <c r="S1545" i="1"/>
  <c r="J1545" i="1"/>
  <c r="Q1545" i="1" s="1"/>
  <c r="T1545" i="1" s="1"/>
  <c r="V1544" i="1"/>
  <c r="S1544" i="1"/>
  <c r="J1544" i="1"/>
  <c r="L1544" i="1" s="1"/>
  <c r="V1543" i="1"/>
  <c r="S1543" i="1"/>
  <c r="J1543" i="1"/>
  <c r="Q1543" i="1" s="1"/>
  <c r="T1543" i="1" s="1"/>
  <c r="V1542" i="1"/>
  <c r="S1542" i="1"/>
  <c r="J1542" i="1"/>
  <c r="L1542" i="1" s="1"/>
  <c r="V1541" i="1"/>
  <c r="S1541" i="1"/>
  <c r="J1541" i="1"/>
  <c r="Q1541" i="1" s="1"/>
  <c r="T1541" i="1" s="1"/>
  <c r="V1540" i="1"/>
  <c r="S1540" i="1"/>
  <c r="J1540" i="1"/>
  <c r="L1540" i="1" s="1"/>
  <c r="V1539" i="1"/>
  <c r="S1539" i="1"/>
  <c r="J1539" i="1"/>
  <c r="Q1539" i="1" s="1"/>
  <c r="T1539" i="1" s="1"/>
  <c r="V1538" i="1"/>
  <c r="S1538" i="1"/>
  <c r="J1538" i="1"/>
  <c r="L1538" i="1" s="1"/>
  <c r="V1537" i="1"/>
  <c r="S1537" i="1"/>
  <c r="J1537" i="1"/>
  <c r="Q1537" i="1" s="1"/>
  <c r="T1537" i="1" s="1"/>
  <c r="V1536" i="1"/>
  <c r="S1536" i="1"/>
  <c r="J1536" i="1"/>
  <c r="Q1536" i="1" s="1"/>
  <c r="T1536" i="1" s="1"/>
  <c r="V1535" i="1"/>
  <c r="S1535" i="1"/>
  <c r="J1535" i="1"/>
  <c r="L1535" i="1" s="1"/>
  <c r="V1534" i="1"/>
  <c r="S1534" i="1"/>
  <c r="J1534" i="1"/>
  <c r="Q1534" i="1" s="1"/>
  <c r="T1534" i="1" s="1"/>
  <c r="V1533" i="1"/>
  <c r="S1533" i="1"/>
  <c r="J1533" i="1"/>
  <c r="L1533" i="1" s="1"/>
  <c r="V1532" i="1"/>
  <c r="S1532" i="1"/>
  <c r="J1532" i="1"/>
  <c r="L1532" i="1" s="1"/>
  <c r="V1531" i="1"/>
  <c r="S1531" i="1"/>
  <c r="J1531" i="1"/>
  <c r="L1531" i="1" s="1"/>
  <c r="V1530" i="1"/>
  <c r="S1530" i="1"/>
  <c r="J1530" i="1"/>
  <c r="Q1530" i="1" s="1"/>
  <c r="T1530" i="1" s="1"/>
  <c r="V1529" i="1"/>
  <c r="T1529" i="1"/>
  <c r="S1529" i="1"/>
  <c r="V1528" i="1"/>
  <c r="V1527" i="1"/>
  <c r="S1527" i="1"/>
  <c r="Q1527" i="1"/>
  <c r="T1527" i="1" s="1"/>
  <c r="L1527" i="1"/>
  <c r="V1526" i="1"/>
  <c r="S1526" i="1"/>
  <c r="J1526" i="1"/>
  <c r="Q1526" i="1" s="1"/>
  <c r="T1526" i="1" s="1"/>
  <c r="V1525" i="1"/>
  <c r="S1525" i="1"/>
  <c r="J1525" i="1"/>
  <c r="L1525" i="1" s="1"/>
  <c r="V1524" i="1"/>
  <c r="T1524" i="1"/>
  <c r="S1524" i="1"/>
  <c r="V1523" i="1"/>
  <c r="S1523" i="1"/>
  <c r="J1523" i="1"/>
  <c r="L1523" i="1" s="1"/>
  <c r="V1522" i="1"/>
  <c r="S1522" i="1"/>
  <c r="J1522" i="1"/>
  <c r="Q1522" i="1" s="1"/>
  <c r="T1522" i="1" s="1"/>
  <c r="V1521" i="1"/>
  <c r="S1521" i="1"/>
  <c r="J1521" i="1"/>
  <c r="V1520" i="1"/>
  <c r="S1520" i="1"/>
  <c r="J1520" i="1"/>
  <c r="Q1520" i="1" s="1"/>
  <c r="T1520" i="1" s="1"/>
  <c r="V1519" i="1"/>
  <c r="S1519" i="1"/>
  <c r="J1519" i="1"/>
  <c r="L1519" i="1" s="1"/>
  <c r="V1518" i="1"/>
  <c r="S1518" i="1"/>
  <c r="J1518" i="1"/>
  <c r="Q1518" i="1" s="1"/>
  <c r="T1518" i="1" s="1"/>
  <c r="V1517" i="1"/>
  <c r="T1517" i="1"/>
  <c r="S1517" i="1"/>
  <c r="T1516" i="1"/>
  <c r="S1516" i="1"/>
  <c r="V1515" i="1"/>
  <c r="S1515" i="1"/>
  <c r="J1515" i="1"/>
  <c r="Q1515" i="1" s="1"/>
  <c r="T1515" i="1" s="1"/>
  <c r="V1514" i="1"/>
  <c r="S1514" i="1"/>
  <c r="J1514" i="1"/>
  <c r="T1513" i="1"/>
  <c r="S1513" i="1"/>
  <c r="T1512" i="1"/>
  <c r="S1512" i="1"/>
  <c r="S1511" i="1"/>
  <c r="Q1511" i="1"/>
  <c r="T1511" i="1" s="1"/>
  <c r="L1511" i="1"/>
  <c r="P1510" i="1"/>
  <c r="S1510" i="1" s="1"/>
  <c r="J1510" i="1"/>
  <c r="L1510" i="1" s="1"/>
  <c r="T1509" i="1"/>
  <c r="S1509" i="1"/>
  <c r="V1508" i="1"/>
  <c r="S1507" i="1"/>
  <c r="Q1507" i="1"/>
  <c r="T1507" i="1" s="1"/>
  <c r="V1506" i="1"/>
  <c r="S1506" i="1"/>
  <c r="Q1506" i="1"/>
  <c r="T1506" i="1" s="1"/>
  <c r="L1506" i="1"/>
  <c r="V1505" i="1"/>
  <c r="T1505" i="1"/>
  <c r="S1505" i="1"/>
  <c r="T1504" i="1"/>
  <c r="S1504" i="1"/>
  <c r="V1503" i="1"/>
  <c r="S1503" i="1"/>
  <c r="Q1503" i="1"/>
  <c r="T1503" i="1" s="1"/>
  <c r="L1503" i="1"/>
  <c r="V1502" i="1"/>
  <c r="S1502" i="1"/>
  <c r="Q1502" i="1"/>
  <c r="T1502" i="1" s="1"/>
  <c r="L1502" i="1"/>
  <c r="V1501" i="1"/>
  <c r="S1501" i="1"/>
  <c r="Q1501" i="1"/>
  <c r="T1501" i="1" s="1"/>
  <c r="L1501" i="1"/>
  <c r="V1500" i="1"/>
  <c r="S1500" i="1"/>
  <c r="Q1500" i="1"/>
  <c r="T1500" i="1" s="1"/>
  <c r="L1500" i="1"/>
  <c r="V1499" i="1"/>
  <c r="S1499" i="1"/>
  <c r="Q1499" i="1"/>
  <c r="T1499" i="1" s="1"/>
  <c r="L1499" i="1"/>
  <c r="V1498" i="1"/>
  <c r="S1498" i="1"/>
  <c r="Q1498" i="1"/>
  <c r="T1498" i="1" s="1"/>
  <c r="L1498" i="1"/>
  <c r="V1497" i="1"/>
  <c r="S1497" i="1"/>
  <c r="Q1497" i="1"/>
  <c r="T1497" i="1" s="1"/>
  <c r="L1497" i="1"/>
  <c r="V1496" i="1"/>
  <c r="S1496" i="1"/>
  <c r="Q1496" i="1"/>
  <c r="T1496" i="1" s="1"/>
  <c r="L1496" i="1"/>
  <c r="V1495" i="1"/>
  <c r="S1495" i="1"/>
  <c r="Q1495" i="1"/>
  <c r="T1495" i="1" s="1"/>
  <c r="L1495" i="1"/>
  <c r="V1494" i="1"/>
  <c r="S1494" i="1"/>
  <c r="Q1494" i="1"/>
  <c r="T1494" i="1" s="1"/>
  <c r="L1494" i="1"/>
  <c r="V1493" i="1"/>
  <c r="S1493" i="1"/>
  <c r="Q1493" i="1"/>
  <c r="T1493" i="1" s="1"/>
  <c r="L1493" i="1"/>
  <c r="V1492" i="1"/>
  <c r="S1492" i="1"/>
  <c r="Q1492" i="1"/>
  <c r="T1492" i="1" s="1"/>
  <c r="L1492" i="1"/>
  <c r="V1491" i="1"/>
  <c r="S1491" i="1"/>
  <c r="Q1491" i="1"/>
  <c r="T1491" i="1" s="1"/>
  <c r="L1491" i="1"/>
  <c r="V1490" i="1"/>
  <c r="S1490" i="1"/>
  <c r="Q1490" i="1"/>
  <c r="T1490" i="1" s="1"/>
  <c r="L1490" i="1"/>
  <c r="V1489" i="1"/>
  <c r="S1489" i="1"/>
  <c r="Q1489" i="1"/>
  <c r="T1489" i="1" s="1"/>
  <c r="L1489" i="1"/>
  <c r="V1488" i="1"/>
  <c r="S1488" i="1"/>
  <c r="Q1488" i="1"/>
  <c r="T1488" i="1" s="1"/>
  <c r="L1488" i="1"/>
  <c r="V1487" i="1"/>
  <c r="S1487" i="1"/>
  <c r="Q1487" i="1"/>
  <c r="T1487" i="1" s="1"/>
  <c r="L1487" i="1"/>
  <c r="V1486" i="1"/>
  <c r="S1486" i="1"/>
  <c r="Q1486" i="1"/>
  <c r="T1486" i="1" s="1"/>
  <c r="L1486" i="1"/>
  <c r="V1485" i="1"/>
  <c r="S1485" i="1"/>
  <c r="Q1485" i="1"/>
  <c r="T1485" i="1" s="1"/>
  <c r="L1485" i="1"/>
  <c r="T1484" i="1"/>
  <c r="S1484" i="1"/>
  <c r="T1483" i="1"/>
  <c r="S1483" i="1"/>
  <c r="V1482" i="1"/>
  <c r="S1482" i="1"/>
  <c r="Q1482" i="1"/>
  <c r="T1482" i="1" s="1"/>
  <c r="L1482" i="1"/>
  <c r="V1481" i="1"/>
  <c r="S1481" i="1"/>
  <c r="J1481" i="1"/>
  <c r="L1481" i="1" s="1"/>
  <c r="T1480" i="1"/>
  <c r="S1480" i="1"/>
  <c r="V1479" i="1"/>
  <c r="T1479" i="1"/>
  <c r="S1479" i="1"/>
  <c r="V1478" i="1"/>
  <c r="L1478" i="1"/>
  <c r="P1477" i="1"/>
  <c r="S1477" i="1" s="1"/>
  <c r="J1477" i="1"/>
  <c r="L1477" i="1" s="1"/>
  <c r="P1476" i="1"/>
  <c r="V1476" i="1" s="1"/>
  <c r="J1476" i="1"/>
  <c r="L1476" i="1" s="1"/>
  <c r="V1475" i="1"/>
  <c r="V1474" i="1"/>
  <c r="V1473" i="1"/>
  <c r="S1473" i="1"/>
  <c r="Q1473" i="1"/>
  <c r="T1473" i="1" s="1"/>
  <c r="L1473" i="1"/>
  <c r="V1472" i="1"/>
  <c r="S1472" i="1"/>
  <c r="J1472" i="1"/>
  <c r="L1472" i="1" s="1"/>
  <c r="V1471" i="1"/>
  <c r="T1471" i="1"/>
  <c r="S1471" i="1"/>
  <c r="T1470" i="1"/>
  <c r="S1470" i="1"/>
  <c r="S1469" i="1"/>
  <c r="Q1469" i="1"/>
  <c r="T1469" i="1" s="1"/>
  <c r="L1469" i="1"/>
  <c r="V1468" i="1"/>
  <c r="S1468" i="1"/>
  <c r="J1468" i="1"/>
  <c r="Q1468" i="1" s="1"/>
  <c r="T1468" i="1" s="1"/>
  <c r="T1467" i="1"/>
  <c r="S1467" i="1"/>
  <c r="T1466" i="1"/>
  <c r="S1466" i="1"/>
  <c r="T1465" i="1"/>
  <c r="Q1465" i="1"/>
  <c r="P1465" i="1"/>
  <c r="S1465" i="1" s="1"/>
  <c r="V1464" i="1"/>
  <c r="S1464" i="1"/>
  <c r="Q1464" i="1"/>
  <c r="T1464" i="1" s="1"/>
  <c r="L1464" i="1"/>
  <c r="V1463" i="1"/>
  <c r="S1463" i="1"/>
  <c r="Q1463" i="1"/>
  <c r="T1463" i="1" s="1"/>
  <c r="L1463" i="1"/>
  <c r="V1462" i="1"/>
  <c r="S1462" i="1"/>
  <c r="Q1462" i="1"/>
  <c r="T1462" i="1" s="1"/>
  <c r="L1462" i="1"/>
  <c r="V1461" i="1"/>
  <c r="S1461" i="1"/>
  <c r="Q1461" i="1"/>
  <c r="T1461" i="1" s="1"/>
  <c r="L1461" i="1"/>
  <c r="V1460" i="1"/>
  <c r="S1460" i="1"/>
  <c r="Q1460" i="1"/>
  <c r="T1460" i="1" s="1"/>
  <c r="L1460" i="1"/>
  <c r="V1459" i="1"/>
  <c r="S1459" i="1"/>
  <c r="Q1459" i="1"/>
  <c r="T1459" i="1" s="1"/>
  <c r="L1459" i="1"/>
  <c r="V1458" i="1"/>
  <c r="S1458" i="1"/>
  <c r="Q1458" i="1"/>
  <c r="T1458" i="1" s="1"/>
  <c r="L1458" i="1"/>
  <c r="V1457" i="1"/>
  <c r="S1457" i="1"/>
  <c r="Q1457" i="1"/>
  <c r="T1457" i="1" s="1"/>
  <c r="L1457" i="1"/>
  <c r="V1456" i="1"/>
  <c r="S1456" i="1"/>
  <c r="Q1456" i="1"/>
  <c r="T1456" i="1" s="1"/>
  <c r="L1456" i="1"/>
  <c r="S1455" i="1"/>
  <c r="Q1455" i="1"/>
  <c r="T1455" i="1" s="1"/>
  <c r="L1455" i="1"/>
  <c r="T1454" i="1"/>
  <c r="S1454" i="1"/>
  <c r="T1453" i="1"/>
  <c r="S1453" i="1"/>
  <c r="P1452" i="1"/>
  <c r="V1452" i="1" s="1"/>
  <c r="J1452" i="1"/>
  <c r="L1452" i="1" s="1"/>
  <c r="P1451" i="1"/>
  <c r="V1451" i="1" s="1"/>
  <c r="J1451" i="1"/>
  <c r="L1451" i="1" s="1"/>
  <c r="P1450" i="1"/>
  <c r="S1450" i="1" s="1"/>
  <c r="J1450" i="1"/>
  <c r="L1450" i="1" s="1"/>
  <c r="P1449" i="1"/>
  <c r="V1449" i="1" s="1"/>
  <c r="J1449" i="1"/>
  <c r="L1449" i="1" s="1"/>
  <c r="P1448" i="1"/>
  <c r="V1448" i="1" s="1"/>
  <c r="J1448" i="1"/>
  <c r="L1448" i="1" s="1"/>
  <c r="P1447" i="1"/>
  <c r="S1447" i="1" s="1"/>
  <c r="J1447" i="1"/>
  <c r="L1447" i="1" s="1"/>
  <c r="T1446" i="1"/>
  <c r="S1446" i="1"/>
  <c r="T1445" i="1"/>
  <c r="S1445" i="1"/>
  <c r="S1444" i="1"/>
  <c r="Q1444" i="1"/>
  <c r="T1444" i="1" s="1"/>
  <c r="L1444" i="1"/>
  <c r="V1443" i="1"/>
  <c r="S1443" i="1"/>
  <c r="J1443" i="1"/>
  <c r="Q1443" i="1" s="1"/>
  <c r="T1443" i="1" s="1"/>
  <c r="V1442" i="1"/>
  <c r="T1442" i="1"/>
  <c r="S1442" i="1"/>
  <c r="T1441" i="1"/>
  <c r="S1441" i="1"/>
  <c r="S1440" i="1"/>
  <c r="Q1440" i="1"/>
  <c r="T1440" i="1" s="1"/>
  <c r="L1440" i="1"/>
  <c r="P1439" i="1"/>
  <c r="V1439" i="1" s="1"/>
  <c r="L1439" i="1"/>
  <c r="T1438" i="1"/>
  <c r="S1438" i="1"/>
  <c r="T1437" i="1"/>
  <c r="S1437" i="1"/>
  <c r="S1436" i="1"/>
  <c r="Q1436" i="1"/>
  <c r="T1436" i="1" s="1"/>
  <c r="L1436" i="1"/>
  <c r="V1435" i="1"/>
  <c r="S1435" i="1"/>
  <c r="J1435" i="1"/>
  <c r="Q1435" i="1" s="1"/>
  <c r="T1435" i="1" s="1"/>
  <c r="T1434" i="1"/>
  <c r="S1434" i="1"/>
  <c r="V1433" i="1"/>
  <c r="T1433" i="1"/>
  <c r="S1433" i="1"/>
  <c r="V1432" i="1"/>
  <c r="S1432" i="1"/>
  <c r="Q1432" i="1"/>
  <c r="T1432" i="1" s="1"/>
  <c r="L1432" i="1"/>
  <c r="V1431" i="1"/>
  <c r="S1431" i="1"/>
  <c r="J1431" i="1"/>
  <c r="Q1431" i="1" s="1"/>
  <c r="T1431" i="1" s="1"/>
  <c r="V1430" i="1"/>
  <c r="T1430" i="1"/>
  <c r="S1430" i="1"/>
  <c r="V1429" i="1"/>
  <c r="T1429" i="1"/>
  <c r="S1429" i="1"/>
  <c r="V1428" i="1"/>
  <c r="L1428" i="1"/>
  <c r="V1427" i="1"/>
  <c r="S1427" i="1"/>
  <c r="J1427" i="1"/>
  <c r="L1427" i="1" s="1"/>
  <c r="V1426" i="1"/>
  <c r="V1425" i="1"/>
  <c r="V1424" i="1"/>
  <c r="S1424" i="1"/>
  <c r="Q1424" i="1"/>
  <c r="T1424" i="1" s="1"/>
  <c r="L1424" i="1"/>
  <c r="V1423" i="1"/>
  <c r="S1423" i="1"/>
  <c r="J1423" i="1"/>
  <c r="Q1423" i="1" s="1"/>
  <c r="T1423" i="1" s="1"/>
  <c r="V1422" i="1"/>
  <c r="T1422" i="1"/>
  <c r="S1422" i="1"/>
  <c r="V1421" i="1"/>
  <c r="T1421" i="1"/>
  <c r="S1421" i="1"/>
  <c r="V1420" i="1"/>
  <c r="S1420" i="1"/>
  <c r="Q1420" i="1"/>
  <c r="T1420" i="1" s="1"/>
  <c r="L1420" i="1"/>
  <c r="V1419" i="1"/>
  <c r="S1419" i="1"/>
  <c r="J1419" i="1"/>
  <c r="Q1419" i="1" s="1"/>
  <c r="T1419" i="1" s="1"/>
  <c r="V1418" i="1"/>
  <c r="T1418" i="1"/>
  <c r="S1418" i="1"/>
  <c r="V1417" i="1"/>
  <c r="T1417" i="1"/>
  <c r="S1417" i="1"/>
  <c r="V1416" i="1"/>
  <c r="S1416" i="1"/>
  <c r="Q1416" i="1"/>
  <c r="T1416" i="1" s="1"/>
  <c r="L1416" i="1"/>
  <c r="V1415" i="1"/>
  <c r="S1415" i="1"/>
  <c r="Q1415" i="1"/>
  <c r="T1415" i="1" s="1"/>
  <c r="L1415" i="1"/>
  <c r="V1414" i="1"/>
  <c r="T1414" i="1"/>
  <c r="S1414" i="1"/>
  <c r="V1413" i="1"/>
  <c r="T1413" i="1"/>
  <c r="S1413" i="1"/>
  <c r="V1412" i="1"/>
  <c r="S1412" i="1"/>
  <c r="Q1412" i="1"/>
  <c r="T1412" i="1" s="1"/>
  <c r="L1412" i="1"/>
  <c r="V1411" i="1"/>
  <c r="S1411" i="1"/>
  <c r="Q1411" i="1"/>
  <c r="T1411" i="1" s="1"/>
  <c r="L1411" i="1"/>
  <c r="V1410" i="1"/>
  <c r="S1410" i="1"/>
  <c r="Q1410" i="1"/>
  <c r="T1410" i="1" s="1"/>
  <c r="L1410" i="1"/>
  <c r="V1409" i="1"/>
  <c r="S1409" i="1"/>
  <c r="J1409" i="1"/>
  <c r="L1409" i="1" s="1"/>
  <c r="V1408" i="1"/>
  <c r="S1408" i="1"/>
  <c r="J1408" i="1"/>
  <c r="Q1408" i="1" s="1"/>
  <c r="T1408" i="1" s="1"/>
  <c r="V1407" i="1"/>
  <c r="T1407" i="1"/>
  <c r="S1407" i="1"/>
  <c r="V1406" i="1"/>
  <c r="T1406" i="1"/>
  <c r="S1406" i="1"/>
  <c r="V1405" i="1"/>
  <c r="S1405" i="1"/>
  <c r="Q1405" i="1"/>
  <c r="T1405" i="1" s="1"/>
  <c r="L1405" i="1"/>
  <c r="V1404" i="1"/>
  <c r="S1404" i="1"/>
  <c r="J1404" i="1"/>
  <c r="L1404" i="1" s="1"/>
  <c r="V1403" i="1"/>
  <c r="S1403" i="1"/>
  <c r="J1403" i="1"/>
  <c r="L1403" i="1" s="1"/>
  <c r="V1402" i="1"/>
  <c r="T1402" i="1"/>
  <c r="S1402" i="1"/>
  <c r="V1401" i="1"/>
  <c r="T1401" i="1"/>
  <c r="S1401" i="1"/>
  <c r="V1400" i="1"/>
  <c r="S1400" i="1"/>
  <c r="Q1400" i="1"/>
  <c r="T1400" i="1" s="1"/>
  <c r="L1400" i="1"/>
  <c r="V1399" i="1"/>
  <c r="S1399" i="1"/>
  <c r="Q1399" i="1"/>
  <c r="T1399" i="1" s="1"/>
  <c r="L1399" i="1"/>
  <c r="V1398" i="1"/>
  <c r="S1398" i="1"/>
  <c r="Q1398" i="1"/>
  <c r="T1398" i="1" s="1"/>
  <c r="L1398" i="1"/>
  <c r="V1397" i="1"/>
  <c r="S1397" i="1"/>
  <c r="Q1397" i="1"/>
  <c r="T1397" i="1" s="1"/>
  <c r="L1397" i="1"/>
  <c r="V1396" i="1"/>
  <c r="T1396" i="1"/>
  <c r="S1396" i="1"/>
  <c r="V1395" i="1"/>
  <c r="S1395" i="1"/>
  <c r="Q1395" i="1"/>
  <c r="T1395" i="1" s="1"/>
  <c r="L1395" i="1"/>
  <c r="V1394" i="1"/>
  <c r="S1394" i="1"/>
  <c r="Q1394" i="1"/>
  <c r="T1394" i="1" s="1"/>
  <c r="L1394" i="1"/>
  <c r="V1393" i="1"/>
  <c r="S1393" i="1"/>
  <c r="Q1393" i="1"/>
  <c r="T1393" i="1" s="1"/>
  <c r="L1393" i="1"/>
  <c r="T1392" i="1"/>
  <c r="S1392" i="1"/>
  <c r="T1391" i="1"/>
  <c r="S1391" i="1"/>
  <c r="S1390" i="1"/>
  <c r="Q1390" i="1"/>
  <c r="T1390" i="1" s="1"/>
  <c r="L1390" i="1"/>
  <c r="P1389" i="1"/>
  <c r="S1389" i="1" s="1"/>
  <c r="J1389" i="1"/>
  <c r="T1388" i="1"/>
  <c r="S1388" i="1"/>
  <c r="S1386" i="1"/>
  <c r="Q1386" i="1"/>
  <c r="T1386" i="1" s="1"/>
  <c r="L1386" i="1"/>
  <c r="T1385" i="1"/>
  <c r="S1385" i="1"/>
  <c r="J1385" i="1"/>
  <c r="L1385" i="1" s="1"/>
  <c r="T1384" i="1"/>
  <c r="S1384" i="1"/>
  <c r="J1384" i="1"/>
  <c r="L1384" i="1" s="1"/>
  <c r="T1383" i="1"/>
  <c r="S1383" i="1"/>
  <c r="S1382" i="1"/>
  <c r="J1382" i="1"/>
  <c r="Q1382" i="1" s="1"/>
  <c r="T1382" i="1" s="1"/>
  <c r="S1381" i="1"/>
  <c r="J1381" i="1"/>
  <c r="L1381" i="1" s="1"/>
  <c r="T1380" i="1"/>
  <c r="S1380" i="1"/>
  <c r="T1379" i="1"/>
  <c r="S1379" i="1"/>
  <c r="S1378" i="1"/>
  <c r="Q1378" i="1"/>
  <c r="T1378" i="1" s="1"/>
  <c r="L1378" i="1"/>
  <c r="S1377" i="1"/>
  <c r="J1377" i="1"/>
  <c r="Q1377" i="1" s="1"/>
  <c r="T1377" i="1" s="1"/>
  <c r="S1376" i="1"/>
  <c r="J1376" i="1"/>
  <c r="Q1376" i="1" s="1"/>
  <c r="T1376" i="1" s="1"/>
  <c r="S1375" i="1"/>
  <c r="J1375" i="1"/>
  <c r="Q1375" i="1" s="1"/>
  <c r="T1375" i="1" s="1"/>
  <c r="T1374" i="1"/>
  <c r="S1374" i="1"/>
  <c r="S1371" i="1"/>
  <c r="J1371" i="1"/>
  <c r="Q1371" i="1" s="1"/>
  <c r="T1371" i="1" s="1"/>
  <c r="S1370" i="1"/>
  <c r="J1370" i="1"/>
  <c r="Q1370" i="1" s="1"/>
  <c r="T1370" i="1" s="1"/>
  <c r="S1369" i="1"/>
  <c r="J1369" i="1"/>
  <c r="Q1369" i="1" s="1"/>
  <c r="T1369" i="1" s="1"/>
  <c r="S1368" i="1"/>
  <c r="J1368" i="1"/>
  <c r="S1367" i="1"/>
  <c r="J1367" i="1"/>
  <c r="L1367" i="1" s="1"/>
  <c r="T1366" i="1"/>
  <c r="S1366" i="1"/>
  <c r="S1364" i="1"/>
  <c r="Q1364" i="1"/>
  <c r="T1364" i="1" s="1"/>
  <c r="L1364" i="1"/>
  <c r="S1363" i="1"/>
  <c r="J1363" i="1"/>
  <c r="L1363" i="1" s="1"/>
  <c r="S1362" i="1"/>
  <c r="J1362" i="1"/>
  <c r="Q1362" i="1" s="1"/>
  <c r="T1362" i="1" s="1"/>
  <c r="S1361" i="1"/>
  <c r="J1361" i="1"/>
  <c r="L1361" i="1" s="1"/>
  <c r="S1360" i="1"/>
  <c r="J1360" i="1"/>
  <c r="Q1360" i="1" s="1"/>
  <c r="T1360" i="1" s="1"/>
  <c r="S1359" i="1"/>
  <c r="J1359" i="1"/>
  <c r="L1359" i="1" s="1"/>
  <c r="T1358" i="1"/>
  <c r="S1358" i="1"/>
  <c r="T1357" i="1"/>
  <c r="S1357" i="1"/>
  <c r="L1356" i="1"/>
  <c r="S1355" i="1"/>
  <c r="J1355" i="1"/>
  <c r="Q1355" i="1" s="1"/>
  <c r="T1355" i="1" s="1"/>
  <c r="T1353" i="1"/>
  <c r="S1353" i="1"/>
  <c r="S1352" i="1"/>
  <c r="Q1352" i="1"/>
  <c r="T1352" i="1" s="1"/>
  <c r="L1352" i="1"/>
  <c r="S1351" i="1"/>
  <c r="J1351" i="1"/>
  <c r="L1351" i="1" s="1"/>
  <c r="T1350" i="1"/>
  <c r="S1350" i="1"/>
  <c r="T1349" i="1"/>
  <c r="S1349" i="1"/>
  <c r="S1348" i="1"/>
  <c r="Q1348" i="1"/>
  <c r="T1348" i="1" s="1"/>
  <c r="L1348" i="1"/>
  <c r="S1347" i="1"/>
  <c r="Q1347" i="1"/>
  <c r="T1347" i="1" s="1"/>
  <c r="L1347" i="1"/>
  <c r="T1346" i="1"/>
  <c r="S1346" i="1"/>
  <c r="T1345" i="1"/>
  <c r="S1345" i="1"/>
  <c r="T1344" i="1"/>
  <c r="S1344" i="1"/>
  <c r="L1344" i="1"/>
  <c r="S1343" i="1"/>
  <c r="J1343" i="1"/>
  <c r="L1343" i="1" s="1"/>
  <c r="S1342" i="1"/>
  <c r="J1342" i="1"/>
  <c r="L1342" i="1" s="1"/>
  <c r="S1341" i="1"/>
  <c r="J1341" i="1"/>
  <c r="L1341" i="1" s="1"/>
  <c r="S1340" i="1"/>
  <c r="J1340" i="1"/>
  <c r="L1340" i="1" s="1"/>
  <c r="S1339" i="1"/>
  <c r="J1339" i="1"/>
  <c r="S1338" i="1"/>
  <c r="J1338" i="1"/>
  <c r="S1337" i="1"/>
  <c r="J1337" i="1"/>
  <c r="L1337" i="1" s="1"/>
  <c r="S1336" i="1"/>
  <c r="J1336" i="1"/>
  <c r="L1336" i="1" s="1"/>
  <c r="T1335" i="1"/>
  <c r="S1335" i="1"/>
  <c r="S1334" i="1"/>
  <c r="J1334" i="1"/>
  <c r="L1334" i="1" s="1"/>
  <c r="S1333" i="1"/>
  <c r="J1333" i="1"/>
  <c r="Q1333" i="1" s="1"/>
  <c r="T1333" i="1" s="1"/>
  <c r="S1332" i="1"/>
  <c r="J1332" i="1"/>
  <c r="Q1332" i="1" s="1"/>
  <c r="T1332" i="1" s="1"/>
  <c r="S1331" i="1"/>
  <c r="J1331" i="1"/>
  <c r="Q1331" i="1" s="1"/>
  <c r="T1331" i="1" s="1"/>
  <c r="S1330" i="1"/>
  <c r="J1330" i="1"/>
  <c r="L1330" i="1" s="1"/>
  <c r="S1329" i="1"/>
  <c r="J1329" i="1"/>
  <c r="Q1329" i="1" s="1"/>
  <c r="T1329" i="1" s="1"/>
  <c r="S1328" i="1"/>
  <c r="J1328" i="1"/>
  <c r="L1328" i="1" s="1"/>
  <c r="S1327" i="1"/>
  <c r="J1327" i="1"/>
  <c r="L1327" i="1" s="1"/>
  <c r="S1326" i="1"/>
  <c r="J1326" i="1"/>
  <c r="S1325" i="1"/>
  <c r="J1325" i="1"/>
  <c r="L1325" i="1" s="1"/>
  <c r="T1324" i="1"/>
  <c r="S1324" i="1"/>
  <c r="T1323" i="1"/>
  <c r="S1323" i="1"/>
  <c r="S1322" i="1"/>
  <c r="Q1322" i="1"/>
  <c r="T1322" i="1" s="1"/>
  <c r="L1322" i="1"/>
  <c r="S1321" i="1"/>
  <c r="Q1321" i="1"/>
  <c r="T1321" i="1" s="1"/>
  <c r="L1321" i="1"/>
  <c r="T1320" i="1"/>
  <c r="S1320" i="1"/>
  <c r="T1319" i="1"/>
  <c r="S1319" i="1"/>
  <c r="S1318" i="1"/>
  <c r="Q1318" i="1"/>
  <c r="T1318" i="1" s="1"/>
  <c r="L1318" i="1"/>
  <c r="S1317" i="1"/>
  <c r="Q1317" i="1"/>
  <c r="T1317" i="1" s="1"/>
  <c r="L1317" i="1"/>
  <c r="S1316" i="1"/>
  <c r="Q1316" i="1"/>
  <c r="T1316" i="1" s="1"/>
  <c r="L1316" i="1"/>
  <c r="T1315" i="1"/>
  <c r="S1315" i="1"/>
  <c r="S1313" i="1"/>
  <c r="J1313" i="1"/>
  <c r="L1313" i="1" s="1"/>
  <c r="S1312" i="1"/>
  <c r="J1312" i="1"/>
  <c r="Q1312" i="1" s="1"/>
  <c r="T1312" i="1" s="1"/>
  <c r="S1311" i="1"/>
  <c r="J1311" i="1"/>
  <c r="Q1311" i="1" s="1"/>
  <c r="T1311" i="1" s="1"/>
  <c r="S1310" i="1"/>
  <c r="J1310" i="1"/>
  <c r="Q1310" i="1" s="1"/>
  <c r="T1310" i="1" s="1"/>
  <c r="S1309" i="1"/>
  <c r="J1309" i="1"/>
  <c r="Q1309" i="1" s="1"/>
  <c r="T1309" i="1" s="1"/>
  <c r="S1308" i="1"/>
  <c r="J1308" i="1"/>
  <c r="T1307" i="1"/>
  <c r="S1307" i="1"/>
  <c r="T1306" i="1"/>
  <c r="S1306" i="1"/>
  <c r="S1305" i="1"/>
  <c r="J1305" i="1"/>
  <c r="L1305" i="1" s="1"/>
  <c r="S1304" i="1"/>
  <c r="J1304" i="1"/>
  <c r="L1304" i="1" s="1"/>
  <c r="S1303" i="1"/>
  <c r="J1303" i="1"/>
  <c r="Q1303" i="1" s="1"/>
  <c r="T1303" i="1" s="1"/>
  <c r="S1302" i="1"/>
  <c r="J1302" i="1"/>
  <c r="Q1302" i="1" s="1"/>
  <c r="T1302" i="1" s="1"/>
  <c r="T1301" i="1"/>
  <c r="S1301" i="1"/>
  <c r="T1300" i="1"/>
  <c r="S1300" i="1"/>
  <c r="J1299" i="1"/>
  <c r="J1298" i="1"/>
  <c r="J1297" i="1"/>
  <c r="J1296" i="1"/>
  <c r="J1295" i="1"/>
  <c r="J1294" i="1"/>
  <c r="J1293" i="1"/>
  <c r="J1292" i="1"/>
  <c r="J1291" i="1"/>
  <c r="J1290" i="1"/>
  <c r="J1289" i="1"/>
  <c r="J1288" i="1"/>
  <c r="J1287" i="1"/>
  <c r="J1286" i="1"/>
  <c r="J1285" i="1"/>
  <c r="S1284" i="1"/>
  <c r="Q1284" i="1"/>
  <c r="T1284" i="1" s="1"/>
  <c r="L1284" i="1"/>
  <c r="T1283" i="1"/>
  <c r="S1283" i="1"/>
  <c r="T1282" i="1"/>
  <c r="S1282" i="1"/>
  <c r="J1281" i="1"/>
  <c r="J1280" i="1"/>
  <c r="J1279" i="1"/>
  <c r="J1278" i="1"/>
  <c r="J1277" i="1"/>
  <c r="J1276" i="1"/>
  <c r="J1275" i="1"/>
  <c r="J1274" i="1"/>
  <c r="J1273" i="1"/>
  <c r="J1272" i="1"/>
  <c r="J1271" i="1"/>
  <c r="J1270" i="1"/>
  <c r="J1269" i="1"/>
  <c r="J1268" i="1"/>
  <c r="J1267" i="1"/>
  <c r="J1266" i="1"/>
  <c r="J1265" i="1"/>
  <c r="J1264" i="1"/>
  <c r="J1263" i="1"/>
  <c r="J1262" i="1"/>
  <c r="J1261" i="1"/>
  <c r="J1260" i="1"/>
  <c r="J1259" i="1"/>
  <c r="J1258" i="1"/>
  <c r="J1257" i="1"/>
  <c r="S1256" i="1"/>
  <c r="Q1256" i="1"/>
  <c r="T1256" i="1" s="1"/>
  <c r="L1256" i="1"/>
  <c r="T1255" i="1"/>
  <c r="S1255" i="1"/>
  <c r="T1254" i="1"/>
  <c r="S1254" i="1"/>
  <c r="S1253" i="1"/>
  <c r="J1253" i="1"/>
  <c r="Q1253" i="1" s="1"/>
  <c r="T1253" i="1" s="1"/>
  <c r="T1252" i="1"/>
  <c r="S1252" i="1"/>
  <c r="T1251" i="1"/>
  <c r="S1251" i="1"/>
  <c r="S1250" i="1"/>
  <c r="J1250" i="1"/>
  <c r="S1249" i="1"/>
  <c r="J1249" i="1"/>
  <c r="Q1249" i="1" s="1"/>
  <c r="T1249" i="1" s="1"/>
  <c r="T1248" i="1"/>
  <c r="S1248" i="1"/>
  <c r="T1247" i="1"/>
  <c r="S1247" i="1"/>
  <c r="S1246" i="1"/>
  <c r="Q1246" i="1"/>
  <c r="T1246" i="1" s="1"/>
  <c r="L1246" i="1"/>
  <c r="P1245" i="1"/>
  <c r="J1245" i="1"/>
  <c r="L1245" i="1" s="1"/>
  <c r="T1244" i="1"/>
  <c r="S1244" i="1"/>
  <c r="T1243" i="1"/>
  <c r="S1243" i="1"/>
  <c r="S1242" i="1"/>
  <c r="Q1242" i="1"/>
  <c r="T1242" i="1" s="1"/>
  <c r="L1242" i="1"/>
  <c r="S1241" i="1"/>
  <c r="Q1241" i="1"/>
  <c r="T1241" i="1" s="1"/>
  <c r="L1241" i="1"/>
  <c r="S1240" i="1"/>
  <c r="J1240" i="1"/>
  <c r="Q1240" i="1" s="1"/>
  <c r="T1240" i="1" s="1"/>
  <c r="T1239" i="1"/>
  <c r="S1239" i="1"/>
  <c r="T1238" i="1"/>
  <c r="S1238" i="1"/>
  <c r="S1237" i="1"/>
  <c r="Q1237" i="1"/>
  <c r="T1237" i="1" s="1"/>
  <c r="L1237" i="1"/>
  <c r="P1236" i="1"/>
  <c r="S1236" i="1" s="1"/>
  <c r="L1236" i="1"/>
  <c r="P1235" i="1"/>
  <c r="S1235" i="1" s="1"/>
  <c r="L1235" i="1"/>
  <c r="T1234" i="1"/>
  <c r="S1234" i="1"/>
  <c r="T1233" i="1"/>
  <c r="S1233" i="1"/>
  <c r="S1232" i="1"/>
  <c r="J1232" i="1"/>
  <c r="Q1232" i="1" s="1"/>
  <c r="T1232" i="1" s="1"/>
  <c r="S1231" i="1"/>
  <c r="J1231" i="1"/>
  <c r="Q1231" i="1" s="1"/>
  <c r="T1231" i="1" s="1"/>
  <c r="T1230" i="1"/>
  <c r="S1230" i="1"/>
  <c r="S1229" i="1"/>
  <c r="J1229" i="1"/>
  <c r="Q1229" i="1" s="1"/>
  <c r="T1229" i="1" s="1"/>
  <c r="S1228" i="1"/>
  <c r="J1228" i="1"/>
  <c r="Q1228" i="1" s="1"/>
  <c r="T1228" i="1" s="1"/>
  <c r="S1227" i="1"/>
  <c r="J1227" i="1"/>
  <c r="L1227" i="1" s="1"/>
  <c r="S1226" i="1"/>
  <c r="J1226" i="1"/>
  <c r="Q1226" i="1" s="1"/>
  <c r="T1226" i="1" s="1"/>
  <c r="S1225" i="1"/>
  <c r="J1225" i="1"/>
  <c r="Q1225" i="1" s="1"/>
  <c r="T1225" i="1" s="1"/>
  <c r="S1224" i="1"/>
  <c r="J1224" i="1"/>
  <c r="L1224" i="1" s="1"/>
  <c r="S1223" i="1"/>
  <c r="J1223" i="1"/>
  <c r="Q1223" i="1" s="1"/>
  <c r="T1223" i="1" s="1"/>
  <c r="T1222" i="1"/>
  <c r="S1222" i="1"/>
  <c r="S1221" i="1"/>
  <c r="J1221" i="1"/>
  <c r="L1221" i="1" s="1"/>
  <c r="T1220" i="1"/>
  <c r="S1220" i="1"/>
  <c r="T1219" i="1"/>
  <c r="S1219" i="1"/>
  <c r="S1218" i="1"/>
  <c r="Q1218" i="1"/>
  <c r="T1218" i="1" s="1"/>
  <c r="L1218" i="1"/>
  <c r="S1217" i="1"/>
  <c r="Q1217" i="1"/>
  <c r="T1217" i="1" s="1"/>
  <c r="L1217" i="1"/>
  <c r="S1216" i="1"/>
  <c r="J1216" i="1"/>
  <c r="L1216" i="1" s="1"/>
  <c r="T1215" i="1"/>
  <c r="S1215" i="1"/>
  <c r="T1214" i="1"/>
  <c r="S1214" i="1"/>
  <c r="S1213" i="1"/>
  <c r="Q1213" i="1"/>
  <c r="T1213" i="1" s="1"/>
  <c r="L1213" i="1"/>
  <c r="S1212" i="1"/>
  <c r="J1212" i="1"/>
  <c r="S1211" i="1"/>
  <c r="J1211" i="1"/>
  <c r="L1211" i="1" s="1"/>
  <c r="T1210" i="1"/>
  <c r="S1210" i="1"/>
  <c r="T1209" i="1"/>
  <c r="S1209" i="1"/>
  <c r="S1208" i="1"/>
  <c r="Q1208" i="1"/>
  <c r="T1208" i="1" s="1"/>
  <c r="L1208" i="1"/>
  <c r="S1207" i="1"/>
  <c r="J1207" i="1"/>
  <c r="Q1207" i="1" s="1"/>
  <c r="T1207" i="1" s="1"/>
  <c r="S1206" i="1"/>
  <c r="J1206" i="1"/>
  <c r="Q1206" i="1" s="1"/>
  <c r="T1206" i="1" s="1"/>
  <c r="T1205" i="1"/>
  <c r="S1205" i="1"/>
  <c r="T1204" i="1"/>
  <c r="S1204" i="1"/>
  <c r="Q1203" i="1"/>
  <c r="T1203" i="1" s="1"/>
  <c r="P1203" i="1"/>
  <c r="S1203" i="1" s="1"/>
  <c r="L1203" i="1"/>
  <c r="S1202" i="1"/>
  <c r="Q1202" i="1"/>
  <c r="T1202" i="1" s="1"/>
  <c r="L1202" i="1"/>
  <c r="T1201" i="1"/>
  <c r="S1201" i="1"/>
  <c r="T1200" i="1"/>
  <c r="S1200" i="1"/>
  <c r="L1200" i="1"/>
  <c r="T1199" i="1"/>
  <c r="S1199" i="1"/>
  <c r="L1199" i="1"/>
  <c r="T1198" i="1"/>
  <c r="S1198" i="1"/>
  <c r="P1197" i="1"/>
  <c r="J1197" i="1"/>
  <c r="L1197" i="1" s="1"/>
  <c r="P1196" i="1"/>
  <c r="S1196" i="1" s="1"/>
  <c r="J1196" i="1"/>
  <c r="L1196" i="1" s="1"/>
  <c r="P1195" i="1"/>
  <c r="S1195" i="1" s="1"/>
  <c r="J1195" i="1"/>
  <c r="T1194" i="1"/>
  <c r="S1194" i="1"/>
  <c r="T1193" i="1"/>
  <c r="S1193" i="1"/>
  <c r="S1192" i="1"/>
  <c r="Q1192" i="1"/>
  <c r="T1192" i="1" s="1"/>
  <c r="L1192" i="1"/>
  <c r="P1191" i="1"/>
  <c r="J1191" i="1"/>
  <c r="L1191" i="1" s="1"/>
  <c r="T1190" i="1"/>
  <c r="S1190" i="1"/>
  <c r="T1189" i="1"/>
  <c r="S1189" i="1"/>
  <c r="S1188" i="1"/>
  <c r="Q1188" i="1"/>
  <c r="T1188" i="1" s="1"/>
  <c r="L1188" i="1"/>
  <c r="P1187" i="1"/>
  <c r="S1187" i="1" s="1"/>
  <c r="L1187" i="1"/>
  <c r="T1186" i="1"/>
  <c r="S1186" i="1"/>
  <c r="T1185" i="1"/>
  <c r="S1185" i="1"/>
  <c r="T1184" i="1"/>
  <c r="S1184" i="1"/>
  <c r="S1183" i="1"/>
  <c r="Q1183" i="1"/>
  <c r="T1183" i="1" s="1"/>
  <c r="L1183" i="1"/>
  <c r="S1182" i="1"/>
  <c r="J1182" i="1"/>
  <c r="L1182" i="1" s="1"/>
  <c r="S1181" i="1"/>
  <c r="J1181" i="1"/>
  <c r="Q1181" i="1" s="1"/>
  <c r="T1181" i="1" s="1"/>
  <c r="S1180" i="1"/>
  <c r="J1180" i="1"/>
  <c r="Q1180" i="1" s="1"/>
  <c r="T1180" i="1" s="1"/>
  <c r="T1179" i="1"/>
  <c r="S1179" i="1"/>
  <c r="T1178" i="1"/>
  <c r="S1178" i="1"/>
  <c r="S1177" i="1"/>
  <c r="Q1177" i="1"/>
  <c r="T1177" i="1" s="1"/>
  <c r="L1177" i="1"/>
  <c r="S1176" i="1"/>
  <c r="J1176" i="1"/>
  <c r="L1176" i="1" s="1"/>
  <c r="S1175" i="1"/>
  <c r="J1175" i="1"/>
  <c r="Q1175" i="1" s="1"/>
  <c r="T1175" i="1" s="1"/>
  <c r="S1174" i="1"/>
  <c r="J1174" i="1"/>
  <c r="Q1174" i="1" s="1"/>
  <c r="T1174" i="1" s="1"/>
  <c r="T1173" i="1"/>
  <c r="S1173" i="1"/>
  <c r="T1172" i="1"/>
  <c r="S1172" i="1"/>
  <c r="S1171" i="1"/>
  <c r="Q1171" i="1"/>
  <c r="T1171" i="1" s="1"/>
  <c r="L1171" i="1"/>
  <c r="S1170" i="1"/>
  <c r="J1170" i="1"/>
  <c r="Q1170" i="1" s="1"/>
  <c r="T1170" i="1" s="1"/>
  <c r="S1169" i="1"/>
  <c r="J1169" i="1"/>
  <c r="Q1169" i="1" s="1"/>
  <c r="T1169" i="1" s="1"/>
  <c r="S1168" i="1"/>
  <c r="J1168" i="1"/>
  <c r="Q1168" i="1" s="1"/>
  <c r="T1168" i="1" s="1"/>
  <c r="T1167" i="1"/>
  <c r="S1167" i="1"/>
  <c r="T1166" i="1"/>
  <c r="S1166" i="1"/>
  <c r="S1165" i="1"/>
  <c r="Q1165" i="1"/>
  <c r="T1165" i="1" s="1"/>
  <c r="L1165" i="1"/>
  <c r="S1164" i="1"/>
  <c r="J1164" i="1"/>
  <c r="Q1164" i="1" s="1"/>
  <c r="T1164" i="1" s="1"/>
  <c r="S1163" i="1"/>
  <c r="J1163" i="1"/>
  <c r="L1163" i="1" s="1"/>
  <c r="T1162" i="1"/>
  <c r="S1162" i="1"/>
  <c r="T1161" i="1"/>
  <c r="S1161" i="1"/>
  <c r="S1160" i="1"/>
  <c r="Q1160" i="1"/>
  <c r="T1160" i="1" s="1"/>
  <c r="L1160" i="1"/>
  <c r="S1159" i="1"/>
  <c r="J1159" i="1"/>
  <c r="L1159" i="1" s="1"/>
  <c r="S1158" i="1"/>
  <c r="J1158" i="1"/>
  <c r="L1158" i="1" s="1"/>
  <c r="S1157" i="1"/>
  <c r="J1157" i="1"/>
  <c r="Q1157" i="1" s="1"/>
  <c r="T1157" i="1" s="1"/>
  <c r="S1156" i="1"/>
  <c r="J1156" i="1"/>
  <c r="Q1156" i="1" s="1"/>
  <c r="T1156" i="1" s="1"/>
  <c r="T1155" i="1"/>
  <c r="S1155" i="1"/>
  <c r="T1154" i="1"/>
  <c r="S1154" i="1"/>
  <c r="S1153" i="1"/>
  <c r="Q1153" i="1"/>
  <c r="T1153" i="1" s="1"/>
  <c r="L1153" i="1"/>
  <c r="S1152" i="1"/>
  <c r="J1152" i="1"/>
  <c r="Q1152" i="1" s="1"/>
  <c r="T1152" i="1" s="1"/>
  <c r="T1151" i="1"/>
  <c r="S1151" i="1"/>
  <c r="T1150" i="1"/>
  <c r="S1150" i="1"/>
  <c r="S1149" i="1"/>
  <c r="Q1149" i="1"/>
  <c r="T1149" i="1" s="1"/>
  <c r="L1149" i="1"/>
  <c r="S1148" i="1"/>
  <c r="J1148" i="1"/>
  <c r="Q1148" i="1" s="1"/>
  <c r="T1148" i="1" s="1"/>
  <c r="S1147" i="1"/>
  <c r="J1147" i="1"/>
  <c r="L1147" i="1" s="1"/>
  <c r="T1146" i="1"/>
  <c r="S1146" i="1"/>
  <c r="T1145" i="1"/>
  <c r="S1145" i="1"/>
  <c r="S1144" i="1"/>
  <c r="Q1144" i="1"/>
  <c r="T1144" i="1" s="1"/>
  <c r="L1144" i="1"/>
  <c r="S1143" i="1"/>
  <c r="Q1143" i="1"/>
  <c r="T1143" i="1" s="1"/>
  <c r="L1143" i="1"/>
  <c r="T1142" i="1"/>
  <c r="S1142" i="1"/>
  <c r="T1141" i="1"/>
  <c r="S1141" i="1"/>
  <c r="S1140" i="1"/>
  <c r="Q1140" i="1"/>
  <c r="T1140" i="1" s="1"/>
  <c r="L1140" i="1"/>
  <c r="S1139" i="1"/>
  <c r="J1139" i="1"/>
  <c r="S1138" i="1"/>
  <c r="J1138" i="1"/>
  <c r="L1138" i="1" s="1"/>
  <c r="S1137" i="1"/>
  <c r="J1137" i="1"/>
  <c r="Q1137" i="1" s="1"/>
  <c r="T1137" i="1" s="1"/>
  <c r="T1136" i="1"/>
  <c r="S1136" i="1"/>
  <c r="T1135" i="1"/>
  <c r="S1135" i="1"/>
  <c r="S1134" i="1"/>
  <c r="Q1134" i="1"/>
  <c r="T1134" i="1" s="1"/>
  <c r="L1134" i="1"/>
  <c r="S1133" i="1"/>
  <c r="Q1133" i="1"/>
  <c r="T1133" i="1" s="1"/>
  <c r="L1133" i="1"/>
  <c r="T1132" i="1"/>
  <c r="S1132" i="1"/>
  <c r="T1131" i="1"/>
  <c r="S1131" i="1"/>
  <c r="S1130" i="1"/>
  <c r="Q1130" i="1"/>
  <c r="T1130" i="1" s="1"/>
  <c r="L1130" i="1"/>
  <c r="S1129" i="1"/>
  <c r="Q1129" i="1"/>
  <c r="T1129" i="1" s="1"/>
  <c r="L1129" i="1"/>
  <c r="S1128" i="1"/>
  <c r="Q1128" i="1"/>
  <c r="T1128" i="1" s="1"/>
  <c r="L1128" i="1"/>
  <c r="T1127" i="1"/>
  <c r="S1127" i="1"/>
  <c r="T1126" i="1"/>
  <c r="S1126" i="1"/>
  <c r="S1125" i="1"/>
  <c r="Q1125" i="1"/>
  <c r="T1125" i="1" s="1"/>
  <c r="L1125" i="1"/>
  <c r="S1124" i="1"/>
  <c r="Q1124" i="1"/>
  <c r="T1124" i="1" s="1"/>
  <c r="L1124" i="1"/>
  <c r="T1123" i="1"/>
  <c r="S1123" i="1"/>
  <c r="T1122" i="1"/>
  <c r="S1122" i="1"/>
  <c r="T1121" i="1"/>
  <c r="S1121" i="1"/>
  <c r="L1121" i="1"/>
  <c r="S1120" i="1"/>
  <c r="J1120" i="1"/>
  <c r="Q1120" i="1" s="1"/>
  <c r="T1120" i="1" s="1"/>
  <c r="T1119" i="1"/>
  <c r="S1119" i="1"/>
  <c r="S1118" i="1"/>
  <c r="J1118" i="1"/>
  <c r="Q1118" i="1" s="1"/>
  <c r="T1118" i="1" s="1"/>
  <c r="T1117" i="1"/>
  <c r="S1117" i="1"/>
  <c r="T1116" i="1"/>
  <c r="S1116" i="1"/>
  <c r="S1115" i="1"/>
  <c r="Q1115" i="1"/>
  <c r="T1115" i="1" s="1"/>
  <c r="L1115" i="1"/>
  <c r="S1114" i="1"/>
  <c r="J1114" i="1"/>
  <c r="L1114" i="1" s="1"/>
  <c r="T1113" i="1"/>
  <c r="S1113" i="1"/>
  <c r="T1112" i="1"/>
  <c r="S1112" i="1"/>
  <c r="T1111" i="1"/>
  <c r="S1111" i="1"/>
  <c r="S1110" i="1"/>
  <c r="J1110" i="1"/>
  <c r="Q1110" i="1" s="1"/>
  <c r="T1110" i="1" s="1"/>
  <c r="T1109" i="1"/>
  <c r="S1109" i="1"/>
  <c r="S1108" i="1"/>
  <c r="J1108" i="1"/>
  <c r="Q1108" i="1" s="1"/>
  <c r="T1108" i="1" s="1"/>
  <c r="T1107" i="1"/>
  <c r="S1107" i="1"/>
  <c r="T1106" i="1"/>
  <c r="S1106" i="1"/>
  <c r="T1105" i="1"/>
  <c r="S1105" i="1"/>
  <c r="J1105" i="1"/>
  <c r="L1105" i="1" s="1"/>
  <c r="S1104" i="1"/>
  <c r="Q1104" i="1"/>
  <c r="T1104" i="1" s="1"/>
  <c r="L1104" i="1"/>
  <c r="S1103" i="1"/>
  <c r="J1103" i="1"/>
  <c r="Q1103" i="1" s="1"/>
  <c r="T1103" i="1" s="1"/>
  <c r="T1102" i="1"/>
  <c r="S1102" i="1"/>
  <c r="T1101" i="1"/>
  <c r="S1101" i="1"/>
  <c r="S1100" i="1"/>
  <c r="Q1100" i="1"/>
  <c r="T1100" i="1" s="1"/>
  <c r="L1100" i="1"/>
  <c r="S1099" i="1"/>
  <c r="Q1099" i="1"/>
  <c r="T1099" i="1" s="1"/>
  <c r="L1099" i="1"/>
  <c r="T1098" i="1"/>
  <c r="S1098" i="1"/>
  <c r="T1097" i="1"/>
  <c r="S1097" i="1"/>
  <c r="S1096" i="1"/>
  <c r="J1096" i="1"/>
  <c r="Q1096" i="1" s="1"/>
  <c r="T1096" i="1" s="1"/>
  <c r="S1095" i="1"/>
  <c r="J1095" i="1"/>
  <c r="L1095" i="1" s="1"/>
  <c r="S1094" i="1"/>
  <c r="Q1094" i="1"/>
  <c r="T1094" i="1" s="1"/>
  <c r="L1094" i="1"/>
  <c r="S1093" i="1"/>
  <c r="J1093" i="1"/>
  <c r="S1092" i="1"/>
  <c r="J1092" i="1"/>
  <c r="Q1092" i="1" s="1"/>
  <c r="T1092" i="1" s="1"/>
  <c r="T1091" i="1"/>
  <c r="S1091" i="1"/>
  <c r="T1090" i="1"/>
  <c r="S1090" i="1"/>
  <c r="S1089" i="1"/>
  <c r="Q1089" i="1"/>
  <c r="T1089" i="1" s="1"/>
  <c r="L1089" i="1"/>
  <c r="S1088" i="1"/>
  <c r="J1088" i="1"/>
  <c r="L1088" i="1" s="1"/>
  <c r="T1087" i="1"/>
  <c r="S1087" i="1"/>
  <c r="T1086" i="1"/>
  <c r="S1086" i="1"/>
  <c r="Q1085" i="1"/>
  <c r="T1085" i="1" s="1"/>
  <c r="P1085" i="1"/>
  <c r="S1085" i="1" s="1"/>
  <c r="L1085" i="1"/>
  <c r="S1084" i="1"/>
  <c r="Q1084" i="1"/>
  <c r="T1084" i="1" s="1"/>
  <c r="L1084" i="1"/>
  <c r="T1083" i="1"/>
  <c r="S1083" i="1"/>
  <c r="S1082" i="1"/>
  <c r="J1082" i="1"/>
  <c r="Q1082" i="1" s="1"/>
  <c r="T1082" i="1" s="1"/>
  <c r="S1081" i="1"/>
  <c r="J1081" i="1"/>
  <c r="Q1081" i="1" s="1"/>
  <c r="T1081" i="1" s="1"/>
  <c r="T1080" i="1"/>
  <c r="S1080" i="1"/>
  <c r="T1079" i="1"/>
  <c r="S1079" i="1"/>
  <c r="S1078" i="1"/>
  <c r="Q1078" i="1"/>
  <c r="T1078" i="1" s="1"/>
  <c r="L1078" i="1"/>
  <c r="S1077" i="1"/>
  <c r="Q1077" i="1"/>
  <c r="T1077" i="1" s="1"/>
  <c r="L1077" i="1"/>
  <c r="T1076" i="1"/>
  <c r="S1076" i="1"/>
  <c r="T1075" i="1"/>
  <c r="S1075" i="1"/>
  <c r="S1074" i="1"/>
  <c r="Q1074" i="1"/>
  <c r="T1074" i="1" s="1"/>
  <c r="L1074" i="1"/>
  <c r="S1073" i="1"/>
  <c r="Q1073" i="1"/>
  <c r="T1073" i="1" s="1"/>
  <c r="L1073" i="1"/>
  <c r="T1072" i="1"/>
  <c r="S1072" i="1"/>
  <c r="T1071" i="1"/>
  <c r="S1071" i="1"/>
  <c r="S1070" i="1"/>
  <c r="Q1070" i="1"/>
  <c r="T1070" i="1" s="1"/>
  <c r="L1070" i="1"/>
  <c r="S1069" i="1"/>
  <c r="J1069" i="1"/>
  <c r="Q1069" i="1" s="1"/>
  <c r="T1069" i="1" s="1"/>
  <c r="T1068" i="1"/>
  <c r="S1068" i="1"/>
  <c r="T1067" i="1"/>
  <c r="S1067" i="1"/>
  <c r="S1066" i="1"/>
  <c r="Q1066" i="1"/>
  <c r="T1066" i="1" s="1"/>
  <c r="L1066" i="1"/>
  <c r="S1065" i="1"/>
  <c r="J1065" i="1"/>
  <c r="Q1065" i="1" s="1"/>
  <c r="T1065" i="1" s="1"/>
  <c r="T1064" i="1"/>
  <c r="S1064" i="1"/>
  <c r="T1063" i="1"/>
  <c r="S1063" i="1"/>
  <c r="S1062" i="1"/>
  <c r="Q1062" i="1"/>
  <c r="T1062" i="1" s="1"/>
  <c r="L1062" i="1"/>
  <c r="S1061" i="1"/>
  <c r="J1061" i="1"/>
  <c r="L1061" i="1" s="1"/>
  <c r="T1060" i="1"/>
  <c r="S1060" i="1"/>
  <c r="T1059" i="1"/>
  <c r="S1059" i="1"/>
  <c r="S1058" i="1"/>
  <c r="Q1058" i="1"/>
  <c r="T1058" i="1" s="1"/>
  <c r="L1058" i="1"/>
  <c r="S1057" i="1"/>
  <c r="Q1057" i="1"/>
  <c r="T1057" i="1" s="1"/>
  <c r="K1057" i="1"/>
  <c r="L1057" i="1" s="1"/>
  <c r="T1056" i="1"/>
  <c r="S1056" i="1"/>
  <c r="T1055" i="1"/>
  <c r="S1055" i="1"/>
  <c r="T1054" i="1"/>
  <c r="S1054" i="1"/>
  <c r="T1053" i="1"/>
  <c r="S1053" i="1"/>
  <c r="L1053" i="1"/>
  <c r="T1052" i="1"/>
  <c r="S1052" i="1"/>
  <c r="L1052" i="1"/>
  <c r="S1051" i="1"/>
  <c r="Q1051" i="1"/>
  <c r="T1051" i="1" s="1"/>
  <c r="L1051" i="1"/>
  <c r="T1050" i="1"/>
  <c r="S1050" i="1"/>
  <c r="T1049" i="1"/>
  <c r="S1049" i="1"/>
  <c r="T1048" i="1"/>
  <c r="S1048" i="1"/>
  <c r="L1048" i="1"/>
  <c r="T1047" i="1"/>
  <c r="S1047" i="1"/>
  <c r="L1047" i="1"/>
  <c r="S1046" i="1"/>
  <c r="Q1046" i="1"/>
  <c r="T1046" i="1" s="1"/>
  <c r="L1046" i="1"/>
  <c r="T1045" i="1"/>
  <c r="S1045" i="1"/>
  <c r="T1044" i="1"/>
  <c r="S1044" i="1"/>
  <c r="S1043" i="1"/>
  <c r="Q1043" i="1"/>
  <c r="T1043" i="1" s="1"/>
  <c r="S1042" i="1"/>
  <c r="Q1042" i="1"/>
  <c r="T1042" i="1" s="1"/>
  <c r="L1042" i="1"/>
  <c r="T1041" i="1"/>
  <c r="S1041" i="1"/>
  <c r="T1040" i="1"/>
  <c r="S1040" i="1"/>
  <c r="P1039" i="1"/>
  <c r="Q1039" i="1" s="1"/>
  <c r="T1039" i="1" s="1"/>
  <c r="T1038" i="1"/>
  <c r="S1038" i="1"/>
  <c r="T1037" i="1"/>
  <c r="S1037" i="1"/>
  <c r="T1036" i="1"/>
  <c r="P1036" i="1"/>
  <c r="S1036" i="1" s="1"/>
  <c r="T1035" i="1"/>
  <c r="P1035" i="1"/>
  <c r="S1035" i="1" s="1"/>
  <c r="T1034" i="1"/>
  <c r="P1034" i="1"/>
  <c r="S1034" i="1" s="1"/>
  <c r="T1033" i="1"/>
  <c r="P1033" i="1"/>
  <c r="S1033" i="1" s="1"/>
  <c r="T1032" i="1"/>
  <c r="P1032" i="1"/>
  <c r="S1032" i="1" s="1"/>
  <c r="T1031" i="1"/>
  <c r="P1031" i="1"/>
  <c r="S1031" i="1" s="1"/>
  <c r="T1030" i="1"/>
  <c r="P1030" i="1"/>
  <c r="S1030" i="1" s="1"/>
  <c r="T1029" i="1"/>
  <c r="P1029" i="1"/>
  <c r="S1029" i="1" s="1"/>
  <c r="T1028" i="1"/>
  <c r="P1028" i="1"/>
  <c r="S1028" i="1" s="1"/>
  <c r="S1027" i="1"/>
  <c r="Q1027" i="1"/>
  <c r="T1027" i="1" s="1"/>
  <c r="S1026" i="1"/>
  <c r="Q1026" i="1"/>
  <c r="T1026" i="1" s="1"/>
  <c r="S1025" i="1"/>
  <c r="Q1025" i="1"/>
  <c r="T1025" i="1" s="1"/>
  <c r="S1024" i="1"/>
  <c r="Q1024" i="1"/>
  <c r="T1024" i="1" s="1"/>
  <c r="S1023" i="1"/>
  <c r="Q1023" i="1"/>
  <c r="T1023" i="1" s="1"/>
  <c r="S1022" i="1"/>
  <c r="Q1022" i="1"/>
  <c r="T1022" i="1" s="1"/>
  <c r="S1021" i="1"/>
  <c r="Q1021" i="1"/>
  <c r="T1021" i="1" s="1"/>
  <c r="S1020" i="1"/>
  <c r="Q1020" i="1"/>
  <c r="T1020" i="1" s="1"/>
  <c r="S1019" i="1"/>
  <c r="Q1019" i="1"/>
  <c r="T1019" i="1" s="1"/>
  <c r="S1018" i="1"/>
  <c r="Q1018" i="1"/>
  <c r="T1018" i="1" s="1"/>
  <c r="S1017" i="1"/>
  <c r="Q1017" i="1"/>
  <c r="T1017" i="1" s="1"/>
  <c r="S1016" i="1"/>
  <c r="Q1016" i="1"/>
  <c r="T1016" i="1" s="1"/>
  <c r="S1015" i="1"/>
  <c r="Q1015" i="1"/>
  <c r="T1015" i="1" s="1"/>
  <c r="S1014" i="1"/>
  <c r="Q1014" i="1"/>
  <c r="T1014" i="1" s="1"/>
  <c r="S1013" i="1"/>
  <c r="Q1013" i="1"/>
  <c r="T1013" i="1" s="1"/>
  <c r="S1012" i="1"/>
  <c r="Q1012" i="1"/>
  <c r="T1012" i="1" s="1"/>
  <c r="S1011" i="1"/>
  <c r="Q1011" i="1"/>
  <c r="T1011" i="1" s="1"/>
  <c r="S1010" i="1"/>
  <c r="Q1010" i="1"/>
  <c r="T1010" i="1" s="1"/>
  <c r="S1009" i="1"/>
  <c r="Q1009" i="1"/>
  <c r="T1009" i="1" s="1"/>
  <c r="S1008" i="1"/>
  <c r="Q1008" i="1"/>
  <c r="T1008" i="1" s="1"/>
  <c r="S1007" i="1"/>
  <c r="Q1007" i="1"/>
  <c r="T1007" i="1" s="1"/>
  <c r="S1006" i="1"/>
  <c r="Q1006" i="1"/>
  <c r="T1006" i="1" s="1"/>
  <c r="S1005" i="1"/>
  <c r="Q1005" i="1"/>
  <c r="T1005" i="1" s="1"/>
  <c r="S1004" i="1"/>
  <c r="Q1004" i="1"/>
  <c r="T1004" i="1" s="1"/>
  <c r="T1003" i="1"/>
  <c r="S1003" i="1"/>
  <c r="T1002" i="1"/>
  <c r="S1002" i="1"/>
  <c r="T1001" i="1"/>
  <c r="S1001" i="1"/>
  <c r="T1000" i="1"/>
  <c r="S1000" i="1"/>
  <c r="S999" i="1"/>
  <c r="Q999" i="1"/>
  <c r="T999" i="1" s="1"/>
  <c r="S998" i="1"/>
  <c r="Q998" i="1"/>
  <c r="T998" i="1" s="1"/>
  <c r="T997" i="1"/>
  <c r="S997" i="1"/>
  <c r="T996" i="1"/>
  <c r="S996" i="1"/>
  <c r="P995" i="1"/>
  <c r="S995" i="1" s="1"/>
  <c r="S994" i="1"/>
  <c r="Q994" i="1"/>
  <c r="T994" i="1" s="1"/>
  <c r="T993" i="1"/>
  <c r="S993" i="1"/>
  <c r="T992" i="1"/>
  <c r="S992" i="1"/>
  <c r="S991" i="1"/>
  <c r="Q991" i="1"/>
  <c r="T991" i="1" s="1"/>
  <c r="S990" i="1"/>
  <c r="J990" i="1"/>
  <c r="Q990" i="1" s="1"/>
  <c r="T990" i="1" s="1"/>
  <c r="S989" i="1"/>
  <c r="J989" i="1"/>
  <c r="Q989" i="1" s="1"/>
  <c r="T989" i="1" s="1"/>
  <c r="S988" i="1"/>
  <c r="J988" i="1"/>
  <c r="Q988" i="1" s="1"/>
  <c r="T988" i="1" s="1"/>
  <c r="S987" i="1"/>
  <c r="J987" i="1"/>
  <c r="Q987" i="1" s="1"/>
  <c r="T987" i="1" s="1"/>
  <c r="S986" i="1"/>
  <c r="J986" i="1"/>
  <c r="Q986" i="1" s="1"/>
  <c r="T986" i="1" s="1"/>
  <c r="S985" i="1"/>
  <c r="J985" i="1"/>
  <c r="Q985" i="1" s="1"/>
  <c r="T985" i="1" s="1"/>
  <c r="T984" i="1"/>
  <c r="S984" i="1"/>
  <c r="S983" i="1"/>
  <c r="J983" i="1"/>
  <c r="Q983" i="1" s="1"/>
  <c r="T983" i="1" s="1"/>
  <c r="S982" i="1"/>
  <c r="J982" i="1"/>
  <c r="Q982" i="1" s="1"/>
  <c r="T982" i="1" s="1"/>
  <c r="S981" i="1"/>
  <c r="J981" i="1"/>
  <c r="Q981" i="1" s="1"/>
  <c r="T981" i="1" s="1"/>
  <c r="T980" i="1"/>
  <c r="S980" i="1"/>
  <c r="T979" i="1"/>
  <c r="S979" i="1"/>
  <c r="S978" i="1"/>
  <c r="Q978" i="1"/>
  <c r="T978" i="1" s="1"/>
  <c r="S977" i="1"/>
  <c r="Q977" i="1"/>
  <c r="T977" i="1" s="1"/>
  <c r="S976" i="1"/>
  <c r="J976" i="1"/>
  <c r="Q976" i="1" s="1"/>
  <c r="T976" i="1" s="1"/>
  <c r="T975" i="1"/>
  <c r="S975" i="1"/>
  <c r="T974" i="1"/>
  <c r="S974" i="1"/>
  <c r="S973" i="1"/>
  <c r="J973" i="1"/>
  <c r="Q973" i="1" s="1"/>
  <c r="T973" i="1" s="1"/>
  <c r="S972" i="1"/>
  <c r="Q972" i="1"/>
  <c r="T972" i="1" s="1"/>
  <c r="S971" i="1"/>
  <c r="J971" i="1"/>
  <c r="Q971" i="1" s="1"/>
  <c r="T971" i="1" s="1"/>
  <c r="T970" i="1"/>
  <c r="S970" i="1"/>
  <c r="T969" i="1"/>
  <c r="S969" i="1"/>
  <c r="S968" i="1"/>
  <c r="Q968" i="1"/>
  <c r="T968" i="1" s="1"/>
  <c r="S967" i="1"/>
  <c r="J967" i="1"/>
  <c r="Q967" i="1" s="1"/>
  <c r="T967" i="1" s="1"/>
  <c r="T966" i="1"/>
  <c r="S966" i="1"/>
  <c r="T965" i="1"/>
  <c r="S965" i="1"/>
  <c r="P964" i="1"/>
  <c r="Q964" i="1" s="1"/>
  <c r="T964" i="1" s="1"/>
  <c r="S963" i="1"/>
  <c r="J963" i="1"/>
  <c r="L963" i="1" s="1"/>
  <c r="S962" i="1"/>
  <c r="J962" i="1"/>
  <c r="L962" i="1" s="1"/>
  <c r="S961" i="1"/>
  <c r="J961" i="1"/>
  <c r="L961" i="1" s="1"/>
  <c r="T960" i="1"/>
  <c r="S960" i="1"/>
  <c r="S959" i="1"/>
  <c r="J959" i="1"/>
  <c r="L959" i="1" s="1"/>
  <c r="S958" i="1"/>
  <c r="J958" i="1"/>
  <c r="L958" i="1" s="1"/>
  <c r="T957" i="1"/>
  <c r="S957" i="1"/>
  <c r="T956" i="1"/>
  <c r="S956" i="1"/>
  <c r="S955" i="1"/>
  <c r="Q955" i="1"/>
  <c r="T955" i="1" s="1"/>
  <c r="S954" i="1"/>
  <c r="J954" i="1"/>
  <c r="Q954" i="1" s="1"/>
  <c r="T954" i="1" s="1"/>
  <c r="T953" i="1"/>
  <c r="S953" i="1"/>
  <c r="T952" i="1"/>
  <c r="S952" i="1"/>
  <c r="S951" i="1"/>
  <c r="Q951" i="1"/>
  <c r="T951" i="1" s="1"/>
  <c r="S950" i="1"/>
  <c r="Q950" i="1"/>
  <c r="T950" i="1" s="1"/>
  <c r="S949" i="1"/>
  <c r="Q949" i="1"/>
  <c r="T949" i="1" s="1"/>
  <c r="S948" i="1"/>
  <c r="Q948" i="1"/>
  <c r="T948" i="1" s="1"/>
  <c r="T947" i="1"/>
  <c r="S947" i="1"/>
  <c r="T946" i="1"/>
  <c r="S946" i="1"/>
  <c r="S945" i="1"/>
  <c r="Q945" i="1"/>
  <c r="T945" i="1" s="1"/>
  <c r="S944" i="1"/>
  <c r="Q944" i="1"/>
  <c r="T944" i="1" s="1"/>
  <c r="T943" i="1"/>
  <c r="S943" i="1"/>
  <c r="T942" i="1"/>
  <c r="S942" i="1"/>
  <c r="T941" i="1"/>
  <c r="S941" i="1"/>
  <c r="S940" i="1"/>
  <c r="Q940" i="1"/>
  <c r="T940" i="1" s="1"/>
  <c r="S939" i="1"/>
  <c r="J939" i="1"/>
  <c r="Q939" i="1" s="1"/>
  <c r="T939" i="1" s="1"/>
  <c r="T938" i="1"/>
  <c r="S938" i="1"/>
  <c r="T937" i="1"/>
  <c r="S937" i="1"/>
  <c r="T936" i="1"/>
  <c r="S936" i="1"/>
  <c r="T935" i="1"/>
  <c r="S935" i="1"/>
  <c r="S934" i="1"/>
  <c r="J934" i="1"/>
  <c r="Q934" i="1" s="1"/>
  <c r="T934" i="1" s="1"/>
  <c r="S933" i="1"/>
  <c r="J933" i="1"/>
  <c r="Q933" i="1" s="1"/>
  <c r="T933" i="1" s="1"/>
  <c r="S932" i="1"/>
  <c r="J932" i="1"/>
  <c r="Q932" i="1" s="1"/>
  <c r="T932" i="1" s="1"/>
  <c r="T931" i="1"/>
  <c r="S931" i="1"/>
  <c r="T930" i="1"/>
  <c r="S930" i="1"/>
  <c r="S929" i="1"/>
  <c r="Q929" i="1"/>
  <c r="T929" i="1" s="1"/>
  <c r="S928" i="1"/>
  <c r="Q928" i="1"/>
  <c r="T928" i="1" s="1"/>
  <c r="T927" i="1"/>
  <c r="S927" i="1"/>
  <c r="T926" i="1"/>
  <c r="S926" i="1"/>
  <c r="S925" i="1"/>
  <c r="Q925" i="1"/>
  <c r="T925" i="1" s="1"/>
  <c r="S924" i="1"/>
  <c r="Q924" i="1"/>
  <c r="T924" i="1" s="1"/>
  <c r="S923" i="1"/>
  <c r="Q923" i="1"/>
  <c r="T923" i="1" s="1"/>
  <c r="T922" i="1"/>
  <c r="S922" i="1"/>
  <c r="T921" i="1"/>
  <c r="S921" i="1"/>
  <c r="S920" i="1"/>
  <c r="Q920" i="1"/>
  <c r="T920" i="1" s="1"/>
  <c r="S919" i="1"/>
  <c r="J919" i="1"/>
  <c r="Q919" i="1" s="1"/>
  <c r="T919" i="1" s="1"/>
  <c r="T918" i="1"/>
  <c r="S918" i="1"/>
  <c r="T917" i="1"/>
  <c r="S917" i="1"/>
  <c r="S916" i="1"/>
  <c r="Q916" i="1"/>
  <c r="T916" i="1" s="1"/>
  <c r="S915" i="1"/>
  <c r="J915" i="1"/>
  <c r="Q915" i="1" s="1"/>
  <c r="T915" i="1" s="1"/>
  <c r="S914" i="1"/>
  <c r="J914" i="1"/>
  <c r="Q914" i="1" s="1"/>
  <c r="T914" i="1" s="1"/>
  <c r="S913" i="1"/>
  <c r="J913" i="1"/>
  <c r="Q913" i="1" s="1"/>
  <c r="T913" i="1" s="1"/>
  <c r="T912" i="1"/>
  <c r="S912" i="1"/>
  <c r="T911" i="1"/>
  <c r="S911" i="1"/>
  <c r="S910" i="1"/>
  <c r="Q910" i="1"/>
  <c r="T910" i="1" s="1"/>
  <c r="S909" i="1"/>
  <c r="Q909" i="1"/>
  <c r="T909" i="1" s="1"/>
  <c r="K909" i="1"/>
  <c r="T908" i="1"/>
  <c r="S908" i="1"/>
  <c r="T907" i="1"/>
  <c r="S907" i="1"/>
  <c r="S906" i="1"/>
  <c r="Q906" i="1"/>
  <c r="T906" i="1" s="1"/>
  <c r="S905" i="1"/>
  <c r="J905" i="1"/>
  <c r="Q905" i="1" s="1"/>
  <c r="T905" i="1" s="1"/>
  <c r="T904" i="1"/>
  <c r="S904" i="1"/>
  <c r="T903" i="1"/>
  <c r="S903" i="1"/>
  <c r="S902" i="1"/>
  <c r="K902" i="1"/>
  <c r="J902" i="1"/>
  <c r="Q902" i="1" s="1"/>
  <c r="T902" i="1" s="1"/>
  <c r="S901" i="1"/>
  <c r="K901" i="1"/>
  <c r="J901" i="1"/>
  <c r="Q901" i="1" s="1"/>
  <c r="T901" i="1" s="1"/>
  <c r="T900" i="1"/>
  <c r="S900" i="1"/>
  <c r="P899" i="1"/>
  <c r="S898" i="1"/>
  <c r="K898" i="1"/>
  <c r="J898" i="1"/>
  <c r="Q898" i="1" s="1"/>
  <c r="T898" i="1" s="1"/>
  <c r="S897" i="1"/>
  <c r="K897" i="1"/>
  <c r="J897" i="1"/>
  <c r="Q897" i="1" s="1"/>
  <c r="T897" i="1" s="1"/>
  <c r="S896" i="1"/>
  <c r="K896" i="1"/>
  <c r="J896" i="1"/>
  <c r="Q896" i="1" s="1"/>
  <c r="T896" i="1" s="1"/>
  <c r="S895" i="1"/>
  <c r="K895" i="1"/>
  <c r="J895" i="1"/>
  <c r="Q895" i="1" s="1"/>
  <c r="T895" i="1" s="1"/>
  <c r="S894" i="1"/>
  <c r="K894" i="1"/>
  <c r="J894" i="1"/>
  <c r="Q894" i="1" s="1"/>
  <c r="T894" i="1" s="1"/>
  <c r="S893" i="1"/>
  <c r="K893" i="1"/>
  <c r="J893" i="1"/>
  <c r="Q893" i="1" s="1"/>
  <c r="T893" i="1" s="1"/>
  <c r="S892" i="1"/>
  <c r="K892" i="1"/>
  <c r="J892" i="1"/>
  <c r="Q892" i="1" s="1"/>
  <c r="T892" i="1" s="1"/>
  <c r="S891" i="1"/>
  <c r="K891" i="1"/>
  <c r="J891" i="1"/>
  <c r="Q891" i="1" s="1"/>
  <c r="T891" i="1" s="1"/>
  <c r="S890" i="1"/>
  <c r="K890" i="1"/>
  <c r="J890" i="1"/>
  <c r="Q890" i="1" s="1"/>
  <c r="T890" i="1" s="1"/>
  <c r="S889" i="1"/>
  <c r="K889" i="1"/>
  <c r="J889" i="1"/>
  <c r="Q889" i="1" s="1"/>
  <c r="T889" i="1" s="1"/>
  <c r="T888" i="1"/>
  <c r="S888" i="1"/>
  <c r="S887" i="1"/>
  <c r="J887" i="1"/>
  <c r="Q887" i="1" s="1"/>
  <c r="T887" i="1" s="1"/>
  <c r="T886" i="1"/>
  <c r="S886" i="1"/>
  <c r="T885" i="1"/>
  <c r="S885" i="1"/>
  <c r="T884" i="1"/>
  <c r="S884" i="1"/>
  <c r="S883" i="1"/>
  <c r="J883" i="1"/>
  <c r="Q883" i="1" s="1"/>
  <c r="T883" i="1" s="1"/>
  <c r="S882" i="1"/>
  <c r="J882" i="1"/>
  <c r="Q882" i="1" s="1"/>
  <c r="T882" i="1" s="1"/>
  <c r="T881" i="1"/>
  <c r="S881" i="1"/>
  <c r="T880" i="1"/>
  <c r="S880" i="1"/>
  <c r="S879" i="1"/>
  <c r="Q879" i="1"/>
  <c r="T879" i="1" s="1"/>
  <c r="S878" i="1"/>
  <c r="Q878" i="1"/>
  <c r="T878" i="1" s="1"/>
  <c r="S877" i="1"/>
  <c r="J877" i="1"/>
  <c r="Q877" i="1" s="1"/>
  <c r="T877" i="1" s="1"/>
  <c r="S876" i="1"/>
  <c r="J876" i="1"/>
  <c r="Q876" i="1" s="1"/>
  <c r="T876" i="1" s="1"/>
  <c r="S875" i="1"/>
  <c r="J875" i="1"/>
  <c r="Q875" i="1" s="1"/>
  <c r="T875" i="1" s="1"/>
  <c r="T874" i="1"/>
  <c r="S874" i="1"/>
  <c r="T873" i="1"/>
  <c r="S873" i="1"/>
  <c r="Q872" i="1"/>
  <c r="T872" i="1" s="1"/>
  <c r="P872" i="1"/>
  <c r="S872" i="1" s="1"/>
  <c r="S871" i="1"/>
  <c r="Q871" i="1"/>
  <c r="T871" i="1" s="1"/>
  <c r="K871" i="1"/>
  <c r="T870" i="1"/>
  <c r="S870" i="1"/>
  <c r="K870" i="1"/>
  <c r="T869" i="1"/>
  <c r="S869" i="1"/>
  <c r="K869" i="1"/>
  <c r="S868" i="1"/>
  <c r="Q868" i="1"/>
  <c r="T868" i="1" s="1"/>
  <c r="K868" i="1"/>
  <c r="S867" i="1"/>
  <c r="Q867" i="1"/>
  <c r="T867" i="1" s="1"/>
  <c r="K867" i="1"/>
  <c r="S866" i="1"/>
  <c r="Q866" i="1"/>
  <c r="T866" i="1" s="1"/>
  <c r="K866" i="1"/>
  <c r="S865" i="1"/>
  <c r="Q865" i="1"/>
  <c r="T865" i="1" s="1"/>
  <c r="K865" i="1"/>
  <c r="S864" i="1"/>
  <c r="Q864" i="1"/>
  <c r="T864" i="1" s="1"/>
  <c r="K864" i="1"/>
  <c r="S863" i="1"/>
  <c r="Q863" i="1"/>
  <c r="T863" i="1" s="1"/>
  <c r="K863" i="1"/>
  <c r="S862" i="1"/>
  <c r="Q862" i="1"/>
  <c r="T862" i="1" s="1"/>
  <c r="K862" i="1"/>
  <c r="S861" i="1"/>
  <c r="Q861" i="1"/>
  <c r="T861" i="1" s="1"/>
  <c r="K861" i="1"/>
  <c r="T860" i="1"/>
  <c r="S860" i="1"/>
  <c r="T859" i="1"/>
  <c r="S859" i="1"/>
  <c r="Q858" i="1"/>
  <c r="T858" i="1" s="1"/>
  <c r="P858" i="1"/>
  <c r="S858" i="1" s="1"/>
  <c r="S857" i="1"/>
  <c r="Q857" i="1"/>
  <c r="T857" i="1" s="1"/>
  <c r="S856" i="1"/>
  <c r="Q856" i="1"/>
  <c r="T856" i="1" s="1"/>
  <c r="T855" i="1"/>
  <c r="S855" i="1"/>
  <c r="S854" i="1"/>
  <c r="Q854" i="1"/>
  <c r="T854" i="1" s="1"/>
  <c r="S853" i="1"/>
  <c r="Q853" i="1"/>
  <c r="T853" i="1" s="1"/>
  <c r="S852" i="1"/>
  <c r="Q852" i="1"/>
  <c r="T852" i="1" s="1"/>
  <c r="S851" i="1"/>
  <c r="Q851" i="1"/>
  <c r="T851" i="1" s="1"/>
  <c r="T850" i="1"/>
  <c r="S850" i="1"/>
  <c r="T849" i="1"/>
  <c r="S849" i="1"/>
  <c r="S848" i="1"/>
  <c r="Q848" i="1"/>
  <c r="T848" i="1" s="1"/>
  <c r="S847" i="1"/>
  <c r="Q847" i="1"/>
  <c r="T847" i="1" s="1"/>
  <c r="S846" i="1"/>
  <c r="Q846" i="1"/>
  <c r="T846" i="1" s="1"/>
  <c r="T845" i="1"/>
  <c r="S845" i="1"/>
  <c r="T844" i="1"/>
  <c r="S844" i="1"/>
  <c r="S843" i="1"/>
  <c r="Q843" i="1"/>
  <c r="T843" i="1" s="1"/>
  <c r="T842" i="1"/>
  <c r="S842" i="1"/>
  <c r="T841" i="1"/>
  <c r="S841" i="1"/>
  <c r="T840" i="1"/>
  <c r="S840" i="1"/>
  <c r="S839" i="1"/>
  <c r="Q839" i="1"/>
  <c r="T839" i="1" s="1"/>
  <c r="S838" i="1"/>
  <c r="Q838" i="1"/>
  <c r="T838" i="1" s="1"/>
  <c r="T837" i="1"/>
  <c r="S837" i="1"/>
  <c r="T836" i="1"/>
  <c r="S836" i="1"/>
  <c r="S835" i="1"/>
  <c r="Q835" i="1"/>
  <c r="T835" i="1" s="1"/>
  <c r="S834" i="1"/>
  <c r="J834" i="1"/>
  <c r="Q834" i="1" s="1"/>
  <c r="T834" i="1" s="1"/>
  <c r="T833" i="1"/>
  <c r="S833" i="1"/>
  <c r="T832" i="1"/>
  <c r="S832" i="1"/>
  <c r="S831" i="1"/>
  <c r="Q831" i="1"/>
  <c r="T831" i="1" s="1"/>
  <c r="S830" i="1"/>
  <c r="Q830" i="1"/>
  <c r="T830" i="1" s="1"/>
  <c r="T829" i="1"/>
  <c r="S829" i="1"/>
  <c r="T828" i="1"/>
  <c r="S828" i="1"/>
  <c r="S827" i="1"/>
  <c r="Q827" i="1"/>
  <c r="T827" i="1" s="1"/>
  <c r="S826" i="1"/>
  <c r="Q826" i="1"/>
  <c r="T826" i="1" s="1"/>
  <c r="S825" i="1"/>
  <c r="Q825" i="1"/>
  <c r="T825" i="1" s="1"/>
  <c r="S824" i="1"/>
  <c r="Q824" i="1"/>
  <c r="T824" i="1" s="1"/>
  <c r="T823" i="1"/>
  <c r="S823" i="1"/>
  <c r="T822" i="1"/>
  <c r="S822" i="1"/>
  <c r="S821" i="1"/>
  <c r="Q821" i="1"/>
  <c r="T821" i="1" s="1"/>
  <c r="S820" i="1"/>
  <c r="J820" i="1"/>
  <c r="Q820" i="1" s="1"/>
  <c r="T820" i="1" s="1"/>
  <c r="S819" i="1"/>
  <c r="J819" i="1"/>
  <c r="Q819" i="1" s="1"/>
  <c r="T819" i="1" s="1"/>
  <c r="T818" i="1"/>
  <c r="S818" i="1"/>
  <c r="T817" i="1"/>
  <c r="S817" i="1"/>
  <c r="P816" i="1"/>
  <c r="S816" i="1" s="1"/>
  <c r="S815" i="1"/>
  <c r="Q815" i="1"/>
  <c r="T815" i="1" s="1"/>
  <c r="S814" i="1"/>
  <c r="Q814" i="1"/>
  <c r="T814" i="1" s="1"/>
  <c r="S813" i="1"/>
  <c r="Q813" i="1"/>
  <c r="T813" i="1" s="1"/>
  <c r="S812" i="1"/>
  <c r="Q812" i="1"/>
  <c r="T812" i="1" s="1"/>
  <c r="S811" i="1"/>
  <c r="Q811" i="1"/>
  <c r="T811" i="1" s="1"/>
  <c r="T810" i="1"/>
  <c r="S810" i="1"/>
  <c r="T809" i="1"/>
  <c r="S809" i="1"/>
  <c r="T808" i="1"/>
  <c r="S808" i="1"/>
  <c r="S807" i="1"/>
  <c r="J807" i="1"/>
  <c r="Q807" i="1" s="1"/>
  <c r="T807" i="1" s="1"/>
  <c r="T806" i="1"/>
  <c r="S806" i="1"/>
  <c r="T805" i="1"/>
  <c r="S805" i="1"/>
  <c r="S804" i="1"/>
  <c r="J804" i="1"/>
  <c r="Q804" i="1" s="1"/>
  <c r="T804" i="1" s="1"/>
  <c r="S803" i="1"/>
  <c r="Q803" i="1"/>
  <c r="T803" i="1" s="1"/>
  <c r="S802" i="1"/>
  <c r="J802" i="1"/>
  <c r="Q802" i="1" s="1"/>
  <c r="T802" i="1" s="1"/>
  <c r="T801" i="1"/>
  <c r="S801" i="1"/>
  <c r="T800" i="1"/>
  <c r="S800" i="1"/>
  <c r="S799" i="1"/>
  <c r="Q799" i="1"/>
  <c r="T799" i="1" s="1"/>
  <c r="S798" i="1"/>
  <c r="Q798" i="1"/>
  <c r="T798" i="1" s="1"/>
  <c r="S797" i="1"/>
  <c r="Q797" i="1"/>
  <c r="T797" i="1" s="1"/>
  <c r="S796" i="1"/>
  <c r="Q796" i="1"/>
  <c r="T796" i="1" s="1"/>
  <c r="T795" i="1"/>
  <c r="S795" i="1"/>
  <c r="T794" i="1"/>
  <c r="S794" i="1"/>
  <c r="T793" i="1"/>
  <c r="S793" i="1"/>
  <c r="S792" i="1"/>
  <c r="Q792" i="1"/>
  <c r="T792" i="1" s="1"/>
  <c r="S791" i="1"/>
  <c r="Q791" i="1"/>
  <c r="T791" i="1" s="1"/>
  <c r="T790" i="1"/>
  <c r="S790" i="1"/>
  <c r="T789" i="1"/>
  <c r="S789" i="1"/>
  <c r="S788" i="1"/>
  <c r="Q788" i="1"/>
  <c r="T788" i="1" s="1"/>
  <c r="S787" i="1"/>
  <c r="Q787" i="1"/>
  <c r="T787" i="1" s="1"/>
  <c r="S786" i="1"/>
  <c r="Q786" i="1"/>
  <c r="T786" i="1" s="1"/>
  <c r="T785" i="1"/>
  <c r="S785" i="1"/>
  <c r="T784" i="1"/>
  <c r="S784" i="1"/>
  <c r="S783" i="1"/>
  <c r="Q783" i="1"/>
  <c r="T783" i="1" s="1"/>
  <c r="S782" i="1"/>
  <c r="Q782" i="1"/>
  <c r="T782" i="1" s="1"/>
  <c r="S781" i="1"/>
  <c r="Q781" i="1"/>
  <c r="T781" i="1" s="1"/>
  <c r="T780" i="1"/>
  <c r="S780" i="1"/>
  <c r="T779" i="1"/>
  <c r="S779" i="1"/>
  <c r="T778" i="1"/>
  <c r="S778" i="1"/>
  <c r="S777" i="1"/>
  <c r="J777" i="1"/>
  <c r="Q777" i="1" s="1"/>
  <c r="T777" i="1" s="1"/>
  <c r="S776" i="1"/>
  <c r="J776" i="1"/>
  <c r="Q776" i="1" s="1"/>
  <c r="T776" i="1" s="1"/>
  <c r="T775" i="1"/>
  <c r="S775" i="1"/>
  <c r="T774" i="1"/>
  <c r="S774" i="1"/>
  <c r="S773" i="1"/>
  <c r="Q773" i="1"/>
  <c r="T773" i="1" s="1"/>
  <c r="S772" i="1"/>
  <c r="J772" i="1"/>
  <c r="Q772" i="1" s="1"/>
  <c r="T772" i="1" s="1"/>
  <c r="S771" i="1"/>
  <c r="J771" i="1"/>
  <c r="Q771" i="1" s="1"/>
  <c r="T771" i="1" s="1"/>
  <c r="S770" i="1"/>
  <c r="J770" i="1"/>
  <c r="Q770" i="1" s="1"/>
  <c r="T770" i="1" s="1"/>
  <c r="S769" i="1"/>
  <c r="J769" i="1"/>
  <c r="Q769" i="1" s="1"/>
  <c r="T769" i="1" s="1"/>
  <c r="T768" i="1"/>
  <c r="S768" i="1"/>
  <c r="T767" i="1"/>
  <c r="S767" i="1"/>
  <c r="S766" i="1"/>
  <c r="Q766" i="1"/>
  <c r="T766" i="1" s="1"/>
  <c r="T765" i="1"/>
  <c r="S765" i="1"/>
  <c r="S764" i="1"/>
  <c r="J764" i="1"/>
  <c r="Q764" i="1" s="1"/>
  <c r="T764" i="1" s="1"/>
  <c r="S763" i="1"/>
  <c r="J763" i="1"/>
  <c r="Q763" i="1" s="1"/>
  <c r="T763" i="1" s="1"/>
  <c r="T762" i="1"/>
  <c r="S762" i="1"/>
  <c r="T761" i="1"/>
  <c r="S761" i="1"/>
  <c r="S760" i="1"/>
  <c r="Q760" i="1"/>
  <c r="T760" i="1" s="1"/>
  <c r="S759" i="1"/>
  <c r="Q759" i="1"/>
  <c r="T759" i="1" s="1"/>
  <c r="S758" i="1"/>
  <c r="Q758" i="1"/>
  <c r="T758" i="1" s="1"/>
  <c r="T757" i="1"/>
  <c r="S757" i="1"/>
  <c r="T756" i="1"/>
  <c r="S756" i="1"/>
  <c r="S755" i="1"/>
  <c r="J755" i="1"/>
  <c r="Q755" i="1" s="1"/>
  <c r="T755" i="1" s="1"/>
  <c r="S754" i="1"/>
  <c r="J754" i="1"/>
  <c r="Q754" i="1" s="1"/>
  <c r="T754" i="1" s="1"/>
  <c r="S753" i="1"/>
  <c r="J753" i="1"/>
  <c r="Q753" i="1" s="1"/>
  <c r="T753" i="1" s="1"/>
  <c r="T752" i="1"/>
  <c r="S752" i="1"/>
  <c r="T751" i="1"/>
  <c r="S751" i="1"/>
  <c r="T750" i="1"/>
  <c r="S750" i="1"/>
  <c r="S749" i="1"/>
  <c r="J749" i="1"/>
  <c r="Q749" i="1" s="1"/>
  <c r="T749" i="1" s="1"/>
  <c r="T748" i="1"/>
  <c r="S748" i="1"/>
  <c r="S747" i="1"/>
  <c r="J747" i="1"/>
  <c r="Q747" i="1" s="1"/>
  <c r="T747" i="1" s="1"/>
  <c r="T746" i="1"/>
  <c r="S746" i="1"/>
  <c r="S745" i="1"/>
  <c r="J745" i="1"/>
  <c r="Q745" i="1" s="1"/>
  <c r="T745" i="1" s="1"/>
  <c r="T744" i="1"/>
  <c r="S744" i="1"/>
  <c r="T743" i="1"/>
  <c r="S743" i="1"/>
  <c r="Q742" i="1"/>
  <c r="T742" i="1" s="1"/>
  <c r="P742" i="1"/>
  <c r="S742" i="1" s="1"/>
  <c r="S741" i="1"/>
  <c r="Q741" i="1"/>
  <c r="T741" i="1" s="1"/>
  <c r="S740" i="1"/>
  <c r="Q740" i="1"/>
  <c r="T740" i="1" s="1"/>
  <c r="S739" i="1"/>
  <c r="Q739" i="1"/>
  <c r="T739" i="1" s="1"/>
  <c r="S738" i="1"/>
  <c r="Q738" i="1"/>
  <c r="T738" i="1" s="1"/>
  <c r="S737" i="1"/>
  <c r="Q737" i="1"/>
  <c r="T737" i="1" s="1"/>
  <c r="S736" i="1"/>
  <c r="Q736" i="1"/>
  <c r="T736" i="1" s="1"/>
  <c r="T735" i="1"/>
  <c r="S735" i="1"/>
  <c r="T734" i="1"/>
  <c r="S734" i="1"/>
  <c r="T733" i="1"/>
  <c r="S733" i="1"/>
  <c r="T732" i="1"/>
  <c r="S732" i="1"/>
  <c r="T731" i="1"/>
  <c r="S731" i="1"/>
  <c r="T730" i="1"/>
  <c r="S730" i="1"/>
  <c r="T729" i="1"/>
  <c r="S729" i="1"/>
  <c r="T728" i="1"/>
  <c r="S728" i="1"/>
  <c r="J728" i="1"/>
  <c r="T727" i="1"/>
  <c r="S727" i="1"/>
  <c r="J727" i="1"/>
  <c r="T726" i="1"/>
  <c r="S726" i="1"/>
  <c r="T725" i="1"/>
  <c r="S725" i="1"/>
  <c r="T724" i="1"/>
  <c r="S724" i="1"/>
  <c r="T723" i="1"/>
  <c r="S723" i="1"/>
  <c r="J723" i="1"/>
  <c r="J720" i="1"/>
  <c r="S720" i="1" s="1"/>
  <c r="J717" i="1"/>
  <c r="Q714" i="1"/>
  <c r="Q713" i="1"/>
  <c r="Q711" i="1"/>
  <c r="Q710" i="1"/>
  <c r="Q709" i="1"/>
  <c r="Q708" i="1"/>
  <c r="Q707" i="1"/>
  <c r="Q706" i="1"/>
  <c r="Q705" i="1"/>
  <c r="Q704" i="1"/>
  <c r="Q703" i="1"/>
  <c r="Q702" i="1"/>
  <c r="Q701" i="1"/>
  <c r="Q700" i="1"/>
  <c r="Q699" i="1"/>
  <c r="Q698" i="1"/>
  <c r="Q697" i="1"/>
  <c r="Q696" i="1"/>
  <c r="Q693" i="1"/>
  <c r="Q692" i="1"/>
  <c r="Q691" i="1"/>
  <c r="Q690" i="1"/>
  <c r="Q689" i="1"/>
  <c r="Q688" i="1"/>
  <c r="Q687" i="1"/>
  <c r="Q686" i="1"/>
  <c r="Q685" i="1"/>
  <c r="Q684" i="1"/>
  <c r="Q683" i="1"/>
  <c r="Q682" i="1"/>
  <c r="Q681" i="1"/>
  <c r="Q680" i="1"/>
  <c r="Q679" i="1"/>
  <c r="Q678" i="1"/>
  <c r="Q677" i="1"/>
  <c r="Q676" i="1"/>
  <c r="Q675" i="1"/>
  <c r="Q674" i="1"/>
  <c r="Q673" i="1"/>
  <c r="Q672" i="1"/>
  <c r="Q671" i="1"/>
  <c r="Q670" i="1"/>
  <c r="Q669" i="1"/>
  <c r="Q668" i="1"/>
  <c r="Q667" i="1"/>
  <c r="Q666" i="1"/>
  <c r="Q665" i="1"/>
  <c r="Q664" i="1"/>
  <c r="Q663" i="1"/>
  <c r="Q662" i="1"/>
  <c r="Q661" i="1"/>
  <c r="J640" i="1"/>
  <c r="J633" i="1"/>
  <c r="J630" i="1"/>
  <c r="J628" i="1"/>
  <c r="J626" i="1"/>
  <c r="J623" i="1"/>
  <c r="J622" i="1"/>
  <c r="J621" i="1"/>
  <c r="S618" i="1"/>
  <c r="S616" i="1"/>
  <c r="J616" i="1"/>
  <c r="S615" i="1"/>
  <c r="J615" i="1"/>
  <c r="J612" i="1"/>
  <c r="J611" i="1"/>
  <c r="J610" i="1"/>
  <c r="J609" i="1"/>
  <c r="J608" i="1"/>
  <c r="J607" i="1"/>
  <c r="J606" i="1"/>
  <c r="J605" i="1"/>
  <c r="J604" i="1"/>
  <c r="J603" i="1"/>
  <c r="J602" i="1"/>
  <c r="J599" i="1"/>
  <c r="J588" i="1"/>
  <c r="J587" i="1"/>
  <c r="J586" i="1"/>
  <c r="J585" i="1"/>
  <c r="J583" i="1"/>
  <c r="J581" i="1"/>
  <c r="J580" i="1"/>
  <c r="J579" i="1"/>
  <c r="J578" i="1"/>
  <c r="J577" i="1"/>
  <c r="J568" i="1"/>
  <c r="J550" i="1"/>
  <c r="J549" i="1"/>
  <c r="J540" i="1"/>
  <c r="J539" i="1"/>
  <c r="J536" i="1"/>
  <c r="J535" i="1"/>
  <c r="J529" i="1"/>
  <c r="J528" i="1"/>
  <c r="J527" i="1"/>
  <c r="J520" i="1"/>
  <c r="J519" i="1"/>
  <c r="J518" i="1"/>
  <c r="J516" i="1"/>
  <c r="J515" i="1"/>
  <c r="J508" i="1"/>
  <c r="J488" i="1"/>
  <c r="J486" i="1"/>
  <c r="J485" i="1"/>
  <c r="J483" i="1"/>
  <c r="J481" i="1"/>
  <c r="J480" i="1"/>
  <c r="J479" i="1"/>
  <c r="J477" i="1"/>
  <c r="J473" i="1"/>
  <c r="J472" i="1"/>
  <c r="J471" i="1"/>
  <c r="J470" i="1"/>
  <c r="J469" i="1"/>
  <c r="J468" i="1"/>
  <c r="J465" i="1"/>
  <c r="J464" i="1"/>
  <c r="J463" i="1"/>
  <c r="S439" i="1"/>
  <c r="J439" i="1"/>
  <c r="S438" i="1"/>
  <c r="J438" i="1"/>
  <c r="J432" i="1"/>
  <c r="J431" i="1"/>
  <c r="J430" i="1"/>
  <c r="J429" i="1"/>
  <c r="J428" i="1"/>
  <c r="J427" i="1"/>
  <c r="J426" i="1"/>
  <c r="J425" i="1"/>
  <c r="J423" i="1"/>
  <c r="J422" i="1"/>
  <c r="J421" i="1"/>
  <c r="J420" i="1"/>
  <c r="J419" i="1"/>
  <c r="J418" i="1"/>
  <c r="J417" i="1"/>
  <c r="J416" i="1"/>
  <c r="J415" i="1"/>
  <c r="J414" i="1"/>
  <c r="J410" i="1"/>
  <c r="J407" i="1"/>
  <c r="J406" i="1"/>
  <c r="J399" i="1"/>
  <c r="J397" i="1"/>
  <c r="J380" i="1"/>
  <c r="J379" i="1"/>
  <c r="J378" i="1"/>
  <c r="J370" i="1"/>
  <c r="J369" i="1"/>
  <c r="J368" i="1"/>
  <c r="J367" i="1"/>
  <c r="J362" i="1"/>
  <c r="J361" i="1"/>
  <c r="J358" i="1"/>
  <c r="J357" i="1"/>
  <c r="S352" i="1"/>
  <c r="J352" i="1"/>
  <c r="S351" i="1"/>
  <c r="J351" i="1"/>
  <c r="S350" i="1"/>
  <c r="J350" i="1"/>
  <c r="S349" i="1"/>
  <c r="J349" i="1"/>
  <c r="S348" i="1"/>
  <c r="J348" i="1"/>
  <c r="S347" i="1"/>
  <c r="J347" i="1"/>
  <c r="S346" i="1"/>
  <c r="J346" i="1"/>
  <c r="S345" i="1"/>
  <c r="J345" i="1"/>
  <c r="S343" i="1"/>
  <c r="J343" i="1"/>
  <c r="S342" i="1"/>
  <c r="J342" i="1"/>
  <c r="S341" i="1"/>
  <c r="J341" i="1"/>
  <c r="S340" i="1"/>
  <c r="J340" i="1"/>
  <c r="S339" i="1"/>
  <c r="J339" i="1"/>
  <c r="S338" i="1"/>
  <c r="J338" i="1"/>
  <c r="S337" i="1"/>
  <c r="J337" i="1"/>
  <c r="S336" i="1"/>
  <c r="J336" i="1"/>
  <c r="S335" i="1"/>
  <c r="J335" i="1"/>
  <c r="S334" i="1"/>
  <c r="J334" i="1"/>
  <c r="S331" i="1"/>
  <c r="J331" i="1"/>
  <c r="S330" i="1"/>
  <c r="J330" i="1"/>
  <c r="S329" i="1"/>
  <c r="J329" i="1"/>
  <c r="S328" i="1"/>
  <c r="J328" i="1"/>
  <c r="J295" i="1"/>
  <c r="J294" i="1"/>
  <c r="J280" i="1"/>
  <c r="J279" i="1"/>
  <c r="J277" i="1"/>
  <c r="J276" i="1"/>
  <c r="J275" i="1"/>
  <c r="J274" i="1"/>
  <c r="J273" i="1"/>
  <c r="J272" i="1"/>
  <c r="J270" i="1"/>
  <c r="J269" i="1"/>
  <c r="J268" i="1"/>
  <c r="J241" i="1"/>
  <c r="J238" i="1"/>
  <c r="J237" i="1"/>
  <c r="J236" i="1"/>
  <c r="J234" i="1"/>
  <c r="J227" i="1"/>
  <c r="J226" i="1"/>
  <c r="J223" i="1"/>
  <c r="J220" i="1"/>
  <c r="J217" i="1"/>
  <c r="J216" i="1"/>
  <c r="J215" i="1"/>
  <c r="J214" i="1"/>
  <c r="J212" i="1"/>
  <c r="J211" i="1"/>
  <c r="J210" i="1"/>
  <c r="J209" i="1"/>
  <c r="J201" i="1"/>
  <c r="J198" i="1"/>
  <c r="J196" i="1"/>
  <c r="J193" i="1"/>
  <c r="J185" i="1"/>
  <c r="J182" i="1"/>
  <c r="J181" i="1"/>
  <c r="J179" i="1"/>
  <c r="J172" i="1"/>
  <c r="J171" i="1"/>
  <c r="J169" i="1"/>
  <c r="J167" i="1"/>
  <c r="J163" i="1"/>
  <c r="J162" i="1"/>
  <c r="J161" i="1"/>
  <c r="J160" i="1"/>
  <c r="J158" i="1"/>
  <c r="J157" i="1"/>
  <c r="J156" i="1"/>
  <c r="J154" i="1"/>
  <c r="J153" i="1"/>
  <c r="J152" i="1"/>
  <c r="J151" i="1"/>
  <c r="J149" i="1"/>
  <c r="J148" i="1"/>
  <c r="J147" i="1"/>
  <c r="J146" i="1"/>
  <c r="J143" i="1"/>
  <c r="J138" i="1"/>
  <c r="J136" i="1"/>
  <c r="J135" i="1"/>
  <c r="J133" i="1"/>
  <c r="J132" i="1"/>
  <c r="J131" i="1"/>
  <c r="J130" i="1"/>
  <c r="J129" i="1"/>
  <c r="J128" i="1"/>
  <c r="J127" i="1"/>
  <c r="J125" i="1"/>
  <c r="J124" i="1"/>
  <c r="J123" i="1"/>
  <c r="J122" i="1"/>
  <c r="J121" i="1"/>
  <c r="J120" i="1"/>
  <c r="J117" i="1"/>
  <c r="J116" i="1"/>
  <c r="J110" i="1"/>
  <c r="J109" i="1"/>
  <c r="J106" i="1"/>
  <c r="J100" i="1"/>
  <c r="J98" i="1"/>
  <c r="J97" i="1"/>
  <c r="J96" i="1"/>
  <c r="J94" i="1"/>
  <c r="J93" i="1"/>
  <c r="J86" i="1"/>
  <c r="J84" i="1"/>
  <c r="J83" i="1"/>
  <c r="J81" i="1"/>
  <c r="J80" i="1"/>
  <c r="J79" i="1"/>
  <c r="J78" i="1"/>
  <c r="J74" i="1"/>
  <c r="J73" i="1"/>
  <c r="J60" i="1"/>
  <c r="J52" i="1"/>
  <c r="J37" i="1"/>
  <c r="J36" i="1"/>
  <c r="J30" i="1"/>
  <c r="J29" i="1"/>
  <c r="J26" i="1"/>
  <c r="J23" i="1"/>
  <c r="J17" i="1"/>
  <c r="J16" i="1"/>
  <c r="J13" i="1"/>
  <c r="J12" i="1"/>
  <c r="K1" i="1"/>
  <c r="B41" i="6"/>
  <c r="C20" i="13"/>
  <c r="C21" i="13"/>
  <c r="D21" i="13"/>
  <c r="C18" i="13"/>
  <c r="C19" i="13"/>
  <c r="J1" i="13"/>
  <c r="C8" i="13" l="1"/>
  <c r="Q1966" i="1"/>
  <c r="T1966" i="1" s="1"/>
  <c r="S1966" i="1"/>
  <c r="E3086" i="16"/>
  <c r="G3086" i="16" s="1"/>
  <c r="E3087" i="16"/>
  <c r="G3087" i="16" s="1"/>
  <c r="E3089" i="16"/>
  <c r="G3089" i="16" s="1"/>
  <c r="E3491" i="16"/>
  <c r="F3491" i="16" s="1"/>
  <c r="K3491" i="16" s="1"/>
  <c r="E3090" i="16"/>
  <c r="G3090" i="16" s="1"/>
  <c r="E3091" i="16"/>
  <c r="G3091" i="16" s="1"/>
  <c r="E3492" i="16"/>
  <c r="F3492" i="16" s="1"/>
  <c r="K3492" i="16" s="1"/>
  <c r="E3497" i="16"/>
  <c r="F3497" i="16" s="1"/>
  <c r="K3497" i="16" s="1"/>
  <c r="H3493" i="16"/>
  <c r="E3493" i="16"/>
  <c r="F3493" i="16" s="1"/>
  <c r="E3511" i="16"/>
  <c r="F3511" i="16" s="1"/>
  <c r="K3511" i="16" s="1"/>
  <c r="H3494" i="16"/>
  <c r="E3494" i="16"/>
  <c r="F3494" i="16" s="1"/>
  <c r="K3494" i="16" s="1"/>
  <c r="E3499" i="16"/>
  <c r="F3499" i="16" s="1"/>
  <c r="K3499" i="16" s="1"/>
  <c r="H3512" i="16"/>
  <c r="E3512" i="16"/>
  <c r="F3512" i="16" s="1"/>
  <c r="J3512" i="16" s="1"/>
  <c r="D4243" i="16"/>
  <c r="H4243" i="16" s="1"/>
  <c r="E3088" i="16"/>
  <c r="G3088" i="16" s="1"/>
  <c r="E3496" i="16"/>
  <c r="F3496" i="16" s="1"/>
  <c r="K3496" i="16" s="1"/>
  <c r="E3092" i="16"/>
  <c r="G3092" i="16" s="1"/>
  <c r="H3498" i="16"/>
  <c r="E3498" i="16"/>
  <c r="F3498" i="16" s="1"/>
  <c r="G2498" i="16"/>
  <c r="D2498" i="16"/>
  <c r="F2498" i="16" s="1"/>
  <c r="E3495" i="16"/>
  <c r="F3495" i="16" s="1"/>
  <c r="K3495" i="16" s="1"/>
  <c r="J76" i="13"/>
  <c r="C66" i="6"/>
  <c r="G3100" i="16"/>
  <c r="G3101" i="16"/>
  <c r="Q1841" i="1"/>
  <c r="T1841" i="1" s="1"/>
  <c r="Q1547" i="1"/>
  <c r="T1547" i="1" s="1"/>
  <c r="L1225" i="1"/>
  <c r="Q961" i="1"/>
  <c r="T961" i="1" s="1"/>
  <c r="Q1574" i="1"/>
  <c r="T1574" i="1" s="1"/>
  <c r="Q1591" i="1"/>
  <c r="T1591" i="1" s="1"/>
  <c r="Q1525" i="1"/>
  <c r="T1525" i="1" s="1"/>
  <c r="Q1343" i="1"/>
  <c r="T1343" i="1" s="1"/>
  <c r="Q1327" i="1"/>
  <c r="T1327" i="1" s="1"/>
  <c r="L1355" i="1"/>
  <c r="Q1519" i="1"/>
  <c r="T1519" i="1" s="1"/>
  <c r="Q1544" i="1"/>
  <c r="T1544" i="1" s="1"/>
  <c r="Q816" i="1"/>
  <c r="T816" i="1" s="1"/>
  <c r="S1661" i="1"/>
  <c r="L1231" i="1"/>
  <c r="L1595" i="1"/>
  <c r="C3518" i="16"/>
  <c r="F3518" i="16" s="1"/>
  <c r="I3471" i="16"/>
  <c r="Q1472" i="1"/>
  <c r="T1472" i="1" s="1"/>
  <c r="L1152" i="1"/>
  <c r="L1168" i="1"/>
  <c r="Q1195" i="1"/>
  <c r="T1195" i="1" s="1"/>
  <c r="Q1351" i="1"/>
  <c r="T1351" i="1" s="1"/>
  <c r="Q1571" i="1"/>
  <c r="T1571" i="1" s="1"/>
  <c r="Q1555" i="1"/>
  <c r="T1555" i="1" s="1"/>
  <c r="Q1594" i="1"/>
  <c r="T1594" i="1" s="1"/>
  <c r="Q1890" i="1"/>
  <c r="T1890" i="1" s="1"/>
  <c r="Q1747" i="1"/>
  <c r="T1747" i="1" s="1"/>
  <c r="S964" i="1"/>
  <c r="Q1619" i="1"/>
  <c r="T1619" i="1" s="1"/>
  <c r="L1631" i="1"/>
  <c r="L1570" i="1"/>
  <c r="Q962" i="1"/>
  <c r="T962" i="1" s="1"/>
  <c r="Q1187" i="1"/>
  <c r="T1187" i="1" s="1"/>
  <c r="L1518" i="1"/>
  <c r="Q1893" i="1"/>
  <c r="T1893" i="1" s="1"/>
  <c r="L1909" i="1"/>
  <c r="L1820" i="1"/>
  <c r="Q1551" i="1"/>
  <c r="T1551" i="1" s="1"/>
  <c r="L1174" i="1"/>
  <c r="L1721" i="1"/>
  <c r="Q1361" i="1"/>
  <c r="T1361" i="1" s="1"/>
  <c r="L1302" i="1"/>
  <c r="L1180" i="1"/>
  <c r="L1065" i="1"/>
  <c r="L1229" i="1"/>
  <c r="L1332" i="1"/>
  <c r="Q1661" i="1"/>
  <c r="T1661" i="1" s="1"/>
  <c r="Q1723" i="1"/>
  <c r="T1723" i="1" s="1"/>
  <c r="L1543" i="1"/>
  <c r="V1666" i="1"/>
  <c r="L1240" i="1"/>
  <c r="L1303" i="1"/>
  <c r="L1419" i="1"/>
  <c r="V1477" i="1"/>
  <c r="V1671" i="1"/>
  <c r="Q1671" i="1"/>
  <c r="T1671" i="1" s="1"/>
  <c r="L1722" i="1"/>
  <c r="L1108" i="1"/>
  <c r="L1069" i="1"/>
  <c r="Q1342" i="1"/>
  <c r="T1342" i="1" s="1"/>
  <c r="Q1389" i="1"/>
  <c r="T1389" i="1" s="1"/>
  <c r="Q1652" i="1"/>
  <c r="T1652" i="1" s="1"/>
  <c r="Q1818" i="1"/>
  <c r="T1818" i="1" s="1"/>
  <c r="Q1875" i="1"/>
  <c r="T1875" i="1" s="1"/>
  <c r="L1629" i="1"/>
  <c r="L1232" i="1"/>
  <c r="L1156" i="1"/>
  <c r="L1310" i="1"/>
  <c r="L1609" i="1"/>
  <c r="Q1665" i="1"/>
  <c r="T1665" i="1" s="1"/>
  <c r="Q1566" i="1"/>
  <c r="T1566" i="1" s="1"/>
  <c r="S1039" i="1"/>
  <c r="Q1159" i="1"/>
  <c r="T1159" i="1" s="1"/>
  <c r="Q1328" i="1"/>
  <c r="T1328" i="1" s="1"/>
  <c r="Q1810" i="1"/>
  <c r="T1810" i="1" s="1"/>
  <c r="Q1706" i="1"/>
  <c r="T1706" i="1" s="1"/>
  <c r="L1137" i="1"/>
  <c r="Q1236" i="1"/>
  <c r="T1236" i="1" s="1"/>
  <c r="V1510" i="1"/>
  <c r="L1081" i="1"/>
  <c r="Q1608" i="1"/>
  <c r="T1608" i="1" s="1"/>
  <c r="L1701" i="1"/>
  <c r="L1370" i="1"/>
  <c r="L1534" i="1"/>
  <c r="L1312" i="1"/>
  <c r="Q1176" i="1"/>
  <c r="T1176" i="1" s="1"/>
  <c r="Q1330" i="1"/>
  <c r="T1330" i="1" s="1"/>
  <c r="L1549" i="1"/>
  <c r="Q1576" i="1"/>
  <c r="T1576" i="1" s="1"/>
  <c r="V1675" i="1"/>
  <c r="L1816" i="1"/>
  <c r="L1423" i="1"/>
  <c r="Q1548" i="1"/>
  <c r="T1548" i="1" s="1"/>
  <c r="Q1684" i="1"/>
  <c r="T1684" i="1" s="1"/>
  <c r="Q1538" i="1"/>
  <c r="T1538" i="1" s="1"/>
  <c r="Q1546" i="1"/>
  <c r="T1546" i="1" s="1"/>
  <c r="L1697" i="1"/>
  <c r="Q1531" i="1"/>
  <c r="T1531" i="1" s="1"/>
  <c r="L1206" i="1"/>
  <c r="Q1304" i="1"/>
  <c r="T1304" i="1" s="1"/>
  <c r="Q1532" i="1"/>
  <c r="T1532" i="1" s="1"/>
  <c r="Q1659" i="1"/>
  <c r="T1659" i="1" s="1"/>
  <c r="S1664" i="1"/>
  <c r="Q1635" i="1"/>
  <c r="T1635" i="1" s="1"/>
  <c r="Q1653" i="1"/>
  <c r="T1653" i="1" s="1"/>
  <c r="Q1337" i="1"/>
  <c r="T1337" i="1" s="1"/>
  <c r="Q1542" i="1"/>
  <c r="T1542" i="1" s="1"/>
  <c r="L1169" i="1"/>
  <c r="Q1523" i="1"/>
  <c r="T1523" i="1" s="1"/>
  <c r="L1164" i="1"/>
  <c r="L1537" i="1"/>
  <c r="L1633" i="1"/>
  <c r="L1515" i="1"/>
  <c r="L1530" i="1"/>
  <c r="S1672" i="1"/>
  <c r="Q1618" i="1"/>
  <c r="T1618" i="1" s="1"/>
  <c r="L1552" i="1"/>
  <c r="L1636" i="1"/>
  <c r="Q1235" i="1"/>
  <c r="T1235" i="1" s="1"/>
  <c r="Q1718" i="1"/>
  <c r="T1718" i="1" s="1"/>
  <c r="L1526" i="1"/>
  <c r="L1593" i="1"/>
  <c r="V1672" i="1"/>
  <c r="L1587" i="1"/>
  <c r="Q1476" i="1"/>
  <c r="T1476" i="1" s="1"/>
  <c r="Q1666" i="1"/>
  <c r="T1666" i="1" s="1"/>
  <c r="Q1676" i="1"/>
  <c r="T1676" i="1" s="1"/>
  <c r="L1894" i="1"/>
  <c r="Q1336" i="1"/>
  <c r="T1336" i="1" s="1"/>
  <c r="S1676" i="1"/>
  <c r="Q1719" i="1"/>
  <c r="T1719" i="1" s="1"/>
  <c r="L1630" i="1"/>
  <c r="Q1439" i="1"/>
  <c r="T1439" i="1" s="1"/>
  <c r="Q1540" i="1"/>
  <c r="T1540" i="1" s="1"/>
  <c r="Q1341" i="1"/>
  <c r="T1341" i="1" s="1"/>
  <c r="L1223" i="1"/>
  <c r="L1249" i="1"/>
  <c r="L1092" i="1"/>
  <c r="L1207" i="1"/>
  <c r="Q1221" i="1"/>
  <c r="T1221" i="1" s="1"/>
  <c r="L1382" i="1"/>
  <c r="Q1632" i="1"/>
  <c r="T1632" i="1" s="1"/>
  <c r="Q1733" i="1"/>
  <c r="T1733" i="1" s="1"/>
  <c r="L1520" i="1"/>
  <c r="Q1427" i="1"/>
  <c r="T1427" i="1" s="1"/>
  <c r="L1157" i="1"/>
  <c r="S1439" i="1"/>
  <c r="Q1305" i="1"/>
  <c r="T1305" i="1" s="1"/>
  <c r="S1680" i="1"/>
  <c r="L1331" i="1"/>
  <c r="Q963" i="1"/>
  <c r="T963" i="1" s="1"/>
  <c r="Q1743" i="1"/>
  <c r="T1743" i="1" s="1"/>
  <c r="L1253" i="1"/>
  <c r="V1668" i="1"/>
  <c r="S1665" i="1"/>
  <c r="Q1367" i="1"/>
  <c r="T1367" i="1" s="1"/>
  <c r="L1435" i="1"/>
  <c r="L1710" i="1"/>
  <c r="S1448" i="1"/>
  <c r="L1567" i="1"/>
  <c r="L1568" i="1"/>
  <c r="Q1447" i="1"/>
  <c r="T1447" i="1" s="1"/>
  <c r="Q1828" i="1"/>
  <c r="T1828" i="1" s="1"/>
  <c r="L1096" i="1"/>
  <c r="Q1674" i="1"/>
  <c r="T1674" i="1" s="1"/>
  <c r="L1623" i="1"/>
  <c r="Q1510" i="1"/>
  <c r="T1510" i="1" s="1"/>
  <c r="L1362" i="1"/>
  <c r="L1181" i="1"/>
  <c r="S1669" i="1"/>
  <c r="L1581" i="1"/>
  <c r="L1175" i="1"/>
  <c r="L1195" i="1"/>
  <c r="Q1227" i="1"/>
  <c r="T1227" i="1" s="1"/>
  <c r="Q1359" i="1"/>
  <c r="T1359" i="1" s="1"/>
  <c r="V1447" i="1"/>
  <c r="Q1477" i="1"/>
  <c r="T1477" i="1" s="1"/>
  <c r="Q1575" i="1"/>
  <c r="T1575" i="1" s="1"/>
  <c r="Q1614" i="1"/>
  <c r="T1614" i="1" s="1"/>
  <c r="L1865" i="1"/>
  <c r="L1360" i="1"/>
  <c r="S1675" i="1"/>
  <c r="V1680" i="1"/>
  <c r="V1887" i="1"/>
  <c r="Q1720" i="1"/>
  <c r="T1720" i="1" s="1"/>
  <c r="L1228" i="1"/>
  <c r="L1120" i="1"/>
  <c r="L1375" i="1"/>
  <c r="Q1664" i="1"/>
  <c r="T1664" i="1" s="1"/>
  <c r="S1674" i="1"/>
  <c r="V1669" i="1"/>
  <c r="Q1533" i="1"/>
  <c r="T1533" i="1" s="1"/>
  <c r="Q1448" i="1"/>
  <c r="T1448" i="1" s="1"/>
  <c r="Q1451" i="1"/>
  <c r="T1451" i="1" s="1"/>
  <c r="L1536" i="1"/>
  <c r="Q1158" i="1"/>
  <c r="T1158" i="1" s="1"/>
  <c r="Q1114" i="1"/>
  <c r="T1114" i="1" s="1"/>
  <c r="Q1147" i="1"/>
  <c r="T1147" i="1" s="1"/>
  <c r="Q1334" i="1"/>
  <c r="T1334" i="1" s="1"/>
  <c r="L1389" i="1"/>
  <c r="Q1553" i="1"/>
  <c r="T1553" i="1" s="1"/>
  <c r="Q1569" i="1"/>
  <c r="T1569" i="1" s="1"/>
  <c r="Q1668" i="1"/>
  <c r="T1668" i="1" s="1"/>
  <c r="S1451" i="1"/>
  <c r="L1598" i="1"/>
  <c r="Q1598" i="1"/>
  <c r="T1598" i="1" s="1"/>
  <c r="Q1535" i="1"/>
  <c r="T1535" i="1" s="1"/>
  <c r="L1730" i="1"/>
  <c r="Q1216" i="1"/>
  <c r="T1216" i="1" s="1"/>
  <c r="Q1913" i="1"/>
  <c r="T1913" i="1" s="1"/>
  <c r="L1808" i="1"/>
  <c r="Q1673" i="1"/>
  <c r="T1673" i="1" s="1"/>
  <c r="L1637" i="1"/>
  <c r="Q1578" i="1"/>
  <c r="T1578" i="1" s="1"/>
  <c r="L1578" i="1"/>
  <c r="Q1627" i="1"/>
  <c r="T1627" i="1" s="1"/>
  <c r="Q1514" i="1"/>
  <c r="T1514" i="1" s="1"/>
  <c r="L1514" i="1"/>
  <c r="L1613" i="1"/>
  <c r="L1118" i="1"/>
  <c r="S1476" i="1"/>
  <c r="V1450" i="1"/>
  <c r="Q1212" i="1"/>
  <c r="T1212" i="1" s="1"/>
  <c r="L1212" i="1"/>
  <c r="Q1607" i="1"/>
  <c r="T1607" i="1" s="1"/>
  <c r="L1408" i="1"/>
  <c r="L1139" i="1"/>
  <c r="Q1139" i="1"/>
  <c r="T1139" i="1" s="1"/>
  <c r="S1245" i="1"/>
  <c r="Q1245" i="1"/>
  <c r="T1245" i="1" s="1"/>
  <c r="L1368" i="1"/>
  <c r="Q1368" i="1"/>
  <c r="T1368" i="1" s="1"/>
  <c r="Q1626" i="1"/>
  <c r="T1626" i="1" s="1"/>
  <c r="L1626" i="1"/>
  <c r="L1732" i="1"/>
  <c r="Q1732" i="1"/>
  <c r="T1732" i="1" s="1"/>
  <c r="L1813" i="1"/>
  <c r="L1861" i="1"/>
  <c r="Q1861" i="1"/>
  <c r="T1861" i="1" s="1"/>
  <c r="L1541" i="1"/>
  <c r="S1677" i="1"/>
  <c r="L1226" i="1"/>
  <c r="Q1095" i="1"/>
  <c r="T1095" i="1" s="1"/>
  <c r="Q1452" i="1"/>
  <c r="T1452" i="1" s="1"/>
  <c r="Q1381" i="1"/>
  <c r="T1381" i="1" s="1"/>
  <c r="L1545" i="1"/>
  <c r="S1662" i="1"/>
  <c r="V1662" i="1"/>
  <c r="Q1677" i="1"/>
  <c r="T1677" i="1" s="1"/>
  <c r="Q1776" i="1"/>
  <c r="T1776" i="1" s="1"/>
  <c r="S1776" i="1"/>
  <c r="L1814" i="1"/>
  <c r="Q1883" i="1"/>
  <c r="T1883" i="1" s="1"/>
  <c r="L1311" i="1"/>
  <c r="L1572" i="1"/>
  <c r="L1329" i="1"/>
  <c r="L1717" i="1"/>
  <c r="Q1717" i="1"/>
  <c r="T1717" i="1" s="1"/>
  <c r="Q1584" i="1"/>
  <c r="T1584" i="1" s="1"/>
  <c r="Q1679" i="1"/>
  <c r="T1679" i="1" s="1"/>
  <c r="Q1481" i="1"/>
  <c r="T1481" i="1" s="1"/>
  <c r="Q1565" i="1"/>
  <c r="T1565" i="1" s="1"/>
  <c r="Q1573" i="1"/>
  <c r="T1573" i="1" s="1"/>
  <c r="Q1138" i="1"/>
  <c r="T1138" i="1" s="1"/>
  <c r="Q1554" i="1"/>
  <c r="T1554" i="1" s="1"/>
  <c r="L1563" i="1"/>
  <c r="Q1660" i="1"/>
  <c r="T1660" i="1" s="1"/>
  <c r="Q958" i="1"/>
  <c r="T958" i="1" s="1"/>
  <c r="L1599" i="1"/>
  <c r="V1660" i="1"/>
  <c r="S1452" i="1"/>
  <c r="L1377" i="1"/>
  <c r="Q1338" i="1"/>
  <c r="T1338" i="1" s="1"/>
  <c r="L1338" i="1"/>
  <c r="Q1716" i="1"/>
  <c r="T1716" i="1" s="1"/>
  <c r="L1716" i="1"/>
  <c r="L1559" i="1"/>
  <c r="Q1559" i="1"/>
  <c r="T1559" i="1" s="1"/>
  <c r="Q1705" i="1"/>
  <c r="T1705" i="1" s="1"/>
  <c r="L1705" i="1"/>
  <c r="Q1061" i="1"/>
  <c r="T1061" i="1" s="1"/>
  <c r="Q1450" i="1"/>
  <c r="T1450" i="1" s="1"/>
  <c r="L1811" i="1"/>
  <c r="L1579" i="1"/>
  <c r="L1468" i="1"/>
  <c r="L1103" i="1"/>
  <c r="Q899" i="1"/>
  <c r="T899" i="1" s="1"/>
  <c r="S899" i="1"/>
  <c r="L1170" i="1"/>
  <c r="Q1088" i="1"/>
  <c r="T1088" i="1" s="1"/>
  <c r="Q1404" i="1"/>
  <c r="T1404" i="1" s="1"/>
  <c r="L1634" i="1"/>
  <c r="Q1325" i="1"/>
  <c r="T1325" i="1" s="1"/>
  <c r="Q1182" i="1"/>
  <c r="T1182" i="1" s="1"/>
  <c r="Q1577" i="1"/>
  <c r="T1577" i="1" s="1"/>
  <c r="Q1191" i="1"/>
  <c r="T1191" i="1" s="1"/>
  <c r="Q1196" i="1"/>
  <c r="T1196" i="1" s="1"/>
  <c r="Q1403" i="1"/>
  <c r="T1403" i="1" s="1"/>
  <c r="S1659" i="1"/>
  <c r="Q1711" i="1"/>
  <c r="T1711" i="1" s="1"/>
  <c r="L1829" i="1"/>
  <c r="S1191" i="1"/>
  <c r="L1715" i="1"/>
  <c r="K3439" i="16"/>
  <c r="L3439" i="16" s="1"/>
  <c r="C3099" i="16"/>
  <c r="F3099" i="16" s="1"/>
  <c r="F1568" i="16"/>
  <c r="G4096" i="16"/>
  <c r="I3486" i="16"/>
  <c r="G2499" i="16"/>
  <c r="H3491" i="16"/>
  <c r="I4095" i="16"/>
  <c r="F3309" i="16"/>
  <c r="G3025" i="16"/>
  <c r="I3464" i="16"/>
  <c r="G3334" i="16"/>
  <c r="F3310" i="16"/>
  <c r="I3482" i="16"/>
  <c r="F2497" i="16"/>
  <c r="I3476" i="16"/>
  <c r="H3513" i="16"/>
  <c r="J3486" i="16"/>
  <c r="F479" i="16"/>
  <c r="C3027" i="16"/>
  <c r="F3027" i="16" s="1"/>
  <c r="G2653" i="16"/>
  <c r="G3337" i="16"/>
  <c r="J3337" i="16"/>
  <c r="J3456" i="16"/>
  <c r="K3456" i="16" s="1"/>
  <c r="H3337" i="16"/>
  <c r="I3469" i="16"/>
  <c r="J3482" i="16"/>
  <c r="H3497" i="16"/>
  <c r="G3020" i="16"/>
  <c r="F3336" i="16"/>
  <c r="J3450" i="16"/>
  <c r="K3450" i="16" s="1"/>
  <c r="K3469" i="16"/>
  <c r="L3469" i="16" s="1"/>
  <c r="J3505" i="16"/>
  <c r="I3505" i="16"/>
  <c r="J3484" i="16"/>
  <c r="I3484" i="16"/>
  <c r="F3513" i="16"/>
  <c r="G3335" i="16"/>
  <c r="H3495" i="16"/>
  <c r="J3476" i="16"/>
  <c r="F2499" i="16"/>
  <c r="H3335" i="16"/>
  <c r="H3492" i="16"/>
  <c r="I3506" i="16"/>
  <c r="K3506" i="16" s="1"/>
  <c r="L3506" i="16" s="1"/>
  <c r="F3311" i="16"/>
  <c r="H3311" i="16"/>
  <c r="G3311" i="16"/>
  <c r="H3511" i="16"/>
  <c r="J3310" i="16"/>
  <c r="G3310" i="16"/>
  <c r="G3330" i="16"/>
  <c r="M2494" i="16"/>
  <c r="J3483" i="16"/>
  <c r="I3483" i="16"/>
  <c r="H3424" i="16"/>
  <c r="I3480" i="16"/>
  <c r="K3480" i="16" s="1"/>
  <c r="L3480" i="16" s="1"/>
  <c r="K3438" i="16"/>
  <c r="L3438" i="16" s="1"/>
  <c r="H3496" i="16"/>
  <c r="H3334" i="16"/>
  <c r="F3335" i="16"/>
  <c r="G3309" i="16"/>
  <c r="G3152" i="16"/>
  <c r="H3309" i="16"/>
  <c r="G2497" i="16"/>
  <c r="C2988" i="16"/>
  <c r="F2988" i="16" s="1"/>
  <c r="G4095" i="16"/>
  <c r="J3457" i="16"/>
  <c r="K3457" i="16" s="1"/>
  <c r="K3441" i="16"/>
  <c r="L3441" i="16" s="1"/>
  <c r="J3334" i="16"/>
  <c r="J3452" i="16"/>
  <c r="K3452" i="16" s="1"/>
  <c r="K3436" i="16"/>
  <c r="L3436" i="16" s="1"/>
  <c r="J3471" i="16"/>
  <c r="K3471" i="16" s="1"/>
  <c r="L3471" i="16" s="1"/>
  <c r="C3026" i="16"/>
  <c r="F3026" i="16" s="1"/>
  <c r="I3485" i="16"/>
  <c r="K3485" i="16" s="1"/>
  <c r="L3485" i="16" s="1"/>
  <c r="J3454" i="16"/>
  <c r="K3454" i="16" s="1"/>
  <c r="G3150" i="16"/>
  <c r="G950" i="16"/>
  <c r="F4096" i="16"/>
  <c r="I3470" i="16"/>
  <c r="I3467" i="16"/>
  <c r="C3151" i="16"/>
  <c r="F3151" i="16" s="1"/>
  <c r="C3149" i="16"/>
  <c r="F3149" i="16" s="1"/>
  <c r="F3330" i="16"/>
  <c r="V1667" i="1"/>
  <c r="Q1667" i="1"/>
  <c r="T1667" i="1" s="1"/>
  <c r="Q1903" i="1"/>
  <c r="T1903" i="1" s="1"/>
  <c r="L1903" i="1"/>
  <c r="L1308" i="1"/>
  <c r="Q1308" i="1"/>
  <c r="T1308" i="1" s="1"/>
  <c r="L1521" i="1"/>
  <c r="Q1521" i="1"/>
  <c r="T1521" i="1" s="1"/>
  <c r="Q1628" i="1"/>
  <c r="T1628" i="1" s="1"/>
  <c r="L1628" i="1"/>
  <c r="L1093" i="1"/>
  <c r="Q1093" i="1"/>
  <c r="T1093" i="1" s="1"/>
  <c r="Q1250" i="1"/>
  <c r="T1250" i="1" s="1"/>
  <c r="L1250" i="1"/>
  <c r="Q1625" i="1"/>
  <c r="T1625" i="1" s="1"/>
  <c r="L1625" i="1"/>
  <c r="L1339" i="1"/>
  <c r="Q1339" i="1"/>
  <c r="T1339" i="1" s="1"/>
  <c r="Q1326" i="1"/>
  <c r="T1326" i="1" s="1"/>
  <c r="L1326" i="1"/>
  <c r="L1833" i="1"/>
  <c r="Q1833" i="1"/>
  <c r="T1833" i="1" s="1"/>
  <c r="L1586" i="1"/>
  <c r="Q1586" i="1"/>
  <c r="T1586" i="1" s="1"/>
  <c r="S1667" i="1"/>
  <c r="S1197" i="1"/>
  <c r="Q1197" i="1"/>
  <c r="T1197" i="1" s="1"/>
  <c r="Q1550" i="1"/>
  <c r="T1550" i="1" s="1"/>
  <c r="L1550" i="1"/>
  <c r="V1712" i="1"/>
  <c r="Q1712" i="1"/>
  <c r="T1712" i="1" s="1"/>
  <c r="S1712" i="1"/>
  <c r="L1580" i="1"/>
  <c r="L1827" i="1"/>
  <c r="Q1891" i="1"/>
  <c r="T1891" i="1" s="1"/>
  <c r="L1891" i="1"/>
  <c r="L1376" i="1"/>
  <c r="Q1837" i="1"/>
  <c r="T1837" i="1" s="1"/>
  <c r="L1837" i="1"/>
  <c r="L1624" i="1"/>
  <c r="L1110" i="1"/>
  <c r="Q1592" i="1"/>
  <c r="T1592" i="1" s="1"/>
  <c r="L1443" i="1"/>
  <c r="Q1224" i="1"/>
  <c r="T1224" i="1" s="1"/>
  <c r="L1522" i="1"/>
  <c r="L1709" i="1"/>
  <c r="L1148" i="1"/>
  <c r="L1539" i="1"/>
  <c r="V1673" i="1"/>
  <c r="Q1683" i="1"/>
  <c r="T1683" i="1" s="1"/>
  <c r="L1812" i="1"/>
  <c r="L1879" i="1"/>
  <c r="Q1879" i="1"/>
  <c r="T1879" i="1" s="1"/>
  <c r="Q1908" i="1"/>
  <c r="T1908" i="1" s="1"/>
  <c r="L1908" i="1"/>
  <c r="L1817" i="1"/>
  <c r="Q1817" i="1"/>
  <c r="T1817" i="1" s="1"/>
  <c r="S1775" i="1"/>
  <c r="S1777" i="1"/>
  <c r="V1777" i="1"/>
  <c r="Q1777" i="1"/>
  <c r="T1777" i="1" s="1"/>
  <c r="Q1799" i="1"/>
  <c r="T1799" i="1" s="1"/>
  <c r="L1809" i="1"/>
  <c r="Q1809" i="1"/>
  <c r="T1809" i="1" s="1"/>
  <c r="Q1892" i="1"/>
  <c r="T1892" i="1" s="1"/>
  <c r="L1892" i="1"/>
  <c r="Q1163" i="1"/>
  <c r="T1163" i="1" s="1"/>
  <c r="L1082" i="1"/>
  <c r="Q1363" i="1"/>
  <c r="T1363" i="1" s="1"/>
  <c r="L1309" i="1"/>
  <c r="Q1689" i="1"/>
  <c r="T1689" i="1" s="1"/>
  <c r="L1431" i="1"/>
  <c r="Q995" i="1"/>
  <c r="T995" i="1" s="1"/>
  <c r="Q1775" i="1"/>
  <c r="T1775" i="1" s="1"/>
  <c r="Q1823" i="1"/>
  <c r="T1823" i="1" s="1"/>
  <c r="Q1313" i="1"/>
  <c r="T1313" i="1" s="1"/>
  <c r="Q1564" i="1"/>
  <c r="T1564" i="1" s="1"/>
  <c r="L1564" i="1"/>
  <c r="Q1655" i="1"/>
  <c r="T1655" i="1" s="1"/>
  <c r="Q1449" i="1"/>
  <c r="T1449" i="1" s="1"/>
  <c r="Q1588" i="1"/>
  <c r="T1588" i="1" s="1"/>
  <c r="L1369" i="1"/>
  <c r="L1333" i="1"/>
  <c r="Q959" i="1"/>
  <c r="T959" i="1" s="1"/>
  <c r="S1449" i="1"/>
  <c r="Q1340" i="1"/>
  <c r="T1340" i="1" s="1"/>
  <c r="L1659" i="1"/>
  <c r="Q1211" i="1"/>
  <c r="T1211" i="1" s="1"/>
  <c r="L1693" i="1"/>
  <c r="S1679" i="1"/>
  <c r="L1371" i="1"/>
  <c r="Q1585" i="1"/>
  <c r="T1585" i="1" s="1"/>
  <c r="Q1409" i="1"/>
  <c r="T1409" i="1" s="1"/>
  <c r="Q1815" i="1"/>
  <c r="T1815" i="1" s="1"/>
  <c r="Q1842" i="1"/>
  <c r="T1842" i="1" s="1"/>
  <c r="L1907" i="1"/>
  <c r="Q1907" i="1"/>
  <c r="T1907" i="1" s="1"/>
  <c r="Q1887" i="1"/>
  <c r="T1887" i="1" s="1"/>
  <c r="AF54" i="9"/>
  <c r="AF56" i="9" s="1"/>
  <c r="J3442" i="16"/>
  <c r="K3442" i="16" s="1"/>
  <c r="L3442" i="16" s="1"/>
  <c r="I3479" i="16"/>
  <c r="K3479" i="16" s="1"/>
  <c r="L3479" i="16" s="1"/>
  <c r="F2500" i="16"/>
  <c r="G2500" i="16"/>
  <c r="I3504" i="16"/>
  <c r="J3504" i="16"/>
  <c r="J3440" i="16"/>
  <c r="K3440" i="16" s="1"/>
  <c r="L3440" i="16" s="1"/>
  <c r="H3587" i="16"/>
  <c r="G3407" i="16"/>
  <c r="F3416" i="16"/>
  <c r="G3416" i="16" s="1"/>
  <c r="I3466" i="16"/>
  <c r="J3466" i="16"/>
  <c r="K3466" i="16" s="1"/>
  <c r="L3466" i="16" s="1"/>
  <c r="J3455" i="16"/>
  <c r="K3455" i="16" s="1"/>
  <c r="J3451" i="16"/>
  <c r="K3451" i="16" s="1"/>
  <c r="J3453" i="16"/>
  <c r="K3453" i="16" s="1"/>
  <c r="I3478" i="16"/>
  <c r="J3478" i="16"/>
  <c r="J3437" i="16"/>
  <c r="K3437" i="16" s="1"/>
  <c r="L3437" i="16" s="1"/>
  <c r="J3481" i="16"/>
  <c r="I3481" i="16"/>
  <c r="K3443" i="16"/>
  <c r="L3443" i="16" s="1"/>
  <c r="J3449" i="16"/>
  <c r="K3449" i="16" s="1"/>
  <c r="J3464" i="16"/>
  <c r="K3464" i="16" s="1"/>
  <c r="L3464" i="16" s="1"/>
  <c r="I3468" i="16"/>
  <c r="K3468" i="16"/>
  <c r="L3468" i="16" s="1"/>
  <c r="I3463" i="16"/>
  <c r="I3477" i="16"/>
  <c r="K3477" i="16" s="1"/>
  <c r="L3477" i="16" s="1"/>
  <c r="J3463" i="16"/>
  <c r="K3463" i="16" s="1"/>
  <c r="L3463" i="16" s="1"/>
  <c r="J3336" i="16"/>
  <c r="J3465" i="16"/>
  <c r="K3465" i="16" s="1"/>
  <c r="L3465" i="16" s="1"/>
  <c r="I3465" i="16"/>
  <c r="J3330" i="16"/>
  <c r="K3467" i="16"/>
  <c r="L3467" i="16" s="1"/>
  <c r="K3444" i="16"/>
  <c r="L3444" i="16" s="1"/>
  <c r="J3448" i="16"/>
  <c r="K3448" i="16" s="1"/>
  <c r="K3470" i="16"/>
  <c r="L3470" i="16" s="1"/>
  <c r="H3499" i="16"/>
  <c r="G3336" i="16"/>
  <c r="I3458" i="16"/>
  <c r="J3458" i="16" s="1"/>
  <c r="K3458" i="16" s="1"/>
  <c r="J29" i="12"/>
  <c r="J4" i="13"/>
  <c r="E9" i="6"/>
  <c r="F31" i="12"/>
  <c r="F31" i="13" s="1"/>
  <c r="H2498" i="16" l="1"/>
  <c r="I2498" i="16" s="1"/>
  <c r="L3494" i="16"/>
  <c r="M3494" i="16" s="1"/>
  <c r="J3491" i="16"/>
  <c r="J3499" i="16"/>
  <c r="J3492" i="16"/>
  <c r="J3497" i="16"/>
  <c r="J3495" i="16"/>
  <c r="J3496" i="16"/>
  <c r="J3511" i="16"/>
  <c r="H2497" i="16"/>
  <c r="I2497" i="16" s="1"/>
  <c r="K3481" i="16"/>
  <c r="L3481" i="16" s="1"/>
  <c r="J3494" i="16"/>
  <c r="H2499" i="16"/>
  <c r="I2499" i="16" s="1"/>
  <c r="K3512" i="16"/>
  <c r="L3512" i="16" s="1"/>
  <c r="M3512" i="16" s="1"/>
  <c r="K3486" i="16"/>
  <c r="L3486" i="16" s="1"/>
  <c r="L3491" i="16"/>
  <c r="M3491" i="16" s="1"/>
  <c r="K3505" i="16"/>
  <c r="L3505" i="16" s="1"/>
  <c r="K3483" i="16"/>
  <c r="L3483" i="16" s="1"/>
  <c r="L3511" i="16"/>
  <c r="M3511" i="16" s="1"/>
  <c r="K3482" i="16"/>
  <c r="L3482" i="16" s="1"/>
  <c r="K3476" i="16"/>
  <c r="L3476" i="16" s="1"/>
  <c r="L3496" i="16"/>
  <c r="M3496" i="16" s="1"/>
  <c r="L3497" i="16"/>
  <c r="M3497" i="16" s="1"/>
  <c r="L3492" i="16"/>
  <c r="M3492" i="16" s="1"/>
  <c r="K3484" i="16"/>
  <c r="L3484" i="16" s="1"/>
  <c r="K3513" i="16"/>
  <c r="L3513" i="16" s="1"/>
  <c r="L3495" i="16"/>
  <c r="M3495" i="16" s="1"/>
  <c r="J3513" i="16"/>
  <c r="L3499" i="16"/>
  <c r="M3499" i="16" s="1"/>
  <c r="K3498" i="16"/>
  <c r="L3498" i="16" s="1"/>
  <c r="M3498" i="16" s="1"/>
  <c r="J3498" i="16"/>
  <c r="K3504" i="16"/>
  <c r="K3493" i="16"/>
  <c r="L3493" i="16" s="1"/>
  <c r="J3493" i="16"/>
  <c r="K3478" i="16"/>
  <c r="L3478" i="16" s="1"/>
  <c r="H2500" i="16"/>
  <c r="I2500" i="16" s="1"/>
  <c r="M3513" i="16" l="1"/>
  <c r="L3514" i="16"/>
  <c r="K3487" i="16"/>
  <c r="M3493" i="16"/>
  <c r="L3500" i="16"/>
  <c r="K3507" i="16"/>
  <c r="L3504"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sunfashion</author>
    <author>chiba</author>
    <author>fujimoto</author>
    <author>fukumoto</author>
    <author>a.hamada</author>
  </authors>
  <commentList>
    <comment ref="K1" authorId="0" shapeId="0" xr:uid="{CADE25C6-7C48-4E1B-90FE-8F29B184FE37}">
      <text>
        <r>
          <rPr>
            <b/>
            <sz val="9"/>
            <color indexed="81"/>
            <rFont val="MS P ゴシック"/>
            <family val="3"/>
            <charset val="128"/>
          </rPr>
          <t>sunfashion:</t>
        </r>
        <r>
          <rPr>
            <sz val="9"/>
            <color indexed="81"/>
            <rFont val="MS P ゴシック"/>
            <family val="3"/>
            <charset val="128"/>
          </rPr>
          <t xml:space="preserve">
30%
110
</t>
        </r>
      </text>
    </comment>
    <comment ref="E16" authorId="1" shapeId="0" xr:uid="{2AE0150F-79C2-480E-9E81-FFBAF970A78D}">
      <text>
        <r>
          <rPr>
            <b/>
            <sz val="9"/>
            <color indexed="81"/>
            <rFont val="ＭＳ Ｐゴシック"/>
            <family val="3"/>
            <charset val="128"/>
          </rPr>
          <t>chiba:</t>
        </r>
        <r>
          <rPr>
            <sz val="9"/>
            <color indexed="81"/>
            <rFont val="ＭＳ Ｐゴシック"/>
            <family val="3"/>
            <charset val="128"/>
          </rPr>
          <t xml:space="preserve">
Sales Note # C-0042
入金済
</t>
        </r>
      </text>
    </comment>
    <comment ref="E17" authorId="1" shapeId="0" xr:uid="{4F541819-C390-46DA-A22D-75B1DCE6C17D}">
      <text>
        <r>
          <rPr>
            <b/>
            <sz val="9"/>
            <color indexed="81"/>
            <rFont val="ＭＳ Ｐゴシック"/>
            <family val="3"/>
            <charset val="128"/>
          </rPr>
          <t>chiba:</t>
        </r>
        <r>
          <rPr>
            <sz val="9"/>
            <color indexed="81"/>
            <rFont val="ＭＳ Ｐゴシック"/>
            <family val="3"/>
            <charset val="128"/>
          </rPr>
          <t xml:space="preserve">
Sales Note # C-0042入金済</t>
        </r>
      </text>
    </comment>
    <comment ref="E19" authorId="1" shapeId="0" xr:uid="{F912B5CC-1004-4031-96E5-3111860091BA}">
      <text>
        <r>
          <rPr>
            <b/>
            <sz val="9"/>
            <color indexed="81"/>
            <rFont val="ＭＳ Ｐゴシック"/>
            <family val="3"/>
            <charset val="128"/>
          </rPr>
          <t>chiba:</t>
        </r>
        <r>
          <rPr>
            <sz val="9"/>
            <color indexed="81"/>
            <rFont val="ＭＳ Ｐゴシック"/>
            <family val="3"/>
            <charset val="128"/>
          </rPr>
          <t xml:space="preserve">
Bulk order になればwaive / Bulk order にならなければcharge 
INV# C-0043
納品書：無償サンプルで提出済
入金確認済→S-7906 : JM / 経理に提出済
</t>
        </r>
      </text>
    </comment>
    <comment ref="E23" authorId="1" shapeId="0" xr:uid="{8988F368-A904-4754-839B-BB5251017DBE}">
      <text>
        <r>
          <rPr>
            <b/>
            <sz val="9"/>
            <color indexed="81"/>
            <rFont val="ＭＳ Ｐゴシック"/>
            <family val="3"/>
            <charset val="128"/>
          </rPr>
          <t>chiba:</t>
        </r>
        <r>
          <rPr>
            <sz val="9"/>
            <color indexed="81"/>
            <rFont val="ＭＳ Ｐゴシック"/>
            <family val="3"/>
            <charset val="128"/>
          </rPr>
          <t xml:space="preserve">
バルクと一緒に入金済
先方にはC# でinvoice 提出
伝票は無償サンプルで提出済
経理・JM へのinvoice はS-7847</t>
        </r>
      </text>
    </comment>
    <comment ref="E26" authorId="1" shapeId="0" xr:uid="{6B30F004-E59B-4CC0-B06A-D2E1068D35CC}">
      <text>
        <r>
          <rPr>
            <b/>
            <sz val="9"/>
            <color indexed="81"/>
            <rFont val="ＭＳ Ｐゴシック"/>
            <family val="3"/>
            <charset val="128"/>
          </rPr>
          <t>chiba:</t>
        </r>
        <r>
          <rPr>
            <sz val="9"/>
            <color indexed="81"/>
            <rFont val="ＭＳ Ｐゴシック"/>
            <family val="3"/>
            <charset val="128"/>
          </rPr>
          <t xml:space="preserve">
バルクと一緒に入金済
先方にはC# でinvoice 提出
経理・J MにはS-7848で提出
伝票は入金確認済なので、S-7848で提出
</t>
        </r>
      </text>
    </comment>
    <comment ref="E29" authorId="1" shapeId="0" xr:uid="{72F928FA-51A8-464D-ADDD-F90C9428D173}">
      <text>
        <r>
          <rPr>
            <b/>
            <sz val="9"/>
            <color indexed="81"/>
            <rFont val="ＭＳ Ｐゴシック"/>
            <family val="3"/>
            <charset val="128"/>
          </rPr>
          <t>chiba:</t>
        </r>
        <r>
          <rPr>
            <sz val="9"/>
            <color indexed="81"/>
            <rFont val="ＭＳ Ｐゴシック"/>
            <family val="3"/>
            <charset val="128"/>
          </rPr>
          <t xml:space="preserve">
Sales Note # C-0050
入金済</t>
        </r>
      </text>
    </comment>
    <comment ref="E30" authorId="1" shapeId="0" xr:uid="{CEDF4371-573B-4D60-9A47-69799B8269F9}">
      <text>
        <r>
          <rPr>
            <b/>
            <sz val="9"/>
            <color indexed="81"/>
            <rFont val="ＭＳ Ｐゴシック"/>
            <family val="3"/>
            <charset val="128"/>
          </rPr>
          <t>chiba:</t>
        </r>
        <r>
          <rPr>
            <sz val="9"/>
            <color indexed="81"/>
            <rFont val="ＭＳ Ｐゴシック"/>
            <family val="3"/>
            <charset val="128"/>
          </rPr>
          <t xml:space="preserve">
Sales Note # C-0050
入金済</t>
        </r>
      </text>
    </comment>
    <comment ref="E32" authorId="1" shapeId="0" xr:uid="{DDD1532D-241B-4DA3-A3F2-DE2D0635FACB}">
      <text>
        <r>
          <rPr>
            <b/>
            <sz val="9"/>
            <color indexed="81"/>
            <rFont val="ＭＳ Ｐゴシック"/>
            <family val="3"/>
            <charset val="128"/>
          </rPr>
          <t>chiba:</t>
        </r>
        <r>
          <rPr>
            <sz val="9"/>
            <color indexed="81"/>
            <rFont val="ＭＳ Ｐゴシック"/>
            <family val="3"/>
            <charset val="128"/>
          </rPr>
          <t xml:space="preserve">
バルクと一緒に入金
先方にはC# でinvoice 提出済
伝票は無償サンプルで提出済
入金後、経理・JM へ
S-7964 で提出済
</t>
        </r>
      </text>
    </comment>
    <comment ref="E33" authorId="1" shapeId="0" xr:uid="{FA1FCAE2-107B-43A3-ACD9-D0AA46420ADA}">
      <text>
        <r>
          <rPr>
            <b/>
            <sz val="9"/>
            <color indexed="81"/>
            <rFont val="ＭＳ Ｐゴシック"/>
            <family val="3"/>
            <charset val="128"/>
          </rPr>
          <t>chiba:</t>
        </r>
        <r>
          <rPr>
            <sz val="9"/>
            <color indexed="81"/>
            <rFont val="ＭＳ Ｐゴシック"/>
            <family val="3"/>
            <charset val="128"/>
          </rPr>
          <t xml:space="preserve">
バルクと一緒に入金
先方にはC# でinvoice 提出済
伝票は無償サンプルで提出済
入金後、経理・JM へ
S-7964 で提出済</t>
        </r>
      </text>
    </comment>
    <comment ref="E36" authorId="1" shapeId="0" xr:uid="{AB20F049-0484-477D-8F02-42467530E9DF}">
      <text>
        <r>
          <rPr>
            <b/>
            <sz val="9"/>
            <color indexed="81"/>
            <rFont val="ＭＳ Ｐゴシック"/>
            <family val="3"/>
            <charset val="128"/>
          </rPr>
          <t>chiba:</t>
        </r>
        <r>
          <rPr>
            <sz val="9"/>
            <color indexed="81"/>
            <rFont val="ＭＳ Ｐゴシック"/>
            <family val="3"/>
            <charset val="128"/>
          </rPr>
          <t xml:space="preserve">
入金済
6/12に PI発行
PI: C-0055
正式invoice : S-7921
納品書提出済
</t>
        </r>
      </text>
    </comment>
    <comment ref="E37" authorId="1" shapeId="0" xr:uid="{989850D1-CDD3-4FCD-AA9B-D0FC562EAB79}">
      <text>
        <r>
          <rPr>
            <b/>
            <sz val="9"/>
            <color indexed="81"/>
            <rFont val="ＭＳ Ｐゴシック"/>
            <family val="3"/>
            <charset val="128"/>
          </rPr>
          <t>chiba:</t>
        </r>
        <r>
          <rPr>
            <sz val="9"/>
            <color indexed="81"/>
            <rFont val="ＭＳ Ｐゴシック"/>
            <family val="3"/>
            <charset val="128"/>
          </rPr>
          <t xml:space="preserve">
入金済
6/12に PI発行
PI: C-0055
正式invoice : S-7921
納品書提出済
</t>
        </r>
      </text>
    </comment>
    <comment ref="R37" authorId="1" shapeId="0" xr:uid="{25F7EF1B-E37F-4D46-8923-BEBF738DCB87}">
      <text>
        <r>
          <rPr>
            <b/>
            <sz val="9"/>
            <color indexed="81"/>
            <rFont val="ＭＳ Ｐゴシック"/>
            <family val="3"/>
            <charset val="128"/>
          </rPr>
          <t>chiba:</t>
        </r>
        <r>
          <rPr>
            <sz val="9"/>
            <color indexed="81"/>
            <rFont val="ＭＳ Ｐゴシック"/>
            <family val="3"/>
            <charset val="128"/>
          </rPr>
          <t xml:space="preserve">
mill's black なので、ミニマム無で染色代￥40/m
￥65 + ￥40 = ￥105/m </t>
        </r>
      </text>
    </comment>
    <comment ref="E39" authorId="1" shapeId="0" xr:uid="{6AE60BE0-3A21-4513-9B4A-8A4D612B4A1B}">
      <text>
        <r>
          <rPr>
            <b/>
            <sz val="9"/>
            <color indexed="81"/>
            <rFont val="ＭＳ Ｐゴシック"/>
            <family val="3"/>
            <charset val="128"/>
          </rPr>
          <t>chiba:</t>
        </r>
        <r>
          <rPr>
            <sz val="9"/>
            <color indexed="81"/>
            <rFont val="ＭＳ Ｐゴシック"/>
            <family val="3"/>
            <charset val="128"/>
          </rPr>
          <t xml:space="preserve">
バルクと一緒に入金
先方にはC# でinvoice 提出済
伝票は無償サンプルで提出済
入金後、経理・JM へ
S invoice : S-7999で提出済
</t>
        </r>
      </text>
    </comment>
    <comment ref="E40" authorId="1" shapeId="0" xr:uid="{8DF8FC41-36CB-4EBE-9CEA-F4957D78859F}">
      <text>
        <r>
          <rPr>
            <b/>
            <sz val="9"/>
            <color indexed="81"/>
            <rFont val="ＭＳ Ｐゴシック"/>
            <family val="3"/>
            <charset val="128"/>
          </rPr>
          <t>chiba:</t>
        </r>
        <r>
          <rPr>
            <sz val="9"/>
            <color indexed="81"/>
            <rFont val="ＭＳ Ｐゴシック"/>
            <family val="3"/>
            <charset val="128"/>
          </rPr>
          <t xml:space="preserve">
バルクと一緒に入金
先方にはC# でinvoice 提出
伝票は無償サンプルで提出
入金後、経理・JM へ
S invoice : S-7999で提出済
</t>
        </r>
      </text>
    </comment>
    <comment ref="E43" authorId="1" shapeId="0" xr:uid="{7A89BC0C-A23C-4585-A1B3-6D2DA119C91D}">
      <text>
        <r>
          <rPr>
            <b/>
            <sz val="9"/>
            <color indexed="81"/>
            <rFont val="ＭＳ Ｐゴシック"/>
            <family val="3"/>
            <charset val="128"/>
          </rPr>
          <t>chiba:</t>
        </r>
        <r>
          <rPr>
            <sz val="9"/>
            <color indexed="81"/>
            <rFont val="ＭＳ Ｐゴシック"/>
            <family val="3"/>
            <charset val="128"/>
          </rPr>
          <t xml:space="preserve">
工場振替え前のoriginal Quality
</t>
        </r>
      </text>
    </comment>
    <comment ref="E45" authorId="1" shapeId="0" xr:uid="{5442D93A-8AD0-4B0E-A6A9-E46BEA99A451}">
      <text>
        <r>
          <rPr>
            <b/>
            <sz val="9"/>
            <color indexed="81"/>
            <rFont val="ＭＳ Ｐゴシック"/>
            <family val="3"/>
            <charset val="128"/>
          </rPr>
          <t>chiba:</t>
        </r>
        <r>
          <rPr>
            <sz val="9"/>
            <color indexed="81"/>
            <rFont val="ＭＳ Ｐゴシック"/>
            <family val="3"/>
            <charset val="128"/>
          </rPr>
          <t xml:space="preserve">
バルクと一緒に入金
先方にはC# C-0059で 提出済
伝票は無償サンプルで提出済
入金後、経理・JM へ
S-invoice で提出
</t>
        </r>
      </text>
    </comment>
    <comment ref="R45" authorId="1" shapeId="0" xr:uid="{79F7F40D-7179-4563-91A5-0D7551858778}">
      <text>
        <r>
          <rPr>
            <b/>
            <sz val="9"/>
            <color indexed="81"/>
            <rFont val="ＭＳ Ｐゴシック"/>
            <family val="3"/>
            <charset val="128"/>
          </rPr>
          <t>chiba:</t>
        </r>
        <r>
          <rPr>
            <sz val="9"/>
            <color indexed="81"/>
            <rFont val="ＭＳ Ｐゴシック"/>
            <family val="3"/>
            <charset val="128"/>
          </rPr>
          <t xml:space="preserve">
￥145 + dye 30 で見積もり</t>
        </r>
      </text>
    </comment>
    <comment ref="E46" authorId="1" shapeId="0" xr:uid="{80EC87EA-4963-4213-B195-78786F667737}">
      <text>
        <r>
          <rPr>
            <b/>
            <sz val="9"/>
            <color indexed="81"/>
            <rFont val="ＭＳ Ｐゴシック"/>
            <family val="3"/>
            <charset val="128"/>
          </rPr>
          <t xml:space="preserve">chiba:
バルクと一緒に入金
先方にはC# C-0059で 提出済
伝票は無償サンプルで提出済
入金後、経理・JM へ
S-invoice で提出
</t>
        </r>
        <r>
          <rPr>
            <sz val="9"/>
            <color indexed="81"/>
            <rFont val="ＭＳ Ｐゴシック"/>
            <family val="3"/>
            <charset val="128"/>
          </rPr>
          <t xml:space="preserve">
</t>
        </r>
      </text>
    </comment>
    <comment ref="R46" authorId="1" shapeId="0" xr:uid="{F4BDE82E-CE1E-49F5-ADA3-BEC514E65C92}">
      <text>
        <r>
          <rPr>
            <b/>
            <sz val="9"/>
            <color indexed="81"/>
            <rFont val="ＭＳ Ｐゴシック"/>
            <family val="3"/>
            <charset val="128"/>
          </rPr>
          <t>chiba:</t>
        </r>
        <r>
          <rPr>
            <sz val="9"/>
            <color indexed="81"/>
            <rFont val="ＭＳ Ｐゴシック"/>
            <family val="3"/>
            <charset val="128"/>
          </rPr>
          <t xml:space="preserve">
￥583 + dye 40 で見積もり</t>
        </r>
      </text>
    </comment>
    <comment ref="E47" authorId="1" shapeId="0" xr:uid="{13F82FE0-578F-4B1F-AB3A-E9DEB34CE0B7}">
      <text>
        <r>
          <rPr>
            <b/>
            <sz val="9"/>
            <color indexed="81"/>
            <rFont val="ＭＳ Ｐゴシック"/>
            <family val="3"/>
            <charset val="128"/>
          </rPr>
          <t>chiba:
バルクと一緒に入金
先方にはC# C-0059で 提出済
伝票は無償サンプルで提出済
入金後、経理・JM へ
S-invoice で提出</t>
        </r>
        <r>
          <rPr>
            <sz val="9"/>
            <color indexed="81"/>
            <rFont val="ＭＳ Ｐゴシック"/>
            <family val="3"/>
            <charset val="128"/>
          </rPr>
          <t xml:space="preserve">
</t>
        </r>
      </text>
    </comment>
    <comment ref="R47" authorId="1" shapeId="0" xr:uid="{6B6E1C08-20F9-4169-88D6-6EAEB8239781}">
      <text>
        <r>
          <rPr>
            <b/>
            <sz val="9"/>
            <color indexed="81"/>
            <rFont val="ＭＳ Ｐゴシック"/>
            <family val="3"/>
            <charset val="128"/>
          </rPr>
          <t>chiba:</t>
        </r>
        <r>
          <rPr>
            <sz val="9"/>
            <color indexed="81"/>
            <rFont val="ＭＳ Ｐゴシック"/>
            <family val="3"/>
            <charset val="128"/>
          </rPr>
          <t xml:space="preserve">
￥95 + dye 30 で見積もり</t>
        </r>
      </text>
    </comment>
    <comment ref="E48" authorId="1" shapeId="0" xr:uid="{9E7FF3C2-BE90-4F33-9D9D-847A143C85A1}">
      <text>
        <r>
          <rPr>
            <b/>
            <sz val="9"/>
            <color indexed="81"/>
            <rFont val="ＭＳ Ｐゴシック"/>
            <family val="3"/>
            <charset val="128"/>
          </rPr>
          <t xml:space="preserve">chiba:
バルクと一緒に入金
先方にはC# C-0059で 提出済
伝票は無償サンプルで提出済
入金後、経理・JM へ
S-invoice で提出
</t>
        </r>
        <r>
          <rPr>
            <sz val="9"/>
            <color indexed="81"/>
            <rFont val="ＭＳ Ｐゴシック"/>
            <family val="3"/>
            <charset val="128"/>
          </rPr>
          <t xml:space="preserve">
</t>
        </r>
      </text>
    </comment>
    <comment ref="R48" authorId="1" shapeId="0" xr:uid="{E09B50C8-96CD-452D-96D1-496044C2D803}">
      <text>
        <r>
          <rPr>
            <b/>
            <sz val="9"/>
            <color indexed="81"/>
            <rFont val="ＭＳ Ｐゴシック"/>
            <family val="3"/>
            <charset val="128"/>
          </rPr>
          <t>chiba:</t>
        </r>
        <r>
          <rPr>
            <sz val="9"/>
            <color indexed="81"/>
            <rFont val="ＭＳ Ｐゴシック"/>
            <family val="3"/>
            <charset val="128"/>
          </rPr>
          <t xml:space="preserve">
￥340 + dye 50 で見積もり</t>
        </r>
      </text>
    </comment>
    <comment ref="E49" authorId="1" shapeId="0" xr:uid="{97B80663-B432-4EAC-A63E-2049B8B6F977}">
      <text>
        <r>
          <rPr>
            <b/>
            <sz val="9"/>
            <color indexed="81"/>
            <rFont val="ＭＳ Ｐゴシック"/>
            <family val="3"/>
            <charset val="128"/>
          </rPr>
          <t xml:space="preserve">chiba:
バルクと一緒に入金
先方にはC# C-0059で 提出済
伝票は無償サンプルで提出済
入金後、経理・JM へ
S-invoice で提出
</t>
        </r>
        <r>
          <rPr>
            <sz val="9"/>
            <color indexed="81"/>
            <rFont val="ＭＳ Ｐゴシック"/>
            <family val="3"/>
            <charset val="128"/>
          </rPr>
          <t xml:space="preserve">
</t>
        </r>
      </text>
    </comment>
    <comment ref="R49" authorId="1" shapeId="0" xr:uid="{1344482C-99CB-4D34-AE29-8DCF09708C10}">
      <text>
        <r>
          <rPr>
            <b/>
            <sz val="9"/>
            <color indexed="81"/>
            <rFont val="ＭＳ Ｐゴシック"/>
            <family val="3"/>
            <charset val="128"/>
          </rPr>
          <t>chiba:</t>
        </r>
        <r>
          <rPr>
            <sz val="9"/>
            <color indexed="81"/>
            <rFont val="ＭＳ Ｐゴシック"/>
            <family val="3"/>
            <charset val="128"/>
          </rPr>
          <t xml:space="preserve">
￥730 + dye 80 で見積もり</t>
        </r>
      </text>
    </comment>
    <comment ref="E54" authorId="1" shapeId="0" xr:uid="{0434CDE4-D188-4A57-818F-780F2CBB6AF5}">
      <text>
        <r>
          <rPr>
            <b/>
            <sz val="9"/>
            <color indexed="81"/>
            <rFont val="ＭＳ Ｐゴシック"/>
            <family val="3"/>
            <charset val="128"/>
          </rPr>
          <t>chiba:</t>
        </r>
        <r>
          <rPr>
            <sz val="9"/>
            <color indexed="81"/>
            <rFont val="ＭＳ Ｐゴシック"/>
            <family val="3"/>
            <charset val="128"/>
          </rPr>
          <t xml:space="preserve">
end of Sepまでにbulk なければ請求 
INV# C-0062
納品書：無償サンプルで提出済
入金確認次第→S invoice : JM / 経理に提出済</t>
        </r>
      </text>
    </comment>
    <comment ref="E58" authorId="1" shapeId="0" xr:uid="{8F6D6A44-72E8-48B5-854B-032FF69AC772}">
      <text>
        <r>
          <rPr>
            <b/>
            <sz val="9"/>
            <color indexed="81"/>
            <rFont val="ＭＳ Ｐゴシック"/>
            <family val="3"/>
            <charset val="128"/>
          </rPr>
          <t>chiba:</t>
        </r>
        <r>
          <rPr>
            <sz val="9"/>
            <color indexed="81"/>
            <rFont val="ＭＳ Ｐゴシック"/>
            <family val="3"/>
            <charset val="128"/>
          </rPr>
          <t xml:space="preserve">
Sales Note # C-0061
入金済</t>
        </r>
      </text>
    </comment>
    <comment ref="E60" authorId="1" shapeId="0" xr:uid="{F24F9643-5947-4921-8E05-F99B0C85F21C}">
      <text>
        <r>
          <rPr>
            <b/>
            <sz val="9"/>
            <color indexed="81"/>
            <rFont val="ＭＳ Ｐゴシック"/>
            <family val="3"/>
            <charset val="128"/>
          </rPr>
          <t>chiba:</t>
        </r>
        <r>
          <rPr>
            <sz val="9"/>
            <color indexed="81"/>
            <rFont val="ＭＳ Ｐゴシック"/>
            <family val="3"/>
            <charset val="128"/>
          </rPr>
          <t xml:space="preserve">
chiba:
先方にはC# C-0063で invoice提出済
伝票は無償サンプルで提出済
入金後、経理・JM へ
S-8257 で提出済</t>
        </r>
      </text>
    </comment>
    <comment ref="E63" authorId="1" shapeId="0" xr:uid="{565D0262-46CF-40E0-A125-F17B37542196}">
      <text>
        <r>
          <rPr>
            <b/>
            <sz val="9"/>
            <color indexed="81"/>
            <rFont val="ＭＳ Ｐゴシック"/>
            <family val="3"/>
            <charset val="128"/>
          </rPr>
          <t>chiba:</t>
        </r>
        <r>
          <rPr>
            <sz val="9"/>
            <color indexed="81"/>
            <rFont val="ＭＳ Ｐゴシック"/>
            <family val="3"/>
            <charset val="128"/>
          </rPr>
          <t xml:space="preserve">
chiba:
先方にはC-0064 で invoice提出済
伝票は無償サンプルで提出済
入金後、経理・JM へ
S-invoice で提出</t>
        </r>
      </text>
    </comment>
    <comment ref="E66" authorId="1" shapeId="0" xr:uid="{F73CE5C9-6B3E-4D7F-8813-D55C9ACEA992}">
      <text>
        <r>
          <rPr>
            <b/>
            <sz val="9"/>
            <color indexed="81"/>
            <rFont val="ＭＳ Ｐゴシック"/>
            <family val="3"/>
            <charset val="128"/>
          </rPr>
          <t>chiba:</t>
        </r>
        <r>
          <rPr>
            <sz val="9"/>
            <color indexed="81"/>
            <rFont val="ＭＳ Ｐゴシック"/>
            <family val="3"/>
            <charset val="128"/>
          </rPr>
          <t xml:space="preserve">
chiba:
先方にはC-0066 で invoice提出済
伝票は無償サンプルで提出済
入金後、経理・JM へ
S-8173 で提出済</t>
        </r>
      </text>
    </comment>
    <comment ref="K67" authorId="1" shapeId="0" xr:uid="{1143ABA9-DC14-4FF0-AA51-6255F76EE2FA}">
      <text>
        <r>
          <rPr>
            <b/>
            <sz val="9"/>
            <color indexed="81"/>
            <rFont val="ＭＳ Ｐゴシック"/>
            <family val="3"/>
            <charset val="128"/>
          </rPr>
          <t>chiba:</t>
        </r>
        <r>
          <rPr>
            <sz val="9"/>
            <color indexed="81"/>
            <rFont val="ＭＳ Ｐゴシック"/>
            <family val="3"/>
            <charset val="128"/>
          </rPr>
          <t xml:space="preserve">
社内正式invoice では、€ 8.1</t>
        </r>
      </text>
    </comment>
    <comment ref="E69" authorId="1" shapeId="0" xr:uid="{C711A468-CDFA-4290-93F8-E3CE8F2AFC0F}">
      <text>
        <r>
          <rPr>
            <b/>
            <sz val="9"/>
            <color indexed="81"/>
            <rFont val="ＭＳ Ｐゴシック"/>
            <family val="3"/>
            <charset val="128"/>
          </rPr>
          <t>chiba:</t>
        </r>
        <r>
          <rPr>
            <sz val="9"/>
            <color indexed="81"/>
            <rFont val="ＭＳ Ｐゴシック"/>
            <family val="3"/>
            <charset val="128"/>
          </rPr>
          <t xml:space="preserve">
chiba:
先方にはC-0067 で invoice提出済
伝票は無償サンプルで提出済
入金後、経理・JM へ
S-invoice で提出</t>
        </r>
      </text>
    </comment>
    <comment ref="E70" authorId="1" shapeId="0" xr:uid="{B1012FC3-3109-4420-BEF1-14F1E824087F}">
      <text>
        <r>
          <rPr>
            <b/>
            <sz val="9"/>
            <color indexed="81"/>
            <rFont val="ＭＳ Ｐゴシック"/>
            <family val="3"/>
            <charset val="128"/>
          </rPr>
          <t>chiba:
chiba:
先方にはC-0067 で invoice提出済
伝票は無償サンプルで提出済
入金後、経理・JM へ
S-invoice で提出</t>
        </r>
      </text>
    </comment>
    <comment ref="K73" authorId="1" shapeId="0" xr:uid="{6ED5DCBC-4918-4889-9647-188259E1D670}">
      <text>
        <r>
          <rPr>
            <b/>
            <sz val="9"/>
            <color indexed="81"/>
            <rFont val="ＭＳ Ｐゴシック"/>
            <family val="3"/>
            <charset val="128"/>
          </rPr>
          <t>chiba:</t>
        </r>
        <r>
          <rPr>
            <sz val="9"/>
            <color indexed="81"/>
            <rFont val="ＭＳ Ｐゴシック"/>
            <family val="3"/>
            <charset val="128"/>
          </rPr>
          <t xml:space="preserve">
黒に合わせた単価</t>
        </r>
      </text>
    </comment>
    <comment ref="R74" authorId="1" shapeId="0" xr:uid="{715322CD-8408-4548-A72F-2956B2E471EB}">
      <text>
        <r>
          <rPr>
            <b/>
            <sz val="9"/>
            <color indexed="81"/>
            <rFont val="ＭＳ Ｐゴシック"/>
            <family val="3"/>
            <charset val="128"/>
          </rPr>
          <t>chiba:</t>
        </r>
        <r>
          <rPr>
            <sz val="9"/>
            <color indexed="81"/>
            <rFont val="ＭＳ Ｐゴシック"/>
            <family val="3"/>
            <charset val="128"/>
          </rPr>
          <t xml:space="preserve">
バルクオフ白単価</t>
        </r>
      </text>
    </comment>
    <comment ref="K78" authorId="1" shapeId="0" xr:uid="{126F1099-394B-4134-AAB6-50F7E3E1A555}">
      <text>
        <r>
          <rPr>
            <b/>
            <sz val="9"/>
            <color indexed="81"/>
            <rFont val="ＭＳ Ｐゴシック"/>
            <family val="3"/>
            <charset val="128"/>
          </rPr>
          <t>chiba:</t>
        </r>
        <r>
          <rPr>
            <sz val="9"/>
            <color indexed="81"/>
            <rFont val="ＭＳ Ｐゴシック"/>
            <family val="3"/>
            <charset val="128"/>
          </rPr>
          <t xml:space="preserve">
USD 3.79/m をベースに　ユーロ x 0.85 で計算= 6617M の時の特価</t>
        </r>
      </text>
    </comment>
    <comment ref="K79" authorId="1" shapeId="0" xr:uid="{6D65AF21-DEF6-4D17-AE9C-40572C7F12C5}">
      <text>
        <r>
          <rPr>
            <b/>
            <sz val="9"/>
            <color indexed="81"/>
            <rFont val="ＭＳ Ｐゴシック"/>
            <family val="3"/>
            <charset val="128"/>
          </rPr>
          <t>chiba:</t>
        </r>
        <r>
          <rPr>
            <sz val="9"/>
            <color indexed="81"/>
            <rFont val="ＭＳ Ｐゴシック"/>
            <family val="3"/>
            <charset val="128"/>
          </rPr>
          <t xml:space="preserve">
USD 3.79/m をベースに　ユーロ x 0.85 で計算= 6617M の時の特価</t>
        </r>
      </text>
    </comment>
    <comment ref="K80" authorId="1" shapeId="0" xr:uid="{733FC44A-E69F-4264-ABF8-0728220DA8CD}">
      <text>
        <r>
          <rPr>
            <b/>
            <sz val="9"/>
            <color indexed="81"/>
            <rFont val="ＭＳ Ｐゴシック"/>
            <family val="3"/>
            <charset val="128"/>
          </rPr>
          <t>chiba:</t>
        </r>
        <r>
          <rPr>
            <sz val="9"/>
            <color indexed="81"/>
            <rFont val="ＭＳ Ｐゴシック"/>
            <family val="3"/>
            <charset val="128"/>
          </rPr>
          <t xml:space="preserve">
USD 3.79/m をベースに　ユーロ x 0.85 で計算= 6617M の時の特価</t>
        </r>
      </text>
    </comment>
    <comment ref="K81" authorId="1" shapeId="0" xr:uid="{D620BFF9-3B57-4B98-9769-FD75D6F67E68}">
      <text>
        <r>
          <rPr>
            <b/>
            <sz val="9"/>
            <color indexed="81"/>
            <rFont val="ＭＳ Ｐゴシック"/>
            <family val="3"/>
            <charset val="128"/>
          </rPr>
          <t>chiba:</t>
        </r>
        <r>
          <rPr>
            <sz val="9"/>
            <color indexed="81"/>
            <rFont val="ＭＳ Ｐゴシック"/>
            <family val="3"/>
            <charset val="128"/>
          </rPr>
          <t xml:space="preserve">
USD 3.79/m をベースに　ユーロ x 0.85 で計算= 6617M の時の特価</t>
        </r>
      </text>
    </comment>
    <comment ref="E88" authorId="1" shapeId="0" xr:uid="{04151CFA-4A9C-4B1C-8E7B-049A47C614A9}">
      <text>
        <r>
          <rPr>
            <sz val="9"/>
            <color indexed="81"/>
            <rFont val="ＭＳ Ｐゴシック"/>
            <family val="3"/>
            <charset val="128"/>
          </rPr>
          <t>先方にはC# 0070 で invoice提出済
伝票は無償サンプルで提出済
入金後経理・JM へ
S-invoice で提出済</t>
        </r>
      </text>
    </comment>
    <comment ref="E89" authorId="1" shapeId="0" xr:uid="{FC50A79F-429F-4C12-8277-81575FA010EB}">
      <text>
        <r>
          <rPr>
            <sz val="9"/>
            <color indexed="81"/>
            <rFont val="ＭＳ Ｐゴシック"/>
            <family val="3"/>
            <charset val="128"/>
          </rPr>
          <t>先方にはC# 0070 で invoice提出済
伝票は無償サンプルで提出済
入金後経理・JM へ
S-invoice で提出済</t>
        </r>
      </text>
    </comment>
    <comment ref="K93" authorId="1" shapeId="0" xr:uid="{B9A9DE87-64E6-48F1-AD2B-EABDBC97DBA9}">
      <text>
        <r>
          <rPr>
            <b/>
            <sz val="9"/>
            <color indexed="81"/>
            <rFont val="ＭＳ Ｐゴシック"/>
            <family val="3"/>
            <charset val="128"/>
          </rPr>
          <t>chiba:</t>
        </r>
        <r>
          <rPr>
            <sz val="9"/>
            <color indexed="81"/>
            <rFont val="ＭＳ Ｐゴシック"/>
            <family val="3"/>
            <charset val="128"/>
          </rPr>
          <t xml:space="preserve">
染色代込み単価のUSD 3.12/m をベースに　ユーロ x 0.85 で計算
</t>
        </r>
      </text>
    </comment>
    <comment ref="K94" authorId="1" shapeId="0" xr:uid="{723AFEEE-483D-45FA-A559-507F1BF18EAC}">
      <text>
        <r>
          <rPr>
            <b/>
            <sz val="9"/>
            <color indexed="81"/>
            <rFont val="ＭＳ Ｐゴシック"/>
            <family val="3"/>
            <charset val="128"/>
          </rPr>
          <t>chiba:</t>
        </r>
        <r>
          <rPr>
            <sz val="9"/>
            <color indexed="81"/>
            <rFont val="ＭＳ Ｐゴシック"/>
            <family val="3"/>
            <charset val="128"/>
          </rPr>
          <t xml:space="preserve">
染色代込み単価のUSD 3.12/m をベースに　ユーロ x 0.85 で計算
</t>
        </r>
      </text>
    </comment>
    <comment ref="K96" authorId="1" shapeId="0" xr:uid="{8F602090-AB1E-4D5E-9234-B550C2787E7D}">
      <text>
        <r>
          <rPr>
            <b/>
            <sz val="9"/>
            <color indexed="81"/>
            <rFont val="ＭＳ Ｐゴシック"/>
            <family val="3"/>
            <charset val="128"/>
          </rPr>
          <t xml:space="preserve">chiba:
Mill's Black </t>
        </r>
        <r>
          <rPr>
            <sz val="9"/>
            <color indexed="81"/>
            <rFont val="ＭＳ Ｐゴシック"/>
            <family val="3"/>
            <charset val="128"/>
          </rPr>
          <t xml:space="preserve">単価のUSD 1.92/m をベースに　ユーロ x 0.88 で計算
</t>
        </r>
      </text>
    </comment>
    <comment ref="K97" authorId="1" shapeId="0" xr:uid="{EEE163BD-3C7B-4C62-88B8-89B4EE24DB79}">
      <text>
        <r>
          <rPr>
            <b/>
            <sz val="9"/>
            <color indexed="81"/>
            <rFont val="ＭＳ Ｐゴシック"/>
            <family val="3"/>
            <charset val="128"/>
          </rPr>
          <t xml:space="preserve">chiba:
Mill's Black </t>
        </r>
        <r>
          <rPr>
            <sz val="9"/>
            <color indexed="81"/>
            <rFont val="ＭＳ Ｐゴシック"/>
            <family val="3"/>
            <charset val="128"/>
          </rPr>
          <t xml:space="preserve">単価のUSD 1.92/m をベースに　ユーロ x 0.88 で計算
</t>
        </r>
      </text>
    </comment>
    <comment ref="K98" authorId="1" shapeId="0" xr:uid="{64A85F77-9184-4B97-9528-249355A3367D}">
      <text>
        <r>
          <rPr>
            <b/>
            <sz val="9"/>
            <color indexed="81"/>
            <rFont val="ＭＳ Ｐゴシック"/>
            <family val="3"/>
            <charset val="128"/>
          </rPr>
          <t xml:space="preserve">chiba:
Mill's Black </t>
        </r>
        <r>
          <rPr>
            <sz val="9"/>
            <color indexed="81"/>
            <rFont val="ＭＳ Ｐゴシック"/>
            <family val="3"/>
            <charset val="128"/>
          </rPr>
          <t xml:space="preserve">単価のUSD 1.92/m をベースに　ユーロ x 0.88 で計算
</t>
        </r>
      </text>
    </comment>
    <comment ref="K100" authorId="1" shapeId="0" xr:uid="{5D0686AB-7D78-4B9F-B6EA-388343BB533B}">
      <text>
        <r>
          <rPr>
            <b/>
            <sz val="9"/>
            <color indexed="81"/>
            <rFont val="ＭＳ Ｐゴシック"/>
            <family val="3"/>
            <charset val="128"/>
          </rPr>
          <t xml:space="preserve">chiba:
Mill's Black </t>
        </r>
        <r>
          <rPr>
            <sz val="9"/>
            <color indexed="81"/>
            <rFont val="ＭＳ Ｐゴシック"/>
            <family val="3"/>
            <charset val="128"/>
          </rPr>
          <t xml:space="preserve">単価のUSD 1.92/m をベースに　ユーロ x 0.88 で計算
</t>
        </r>
      </text>
    </comment>
    <comment ref="K101" authorId="1" shapeId="0" xr:uid="{50FFEEBD-F0B8-4F53-92D2-4315926EBC00}">
      <text>
        <r>
          <rPr>
            <b/>
            <sz val="9"/>
            <color indexed="81"/>
            <rFont val="ＭＳ Ｐゴシック"/>
            <family val="3"/>
            <charset val="128"/>
          </rPr>
          <t xml:space="preserve">chiba
PO# PE18-05020の不足7M 分をdeduct
</t>
        </r>
        <r>
          <rPr>
            <b/>
            <sz val="9"/>
            <color indexed="81"/>
            <rFont val="ＭＳ Ｐゴシック"/>
            <family val="3"/>
            <charset val="128"/>
          </rPr>
          <t>€</t>
        </r>
        <r>
          <rPr>
            <b/>
            <sz val="9"/>
            <color indexed="81"/>
            <rFont val="ＭＳ Ｐゴシック"/>
            <family val="3"/>
            <charset val="128"/>
          </rPr>
          <t xml:space="preserve"> 1.69 x 7M = 11.83</t>
        </r>
        <r>
          <rPr>
            <sz val="9"/>
            <color indexed="81"/>
            <rFont val="ＭＳ Ｐゴシック"/>
            <family val="3"/>
            <charset val="128"/>
          </rPr>
          <t xml:space="preserve">
</t>
        </r>
      </text>
    </comment>
    <comment ref="K103" authorId="1" shapeId="0" xr:uid="{8058CC17-39C9-4C69-9276-BF240BBBDEE0}">
      <text>
        <r>
          <rPr>
            <b/>
            <sz val="9"/>
            <color indexed="81"/>
            <rFont val="ＭＳ Ｐゴシック"/>
            <family val="3"/>
            <charset val="128"/>
          </rPr>
          <t>chiba:</t>
        </r>
        <r>
          <rPr>
            <sz val="9"/>
            <color indexed="81"/>
            <rFont val="ＭＳ Ｐゴシック"/>
            <family val="3"/>
            <charset val="128"/>
          </rPr>
          <t xml:space="preserve">
染色代込み単価に合わせて計算
</t>
        </r>
      </text>
    </comment>
    <comment ref="K109" authorId="1" shapeId="0" xr:uid="{7E018D6C-4F15-4C66-94F3-B3CCBFA11DB1}">
      <text>
        <r>
          <rPr>
            <b/>
            <sz val="9"/>
            <color indexed="81"/>
            <rFont val="ＭＳ Ｐゴシック"/>
            <family val="3"/>
            <charset val="128"/>
          </rPr>
          <t xml:space="preserve">chiba:
染色込み </t>
        </r>
        <r>
          <rPr>
            <sz val="9"/>
            <color indexed="81"/>
            <rFont val="ＭＳ Ｐゴシック"/>
            <family val="3"/>
            <charset val="128"/>
          </rPr>
          <t xml:space="preserve">単価のUSD 1.25/m をベースに　ユーロ x 0.88 で計算
</t>
        </r>
      </text>
    </comment>
    <comment ref="K110" authorId="1" shapeId="0" xr:uid="{C7A16985-A93A-441F-B803-E90667DFF555}">
      <text>
        <r>
          <rPr>
            <b/>
            <sz val="9"/>
            <color indexed="81"/>
            <rFont val="ＭＳ Ｐゴシック"/>
            <family val="3"/>
            <charset val="128"/>
          </rPr>
          <t xml:space="preserve">chiba:
染色込み </t>
        </r>
        <r>
          <rPr>
            <sz val="9"/>
            <color indexed="81"/>
            <rFont val="ＭＳ Ｐゴシック"/>
            <family val="3"/>
            <charset val="128"/>
          </rPr>
          <t xml:space="preserve">単価のUSD 1.25/m をベースに　ユーロ x 0.88 で計算
</t>
        </r>
      </text>
    </comment>
    <comment ref="E112" authorId="1" shapeId="0" xr:uid="{52A0DB6D-7CEE-4903-A68E-3C33339315FB}">
      <text>
        <r>
          <rPr>
            <b/>
            <sz val="9"/>
            <color indexed="81"/>
            <rFont val="ＭＳ Ｐゴシック"/>
            <family val="3"/>
            <charset val="128"/>
          </rPr>
          <t>chiba:</t>
        </r>
        <r>
          <rPr>
            <sz val="9"/>
            <color indexed="81"/>
            <rFont val="ＭＳ Ｐゴシック"/>
            <family val="3"/>
            <charset val="128"/>
          </rPr>
          <t xml:space="preserve">
先方にはC-0071 で invoice提出済
伝票は無償サンプルで提出済
入金後、経理・JM へ
S-invoice で提出</t>
        </r>
      </text>
    </comment>
    <comment ref="E113" authorId="1" shapeId="0" xr:uid="{069879A1-E15C-41F4-AF43-D93B4ABF6F6D}">
      <text>
        <r>
          <rPr>
            <b/>
            <sz val="9"/>
            <color indexed="81"/>
            <rFont val="ＭＳ Ｐゴシック"/>
            <family val="3"/>
            <charset val="128"/>
          </rPr>
          <t>chiba:</t>
        </r>
        <r>
          <rPr>
            <sz val="9"/>
            <color indexed="81"/>
            <rFont val="ＭＳ Ｐゴシック"/>
            <family val="3"/>
            <charset val="128"/>
          </rPr>
          <t xml:space="preserve">
先方にはC-0071 で invoice提出済
伝票は無償サンプルで提出済
入金後、経理・JM へ
S-invoice で提出</t>
        </r>
      </text>
    </comment>
    <comment ref="K116" authorId="1" shapeId="0" xr:uid="{8E4694AB-9C86-4239-9D15-8E072A37DD26}">
      <text>
        <r>
          <rPr>
            <sz val="9"/>
            <color indexed="81"/>
            <rFont val="ＭＳ Ｐゴシック"/>
            <family val="3"/>
            <charset val="128"/>
          </rPr>
          <t xml:space="preserve">バルク特価のUSD 2.15/m をベースに　ユーロ x 0.88 で計算
</t>
        </r>
      </text>
    </comment>
    <comment ref="K117" authorId="1" shapeId="0" xr:uid="{598EC9AB-B0FC-456F-890D-1E6BC793DD26}">
      <text>
        <r>
          <rPr>
            <sz val="9"/>
            <color indexed="81"/>
            <rFont val="ＭＳ Ｐゴシック"/>
            <family val="3"/>
            <charset val="128"/>
          </rPr>
          <t xml:space="preserve">バルク特価のUSD 2.15/m をベースに　ユーロ x 0.88 で計算
</t>
        </r>
      </text>
    </comment>
    <comment ref="K118" authorId="1" shapeId="0" xr:uid="{70CDA9F7-DD7D-411E-9564-B9E92F5B9590}">
      <text>
        <r>
          <rPr>
            <sz val="9"/>
            <color indexed="81"/>
            <rFont val="ＭＳ Ｐゴシック"/>
            <family val="3"/>
            <charset val="128"/>
          </rPr>
          <t xml:space="preserve">バルク特価のUSD 2.15/m をベースに　ユーロ x 0.88 で計算
</t>
        </r>
      </text>
    </comment>
    <comment ref="K119" authorId="1" shapeId="0" xr:uid="{CE8EB416-3B48-410C-A588-A6AD362C7D13}">
      <text>
        <r>
          <rPr>
            <sz val="9"/>
            <color indexed="81"/>
            <rFont val="ＭＳ Ｐゴシック"/>
            <family val="3"/>
            <charset val="128"/>
          </rPr>
          <t xml:space="preserve">バルク特価のUSD 2.15/m をベースに　ユーロ x 0.88 で計算
</t>
        </r>
      </text>
    </comment>
    <comment ref="K120" authorId="1" shapeId="0" xr:uid="{F7DFD829-71AD-41D0-974B-E3D8ECC5C0B0}">
      <text>
        <r>
          <rPr>
            <sz val="9"/>
            <color indexed="81"/>
            <rFont val="ＭＳ Ｐゴシック"/>
            <family val="3"/>
            <charset val="128"/>
          </rPr>
          <t xml:space="preserve">バルク特価のUSD 2.15/m をベースに　ユーロ x 0.88 で計算
</t>
        </r>
      </text>
    </comment>
    <comment ref="K121" authorId="1" shapeId="0" xr:uid="{0EE422C2-713C-4479-8791-777C7646EEC3}">
      <text>
        <r>
          <rPr>
            <sz val="9"/>
            <color indexed="81"/>
            <rFont val="ＭＳ Ｐゴシック"/>
            <family val="3"/>
            <charset val="128"/>
          </rPr>
          <t xml:space="preserve">バルク特価のUSD 1.22/m をベースに　ユーロ x 0.88 で計算
</t>
        </r>
      </text>
    </comment>
    <comment ref="K122" authorId="1" shapeId="0" xr:uid="{7EFB9D78-4E60-44E7-8213-BB6CB92647B1}">
      <text>
        <r>
          <rPr>
            <sz val="9"/>
            <color indexed="81"/>
            <rFont val="ＭＳ Ｐゴシック"/>
            <family val="3"/>
            <charset val="128"/>
          </rPr>
          <t xml:space="preserve">バルク特価のUSD 1.22/m をベースに　ユーロ x 0.88 で計算
</t>
        </r>
      </text>
    </comment>
    <comment ref="K123" authorId="1" shapeId="0" xr:uid="{4C7B0E0C-3911-4584-A206-A56952EAAAD4}">
      <text>
        <r>
          <rPr>
            <sz val="9"/>
            <color indexed="81"/>
            <rFont val="ＭＳ Ｐゴシック"/>
            <family val="3"/>
            <charset val="128"/>
          </rPr>
          <t xml:space="preserve">バルク特価のUSD 1.22/m をベースに　ユーロ x 0.88 で計算
</t>
        </r>
      </text>
    </comment>
    <comment ref="K124" authorId="1" shapeId="0" xr:uid="{0CCD9401-F1C1-4665-A3D6-97317297E5B6}">
      <text>
        <r>
          <rPr>
            <sz val="9"/>
            <color indexed="81"/>
            <rFont val="ＭＳ Ｐゴシック"/>
            <family val="3"/>
            <charset val="128"/>
          </rPr>
          <t xml:space="preserve">バルク特価のUSD 2.15/m をベースに　ユーロ x 0.88 で計算
</t>
        </r>
      </text>
    </comment>
    <comment ref="K125" authorId="1" shapeId="0" xr:uid="{6DFF3D70-9B69-49CF-A186-A9D0E720566A}">
      <text>
        <r>
          <rPr>
            <sz val="9"/>
            <color indexed="81"/>
            <rFont val="ＭＳ Ｐゴシック"/>
            <family val="3"/>
            <charset val="128"/>
          </rPr>
          <t xml:space="preserve">バルク特価のUSD 2.15/m をベースに　ユーロ x 0.88 で計算
</t>
        </r>
      </text>
    </comment>
    <comment ref="K127" authorId="1" shapeId="0" xr:uid="{98B1996C-E5BE-4C38-B632-DAF2BCB9036B}">
      <text>
        <r>
          <rPr>
            <sz val="9"/>
            <color indexed="81"/>
            <rFont val="ＭＳ Ｐゴシック"/>
            <family val="3"/>
            <charset val="128"/>
          </rPr>
          <t xml:space="preserve">バルク特価のUSD 2.15/m をベースに　ユーロ x 0.88 で計算
</t>
        </r>
      </text>
    </comment>
    <comment ref="K128" authorId="1" shapeId="0" xr:uid="{AE81B043-6E91-40CE-B9C7-EC7A3785AC6F}">
      <text>
        <r>
          <rPr>
            <sz val="9"/>
            <color indexed="81"/>
            <rFont val="ＭＳ Ｐゴシック"/>
            <family val="3"/>
            <charset val="128"/>
          </rPr>
          <t xml:space="preserve">バルク特価のUSD 2.15/m をベースに　ユーロ x 0.88 で計算
</t>
        </r>
      </text>
    </comment>
    <comment ref="K129" authorId="1" shapeId="0" xr:uid="{A8D59A51-E1D2-4B93-974A-B09759F71450}">
      <text>
        <r>
          <rPr>
            <sz val="9"/>
            <color indexed="81"/>
            <rFont val="ＭＳ Ｐゴシック"/>
            <family val="3"/>
            <charset val="128"/>
          </rPr>
          <t xml:space="preserve">バルク特価のUSD 2.15/m をベースに　ユーロ x 0.88 で計算
</t>
        </r>
      </text>
    </comment>
    <comment ref="K130" authorId="1" shapeId="0" xr:uid="{D162E71E-D0B1-46BF-8D9E-273EA0E5B585}">
      <text>
        <r>
          <rPr>
            <sz val="9"/>
            <color indexed="81"/>
            <rFont val="ＭＳ Ｐゴシック"/>
            <family val="3"/>
            <charset val="128"/>
          </rPr>
          <t xml:space="preserve">バルク特価のUSD 2.15/m をベースに　ユーロ x 0.88 で計算
</t>
        </r>
      </text>
    </comment>
    <comment ref="K131" authorId="1" shapeId="0" xr:uid="{F22FB371-68CD-4047-9647-031C54DC7782}">
      <text>
        <r>
          <rPr>
            <sz val="9"/>
            <color indexed="81"/>
            <rFont val="ＭＳ Ｐゴシック"/>
            <family val="3"/>
            <charset val="128"/>
          </rPr>
          <t xml:space="preserve">バルク特価のUSD 1.22/m をベースに　ユーロ x 0.88 で計算
</t>
        </r>
      </text>
    </comment>
    <comment ref="K132" authorId="1" shapeId="0" xr:uid="{4DFE7062-2373-4DE3-9CA5-D68F967C0561}">
      <text>
        <r>
          <rPr>
            <sz val="9"/>
            <color indexed="81"/>
            <rFont val="ＭＳ Ｐゴシック"/>
            <family val="3"/>
            <charset val="128"/>
          </rPr>
          <t xml:space="preserve">バルク特価のUSD 1.22/m をベースに　ユーロ x 0.88 で計算
</t>
        </r>
      </text>
    </comment>
    <comment ref="K133" authorId="1" shapeId="0" xr:uid="{1E3377AC-3A61-4FB1-A610-45FB48CA4007}">
      <text>
        <r>
          <rPr>
            <sz val="9"/>
            <color indexed="81"/>
            <rFont val="ＭＳ Ｐゴシック"/>
            <family val="3"/>
            <charset val="128"/>
          </rPr>
          <t xml:space="preserve">バルク特価のUSD 1.22/m をベースに　ユーロ x 0.88 で計算
</t>
        </r>
      </text>
    </comment>
    <comment ref="K135" authorId="1" shapeId="0" xr:uid="{5C3B430A-254E-4881-ABC9-6814CB9CA0CB}">
      <text>
        <r>
          <rPr>
            <b/>
            <sz val="9"/>
            <color indexed="81"/>
            <rFont val="ＭＳ Ｐゴシック"/>
            <family val="3"/>
            <charset val="128"/>
          </rPr>
          <t xml:space="preserve">chiba:
Mill's Black </t>
        </r>
        <r>
          <rPr>
            <sz val="9"/>
            <color indexed="81"/>
            <rFont val="ＭＳ Ｐゴシック"/>
            <family val="3"/>
            <charset val="128"/>
          </rPr>
          <t xml:space="preserve">単価(特別単価）のUSD 1.79/m に合わせて　ユーロ x 0.88 で計算
</t>
        </r>
      </text>
    </comment>
    <comment ref="K136" authorId="1" shapeId="0" xr:uid="{4D66ABEF-A4DD-445A-9D5E-F86A6B3C1C9C}">
      <text>
        <r>
          <rPr>
            <b/>
            <sz val="9"/>
            <color indexed="81"/>
            <rFont val="ＭＳ Ｐゴシック"/>
            <family val="3"/>
            <charset val="128"/>
          </rPr>
          <t xml:space="preserve">chiba:
Mill's Black </t>
        </r>
        <r>
          <rPr>
            <sz val="9"/>
            <color indexed="81"/>
            <rFont val="ＭＳ Ｐゴシック"/>
            <family val="3"/>
            <charset val="128"/>
          </rPr>
          <t xml:space="preserve">単価(特別単価）のUSD 1.79/m に合わせて　ユーロ x 0.88 で計算
</t>
        </r>
      </text>
    </comment>
    <comment ref="E138" authorId="1" shapeId="0" xr:uid="{FF9BC109-CEE7-478C-AB57-947A42A3FF26}">
      <text>
        <r>
          <rPr>
            <b/>
            <sz val="9"/>
            <color indexed="81"/>
            <rFont val="ＭＳ Ｐゴシック"/>
            <family val="3"/>
            <charset val="128"/>
          </rPr>
          <t>chiba:</t>
        </r>
        <r>
          <rPr>
            <sz val="9"/>
            <color indexed="81"/>
            <rFont val="ＭＳ Ｐゴシック"/>
            <family val="3"/>
            <charset val="128"/>
          </rPr>
          <t xml:space="preserve">
先方にはC-0072 で invoice提出済
伝票は無償サンプルで提出済
入金後、経理・JM へ
S-invoice で提出</t>
        </r>
      </text>
    </comment>
    <comment ref="K141" authorId="1" shapeId="0" xr:uid="{A2D580F0-AAF7-43D3-9CB3-EA9E8A9C2A52}">
      <text>
        <r>
          <rPr>
            <sz val="9"/>
            <color indexed="81"/>
            <rFont val="ＭＳ Ｐゴシック"/>
            <family val="3"/>
            <charset val="128"/>
          </rPr>
          <t xml:space="preserve">染色込み単価 USD 1.53/m をベースにユーロ x 0.9 
</t>
        </r>
      </text>
    </comment>
    <comment ref="K143" authorId="1" shapeId="0" xr:uid="{430D5A0F-EB1A-42F3-9649-FEE96F3C8E29}">
      <text>
        <r>
          <rPr>
            <sz val="9"/>
            <color indexed="81"/>
            <rFont val="ＭＳ Ｐゴシック"/>
            <family val="3"/>
            <charset val="128"/>
          </rPr>
          <t xml:space="preserve">バルク特価のUSD 1.22/m をベースに　ユーロ x 0.88 で計算
</t>
        </r>
      </text>
    </comment>
    <comment ref="R144" authorId="1" shapeId="0" xr:uid="{AE2C117D-BB48-4278-B027-9683BDB6CC28}">
      <text>
        <r>
          <rPr>
            <b/>
            <sz val="9"/>
            <color indexed="81"/>
            <rFont val="ＭＳ Ｐゴシック"/>
            <family val="3"/>
            <charset val="128"/>
          </rPr>
          <t>chiba:</t>
        </r>
        <r>
          <rPr>
            <sz val="9"/>
            <color indexed="81"/>
            <rFont val="ＭＳ Ｐゴシック"/>
            <family val="3"/>
            <charset val="128"/>
          </rPr>
          <t xml:space="preserve">
協和レースからの請求は、￥ 85/m （染色込み）で、\8000無し</t>
        </r>
      </text>
    </comment>
    <comment ref="K146" authorId="1" shapeId="0" xr:uid="{B19813B9-8A6B-4C18-9DF4-6A3D1B11CC2B}">
      <text>
        <r>
          <rPr>
            <sz val="9"/>
            <color indexed="81"/>
            <rFont val="ＭＳ Ｐゴシック"/>
            <family val="3"/>
            <charset val="128"/>
          </rPr>
          <t xml:space="preserve">バルク特価のUSD 2.15/m をベースに　ユーロ x 0.88 で計算
</t>
        </r>
      </text>
    </comment>
    <comment ref="K147" authorId="1" shapeId="0" xr:uid="{95F2CD76-8A77-499F-928A-0D9D735D1B39}">
      <text>
        <r>
          <rPr>
            <sz val="9"/>
            <color indexed="81"/>
            <rFont val="ＭＳ Ｐゴシック"/>
            <family val="3"/>
            <charset val="128"/>
          </rPr>
          <t xml:space="preserve">バルク特価のUSD 2.15/m をベースに　ユーロ x 0.88 で計算
</t>
        </r>
      </text>
    </comment>
    <comment ref="K148" authorId="1" shapeId="0" xr:uid="{BD0E287D-E241-47FA-AB85-CBDE1349BDB5}">
      <text>
        <r>
          <rPr>
            <sz val="9"/>
            <color indexed="81"/>
            <rFont val="ＭＳ Ｐゴシック"/>
            <family val="3"/>
            <charset val="128"/>
          </rPr>
          <t xml:space="preserve">バルク特価のUSD 2.15/m をベースに　ユーロ x 0.88 で計算
</t>
        </r>
      </text>
    </comment>
    <comment ref="K149" authorId="1" shapeId="0" xr:uid="{302B21DF-8690-4541-A099-6AF198D71826}">
      <text>
        <r>
          <rPr>
            <sz val="9"/>
            <color indexed="81"/>
            <rFont val="ＭＳ Ｐゴシック"/>
            <family val="3"/>
            <charset val="128"/>
          </rPr>
          <t xml:space="preserve">バルク特価のUSD 2.15/m をベースに　ユーロ x 0.88 で計算
</t>
        </r>
      </text>
    </comment>
    <comment ref="K151" authorId="1" shapeId="0" xr:uid="{F7FC9A05-32C9-4FAB-9BAE-7CDC6FFEE1B9}">
      <text>
        <r>
          <rPr>
            <sz val="9"/>
            <color indexed="81"/>
            <rFont val="ＭＳ Ｐゴシック"/>
            <family val="3"/>
            <charset val="128"/>
          </rPr>
          <t xml:space="preserve">バルク特価のUSD 2.15/m をベースに　ユーロ x 0.88 で計算
</t>
        </r>
      </text>
    </comment>
    <comment ref="K152" authorId="1" shapeId="0" xr:uid="{1776352A-49DC-4C1B-99AC-F62B813B1EB9}">
      <text>
        <r>
          <rPr>
            <sz val="9"/>
            <color indexed="81"/>
            <rFont val="ＭＳ Ｐゴシック"/>
            <family val="3"/>
            <charset val="128"/>
          </rPr>
          <t xml:space="preserve">バルク特価のUSD 2.15/m をベースに　ユーロ x 0.88 で計算
</t>
        </r>
      </text>
    </comment>
    <comment ref="K153" authorId="1" shapeId="0" xr:uid="{CC63BF7A-002D-42AA-A2DD-159058597344}">
      <text>
        <r>
          <rPr>
            <sz val="9"/>
            <color indexed="81"/>
            <rFont val="ＭＳ Ｐゴシック"/>
            <family val="3"/>
            <charset val="128"/>
          </rPr>
          <t xml:space="preserve">バルク特価のUSD 2.15/m をベースに　ユーロ x 0.88 で計算
</t>
        </r>
      </text>
    </comment>
    <comment ref="K154" authorId="1" shapeId="0" xr:uid="{E4F32538-232F-4250-AA51-E613530A0A3D}">
      <text>
        <r>
          <rPr>
            <sz val="9"/>
            <color indexed="81"/>
            <rFont val="ＭＳ Ｐゴシック"/>
            <family val="3"/>
            <charset val="128"/>
          </rPr>
          <t xml:space="preserve">バルク特価のUSD 2.15/m をベースに　ユーロ x 0.88 で計算
</t>
        </r>
      </text>
    </comment>
    <comment ref="K156" authorId="1" shapeId="0" xr:uid="{B44929C6-91B6-44DB-8833-3D983BC64729}">
      <text>
        <r>
          <rPr>
            <sz val="9"/>
            <color indexed="81"/>
            <rFont val="ＭＳ Ｐゴシック"/>
            <family val="3"/>
            <charset val="128"/>
          </rPr>
          <t xml:space="preserve">バルク特価のUSD 1.22/m をベースに　ユーロ x 0.88 で計算
</t>
        </r>
      </text>
    </comment>
    <comment ref="K157" authorId="1" shapeId="0" xr:uid="{F0766A14-F68F-4B99-BA81-E5E80A80FA12}">
      <text>
        <r>
          <rPr>
            <sz val="9"/>
            <color indexed="81"/>
            <rFont val="ＭＳ Ｐゴシック"/>
            <family val="3"/>
            <charset val="128"/>
          </rPr>
          <t xml:space="preserve">バルク特価のUSD 1.22/m をベースに　ユーロ x 0.88 で計算
</t>
        </r>
      </text>
    </comment>
    <comment ref="K158" authorId="1" shapeId="0" xr:uid="{25ED33C9-1237-4807-92A7-B37EA72FFD7C}">
      <text>
        <r>
          <rPr>
            <b/>
            <sz val="9"/>
            <color indexed="81"/>
            <rFont val="ＭＳ Ｐゴシック"/>
            <family val="3"/>
            <charset val="128"/>
          </rPr>
          <t xml:space="preserve">chiba:
Mill's Black </t>
        </r>
        <r>
          <rPr>
            <sz val="9"/>
            <color indexed="81"/>
            <rFont val="ＭＳ Ｐゴシック"/>
            <family val="3"/>
            <charset val="128"/>
          </rPr>
          <t xml:space="preserve">単価のUSD 1.92/m をベースに　ユーロ x 0.88 で計算
</t>
        </r>
      </text>
    </comment>
    <comment ref="K160" authorId="1" shapeId="0" xr:uid="{E456F3AC-F91E-427B-B7A8-37A5CEF45CAA}">
      <text>
        <r>
          <rPr>
            <b/>
            <sz val="9"/>
            <color indexed="81"/>
            <rFont val="ＭＳ Ｐゴシック"/>
            <family val="3"/>
            <charset val="128"/>
          </rPr>
          <t>chiba:</t>
        </r>
        <r>
          <rPr>
            <sz val="9"/>
            <color indexed="81"/>
            <rFont val="ＭＳ Ｐゴシック"/>
            <family val="3"/>
            <charset val="128"/>
          </rPr>
          <t xml:space="preserve">
USD 3.79/m をベースに　ユーロ x 0.88 で計算= 5000M の時の特価を適用
</t>
        </r>
      </text>
    </comment>
    <comment ref="K161" authorId="1" shapeId="0" xr:uid="{E59D7B2A-32C4-411B-9962-350F20B55BF9}">
      <text>
        <r>
          <rPr>
            <b/>
            <sz val="9"/>
            <color indexed="81"/>
            <rFont val="ＭＳ Ｐゴシック"/>
            <family val="3"/>
            <charset val="128"/>
          </rPr>
          <t>chiba:</t>
        </r>
        <r>
          <rPr>
            <sz val="9"/>
            <color indexed="81"/>
            <rFont val="ＭＳ Ｐゴシック"/>
            <family val="3"/>
            <charset val="128"/>
          </rPr>
          <t xml:space="preserve">
USD 3.79/m をベースに　ユーロ x 0.88 で計算= 5000M の時の特価を適用
</t>
        </r>
      </text>
    </comment>
    <comment ref="K162" authorId="1" shapeId="0" xr:uid="{736525A8-ED3C-432A-BC75-5169B12E4472}">
      <text>
        <r>
          <rPr>
            <b/>
            <sz val="9"/>
            <color indexed="81"/>
            <rFont val="ＭＳ Ｐゴシック"/>
            <family val="3"/>
            <charset val="128"/>
          </rPr>
          <t>chiba:</t>
        </r>
        <r>
          <rPr>
            <sz val="9"/>
            <color indexed="81"/>
            <rFont val="ＭＳ Ｐゴシック"/>
            <family val="3"/>
            <charset val="128"/>
          </rPr>
          <t xml:space="preserve">
USD 3.79/m をベースに　ユーロ x 0.88 で計算= 5000M の時の特価を適用
</t>
        </r>
      </text>
    </comment>
    <comment ref="K163" authorId="1" shapeId="0" xr:uid="{A2D8F0C0-17CF-48B4-8ADD-5DDBF41BBA5A}">
      <text>
        <r>
          <rPr>
            <b/>
            <sz val="9"/>
            <color indexed="81"/>
            <rFont val="ＭＳ Ｐゴシック"/>
            <family val="3"/>
            <charset val="128"/>
          </rPr>
          <t>chiba:</t>
        </r>
        <r>
          <rPr>
            <sz val="9"/>
            <color indexed="81"/>
            <rFont val="ＭＳ Ｐゴシック"/>
            <family val="3"/>
            <charset val="128"/>
          </rPr>
          <t xml:space="preserve">
USD 3.79/m をベースに　ユーロ x 0.88 で計算= 5000M の時の特価を適用
</t>
        </r>
      </text>
    </comment>
    <comment ref="K165" authorId="1" shapeId="0" xr:uid="{A598D2D1-D5D9-400B-8BE9-C7747586EE9B}">
      <text>
        <r>
          <rPr>
            <sz val="9"/>
            <color indexed="81"/>
            <rFont val="ＭＳ Ｐゴシック"/>
            <family val="3"/>
            <charset val="128"/>
          </rPr>
          <t xml:space="preserve">染色込み単価 USD 1.53/m をベースにユーロ x 0.9 
</t>
        </r>
      </text>
    </comment>
    <comment ref="K169" authorId="1" shapeId="0" xr:uid="{3D613426-B03C-4FDC-88CC-1F1651B7E76C}">
      <text>
        <r>
          <rPr>
            <sz val="9"/>
            <color indexed="81"/>
            <rFont val="ＭＳ Ｐゴシック"/>
            <family val="3"/>
            <charset val="128"/>
          </rPr>
          <t xml:space="preserve">バルク特価のUSD 1.22/m をベースに　ユーロ x 0.88 で計算
</t>
        </r>
      </text>
    </comment>
    <comment ref="K171" authorId="1" shapeId="0" xr:uid="{A481ECCC-EFBB-4B85-AE72-8EA0ED672245}">
      <text>
        <r>
          <rPr>
            <b/>
            <sz val="9"/>
            <color indexed="81"/>
            <rFont val="ＭＳ Ｐゴシック"/>
            <family val="3"/>
            <charset val="128"/>
          </rPr>
          <t xml:space="preserve">chiba:
Mill's Black </t>
        </r>
        <r>
          <rPr>
            <sz val="9"/>
            <color indexed="81"/>
            <rFont val="ＭＳ Ｐゴシック"/>
            <family val="3"/>
            <charset val="128"/>
          </rPr>
          <t xml:space="preserve">単価(特別単価）のUSD 1.79/m に合わせて　ユーロ x 0.88 で計算
</t>
        </r>
      </text>
    </comment>
    <comment ref="K172" authorId="1" shapeId="0" xr:uid="{4096ABF2-6491-475E-8B85-41B27F014429}">
      <text>
        <r>
          <rPr>
            <b/>
            <sz val="9"/>
            <color indexed="81"/>
            <rFont val="ＭＳ Ｐゴシック"/>
            <family val="3"/>
            <charset val="128"/>
          </rPr>
          <t xml:space="preserve">chiba:
Mill's Black </t>
        </r>
        <r>
          <rPr>
            <sz val="9"/>
            <color indexed="81"/>
            <rFont val="ＭＳ Ｐゴシック"/>
            <family val="3"/>
            <charset val="128"/>
          </rPr>
          <t xml:space="preserve">単価(特別単価）のUSD1.20/m に合わせて　ユーロ x 0.88 で計算
</t>
        </r>
      </text>
    </comment>
    <comment ref="K185" authorId="1" shapeId="0" xr:uid="{0A888F6D-FB28-4434-A0BF-9750AAA12A9A}">
      <text>
        <r>
          <rPr>
            <b/>
            <sz val="9"/>
            <color indexed="81"/>
            <rFont val="ＭＳ Ｐゴシック"/>
            <family val="3"/>
            <charset val="128"/>
          </rPr>
          <t xml:space="preserve">chiba:
Mill's Black </t>
        </r>
        <r>
          <rPr>
            <sz val="9"/>
            <color indexed="81"/>
            <rFont val="ＭＳ Ｐゴシック"/>
            <family val="3"/>
            <charset val="128"/>
          </rPr>
          <t xml:space="preserve">単価(特別単価）のUSD 1.79/m に合わせて　ユーロ x 0.88 で計算
</t>
        </r>
      </text>
    </comment>
    <comment ref="E187" authorId="1" shapeId="0" xr:uid="{4E3926DD-F607-439D-97F0-AC18A033DBA3}">
      <text>
        <r>
          <rPr>
            <b/>
            <sz val="9"/>
            <color indexed="81"/>
            <rFont val="ＭＳ Ｐゴシック"/>
            <family val="3"/>
            <charset val="128"/>
          </rPr>
          <t>chiba:</t>
        </r>
        <r>
          <rPr>
            <sz val="9"/>
            <color indexed="81"/>
            <rFont val="ＭＳ Ｐゴシック"/>
            <family val="3"/>
            <charset val="128"/>
          </rPr>
          <t xml:space="preserve">
先方にはC-0076 で invoice提出済
伝票は無償サンプルで提出済
入金後、経理・JM へ
S-invoice で提出</t>
        </r>
      </text>
    </comment>
    <comment ref="K187" authorId="1" shapeId="0" xr:uid="{314262CD-946B-4B26-8A88-F0DDE8A1858D}">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188" authorId="1" shapeId="0" xr:uid="{3CFE800B-C837-44D8-AEA9-1F506E9A3422}">
      <text>
        <r>
          <rPr>
            <b/>
            <sz val="9"/>
            <color indexed="81"/>
            <rFont val="ＭＳ Ｐゴシック"/>
            <family val="3"/>
            <charset val="128"/>
          </rPr>
          <t>chiba:</t>
        </r>
        <r>
          <rPr>
            <sz val="9"/>
            <color indexed="81"/>
            <rFont val="ＭＳ Ｐゴシック"/>
            <family val="3"/>
            <charset val="128"/>
          </rPr>
          <t xml:space="preserve">
先方にはC-0076 で invoice提出済
伝票は無償サンプルで提出済
入金後、経理・JM へ
S-invoice で提出</t>
        </r>
      </text>
    </comment>
    <comment ref="K188" authorId="1" shapeId="0" xr:uid="{15BE105D-B8BC-4713-8619-FDD4158F8E38}">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189" authorId="1" shapeId="0" xr:uid="{703C3DA8-5F27-4F96-B175-48E31149E462}">
      <text>
        <r>
          <rPr>
            <b/>
            <sz val="9"/>
            <color indexed="81"/>
            <rFont val="ＭＳ Ｐゴシック"/>
            <family val="3"/>
            <charset val="128"/>
          </rPr>
          <t>chiba:</t>
        </r>
        <r>
          <rPr>
            <sz val="9"/>
            <color indexed="81"/>
            <rFont val="ＭＳ Ｐゴシック"/>
            <family val="3"/>
            <charset val="128"/>
          </rPr>
          <t xml:space="preserve">
先方にはC-0076 で invoice提出済
伝票は無償サンプルで提出済
入金後、経理・JM へ
S-invoice で提出</t>
        </r>
      </text>
    </comment>
    <comment ref="K189" authorId="1" shapeId="0" xr:uid="{4651D980-F330-4CFF-AA9C-0843AE876E56}">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190" authorId="1" shapeId="0" xr:uid="{68287DB7-6468-4221-9613-503903441100}">
      <text>
        <r>
          <rPr>
            <b/>
            <sz val="9"/>
            <color indexed="81"/>
            <rFont val="ＭＳ Ｐゴシック"/>
            <family val="3"/>
            <charset val="128"/>
          </rPr>
          <t>chiba:</t>
        </r>
        <r>
          <rPr>
            <sz val="9"/>
            <color indexed="81"/>
            <rFont val="ＭＳ Ｐゴシック"/>
            <family val="3"/>
            <charset val="128"/>
          </rPr>
          <t xml:space="preserve">
先方にはC-0076 で invoice提出済
伝票は無償サンプルで提出済
入金後、経理・JM へ
S-invoice で提出</t>
        </r>
      </text>
    </comment>
    <comment ref="K190" authorId="1" shapeId="0" xr:uid="{5E8F2D81-212A-4609-8464-C818A4009E1F}">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1" authorId="1" shapeId="0" xr:uid="{A219C324-87D4-41CA-B838-D458D807582C}">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2" authorId="1" shapeId="0" xr:uid="{7C63E210-AFCC-4904-8053-2F27189A1D4E}">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3" authorId="1" shapeId="0" xr:uid="{AA721701-A83B-4263-9A78-F2EE272782A5}">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4" authorId="1" shapeId="0" xr:uid="{8C0B655C-5E3D-4351-8DBB-3531670DF68B}">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5" authorId="1" shapeId="0" xr:uid="{92032423-171A-4E3D-9C21-E1910F4D8EFB}">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6" authorId="1" shapeId="0" xr:uid="{D20E38DE-6327-4765-B6A7-72D8ADA07FD7}">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7" authorId="1" shapeId="0" xr:uid="{596BE771-44AD-41B7-A06F-6316A586B23B}">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8" authorId="1" shapeId="0" xr:uid="{AFC5A2A1-F103-436E-9C7A-F30859472DFD}">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09" authorId="1" shapeId="0" xr:uid="{4A708EDF-B82B-4649-B223-A9CE724690B5}">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10" authorId="1" shapeId="0" xr:uid="{6D6ECE0D-0017-40B5-865A-6D436C9A45BA}">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11" authorId="1" shapeId="0" xr:uid="{D6C0E9F7-0F06-4A19-963E-51DEB158587C}">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12" authorId="1" shapeId="0" xr:uid="{3E2085F1-5375-44B9-BAE6-A1CE65C2F529}">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13" authorId="1" shapeId="0" xr:uid="{3BFC26CC-5BAF-4762-A272-0725C15D8691}">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244" authorId="1" shapeId="0" xr:uid="{2B4219BC-94CD-47ED-866C-37C93A213C0B}">
      <text>
        <r>
          <rPr>
            <b/>
            <sz val="9"/>
            <color indexed="81"/>
            <rFont val="ＭＳ Ｐゴシック"/>
            <family val="3"/>
            <charset val="128"/>
          </rPr>
          <t>chiba:</t>
        </r>
        <r>
          <rPr>
            <sz val="9"/>
            <color indexed="81"/>
            <rFont val="ＭＳ Ｐゴシック"/>
            <family val="3"/>
            <charset val="128"/>
          </rPr>
          <t xml:space="preserve">
染色代込み単価</t>
        </r>
      </text>
    </comment>
    <comment ref="K256" authorId="1" shapeId="0" xr:uid="{A509573E-F1C5-41E2-BF2C-6A62263FD6A2}">
      <text>
        <r>
          <rPr>
            <b/>
            <sz val="9"/>
            <color indexed="81"/>
            <rFont val="ＭＳ Ｐゴシック"/>
            <family val="3"/>
            <charset val="128"/>
          </rPr>
          <t>chiba:</t>
        </r>
        <r>
          <rPr>
            <sz val="9"/>
            <color indexed="81"/>
            <rFont val="ＭＳ Ｐゴシック"/>
            <family val="3"/>
            <charset val="128"/>
          </rPr>
          <t xml:space="preserve">
染色代込み単価</t>
        </r>
      </text>
    </comment>
    <comment ref="K257" authorId="1" shapeId="0" xr:uid="{07636B6D-A1CA-4BB7-94D5-026CE5283AB8}">
      <text>
        <r>
          <rPr>
            <b/>
            <sz val="9"/>
            <color indexed="81"/>
            <rFont val="ＭＳ Ｐゴシック"/>
            <family val="3"/>
            <charset val="128"/>
          </rPr>
          <t>chiba:</t>
        </r>
        <r>
          <rPr>
            <sz val="9"/>
            <color indexed="81"/>
            <rFont val="ＭＳ Ｐゴシック"/>
            <family val="3"/>
            <charset val="128"/>
          </rPr>
          <t xml:space="preserve">
染色代込み単価</t>
        </r>
      </text>
    </comment>
    <comment ref="K258" authorId="1" shapeId="0" xr:uid="{FCA3351B-5077-4BBA-8169-9A3161172A3D}">
      <text>
        <r>
          <rPr>
            <b/>
            <sz val="9"/>
            <color indexed="81"/>
            <rFont val="ＭＳ Ｐゴシック"/>
            <family val="3"/>
            <charset val="128"/>
          </rPr>
          <t>chiba:</t>
        </r>
        <r>
          <rPr>
            <sz val="9"/>
            <color indexed="81"/>
            <rFont val="ＭＳ Ｐゴシック"/>
            <family val="3"/>
            <charset val="128"/>
          </rPr>
          <t xml:space="preserve">
染色代込み単価</t>
        </r>
      </text>
    </comment>
    <comment ref="K260" authorId="1" shapeId="0" xr:uid="{F13E5E93-C7B7-417B-90EA-160A62526EC1}">
      <text>
        <r>
          <rPr>
            <b/>
            <sz val="9"/>
            <color indexed="81"/>
            <rFont val="ＭＳ Ｐゴシック"/>
            <family val="3"/>
            <charset val="128"/>
          </rPr>
          <t xml:space="preserve">chiba:
50%
</t>
        </r>
      </text>
    </comment>
    <comment ref="K261" authorId="1" shapeId="0" xr:uid="{A5B3B3C8-7810-42D1-92E2-1DFC5C64DBC5}">
      <text>
        <r>
          <rPr>
            <b/>
            <sz val="9"/>
            <color indexed="81"/>
            <rFont val="ＭＳ Ｐゴシック"/>
            <family val="3"/>
            <charset val="128"/>
          </rPr>
          <t xml:space="preserve">chiba:
50%
</t>
        </r>
      </text>
    </comment>
    <comment ref="K262" authorId="1" shapeId="0" xr:uid="{DA91E30A-59B5-4DF4-9A82-EAF41C0ED01D}">
      <text>
        <r>
          <rPr>
            <b/>
            <sz val="9"/>
            <color indexed="81"/>
            <rFont val="ＭＳ Ｐゴシック"/>
            <family val="3"/>
            <charset val="128"/>
          </rPr>
          <t>chiba:</t>
        </r>
        <r>
          <rPr>
            <sz val="9"/>
            <color indexed="81"/>
            <rFont val="ＭＳ Ｐゴシック"/>
            <family val="3"/>
            <charset val="128"/>
          </rPr>
          <t xml:space="preserve">
染色代/カット代込み単価</t>
        </r>
      </text>
    </comment>
    <comment ref="K268" authorId="1" shapeId="0" xr:uid="{67CBDFC7-DA63-4E84-B99B-4573DA7061AE}">
      <text>
        <r>
          <rPr>
            <b/>
            <sz val="9"/>
            <color indexed="81"/>
            <rFont val="ＭＳ Ｐゴシック"/>
            <family val="3"/>
            <charset val="128"/>
          </rPr>
          <t>chiba:</t>
        </r>
        <r>
          <rPr>
            <sz val="9"/>
            <color indexed="81"/>
            <rFont val="ＭＳ Ｐゴシック"/>
            <family val="3"/>
            <charset val="128"/>
          </rPr>
          <t xml:space="preserve">
染色代込み
</t>
        </r>
      </text>
    </comment>
    <comment ref="K269" authorId="1" shapeId="0" xr:uid="{C7D40E5A-78BF-4D27-8255-5AD8C1A00086}">
      <text>
        <r>
          <rPr>
            <b/>
            <sz val="9"/>
            <color indexed="81"/>
            <rFont val="ＭＳ Ｐゴシック"/>
            <family val="3"/>
            <charset val="128"/>
          </rPr>
          <t>chiba:</t>
        </r>
        <r>
          <rPr>
            <sz val="9"/>
            <color indexed="81"/>
            <rFont val="ＭＳ Ｐゴシック"/>
            <family val="3"/>
            <charset val="128"/>
          </rPr>
          <t xml:space="preserve">
染色代込み
</t>
        </r>
      </text>
    </comment>
    <comment ref="K270" authorId="1" shapeId="0" xr:uid="{44E87B85-3C0E-4BA9-97AB-6FD1335CED3C}">
      <text>
        <r>
          <rPr>
            <b/>
            <sz val="9"/>
            <color indexed="81"/>
            <rFont val="ＭＳ Ｐゴシック"/>
            <family val="3"/>
            <charset val="128"/>
          </rPr>
          <t>chiba:</t>
        </r>
        <r>
          <rPr>
            <sz val="9"/>
            <color indexed="81"/>
            <rFont val="ＭＳ Ｐゴシック"/>
            <family val="3"/>
            <charset val="128"/>
          </rPr>
          <t xml:space="preserve">
染色代込み
</t>
        </r>
      </text>
    </comment>
    <comment ref="K272" authorId="1" shapeId="0" xr:uid="{EAF6C075-CA56-43E1-B00F-9ACDD79CD473}">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R272" authorId="1" shapeId="0" xr:uid="{E651DD6F-48E4-4413-B6E5-3B8A282D1F71}">
      <text>
        <r>
          <rPr>
            <b/>
            <sz val="9"/>
            <color indexed="81"/>
            <rFont val="ＭＳ Ｐゴシック"/>
            <family val="3"/>
            <charset val="128"/>
          </rPr>
          <t>chiba:</t>
        </r>
        <r>
          <rPr>
            <sz val="9"/>
            <color indexed="81"/>
            <rFont val="ＭＳ Ｐゴシック"/>
            <family val="3"/>
            <charset val="128"/>
          </rPr>
          <t xml:space="preserve">
特別単価 染色込
通常455 + dye 40
</t>
        </r>
      </text>
    </comment>
    <comment ref="K273" authorId="1" shapeId="0" xr:uid="{AD74BA7F-B30D-4861-BDA1-B68FDD7C6EDA}">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R273" authorId="1" shapeId="0" xr:uid="{1F57C829-E24F-4B33-A8B2-17666655BB9C}">
      <text>
        <r>
          <rPr>
            <b/>
            <sz val="9"/>
            <color indexed="81"/>
            <rFont val="ＭＳ Ｐゴシック"/>
            <family val="3"/>
            <charset val="128"/>
          </rPr>
          <t>chiba:</t>
        </r>
        <r>
          <rPr>
            <sz val="9"/>
            <color indexed="81"/>
            <rFont val="ＭＳ Ｐゴシック"/>
            <family val="3"/>
            <charset val="128"/>
          </rPr>
          <t xml:space="preserve">
特別単価 染色込
通常455 + dye 40
</t>
        </r>
      </text>
    </comment>
    <comment ref="E274" authorId="1" shapeId="0" xr:uid="{C1CA3727-E79B-43C7-A587-5502DADE6876}">
      <text>
        <r>
          <rPr>
            <b/>
            <sz val="9"/>
            <color indexed="81"/>
            <rFont val="ＭＳ Ｐゴシック"/>
            <family val="3"/>
            <charset val="128"/>
          </rPr>
          <t>chiba:</t>
        </r>
        <r>
          <rPr>
            <sz val="9"/>
            <color indexed="81"/>
            <rFont val="ＭＳ Ｐゴシック"/>
            <family val="3"/>
            <charset val="128"/>
          </rPr>
          <t xml:space="preserve">
Original Marine Color </t>
        </r>
      </text>
    </comment>
    <comment ref="K274" authorId="1" shapeId="0" xr:uid="{F8D7DE04-9A4B-4138-838C-EC54FC69ED87}">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R274" authorId="1" shapeId="0" xr:uid="{8B226FFF-A191-4A40-8BC1-137673F67595}">
      <text>
        <r>
          <rPr>
            <b/>
            <sz val="9"/>
            <color indexed="81"/>
            <rFont val="ＭＳ Ｐゴシック"/>
            <family val="3"/>
            <charset val="128"/>
          </rPr>
          <t>chiba:</t>
        </r>
        <r>
          <rPr>
            <sz val="9"/>
            <color indexed="81"/>
            <rFont val="ＭＳ Ｐゴシック"/>
            <family val="3"/>
            <charset val="128"/>
          </rPr>
          <t xml:space="preserve">
特別単価 染色込
通常455 + dye 40
</t>
        </r>
      </text>
    </comment>
    <comment ref="E275" authorId="1" shapeId="0" xr:uid="{335574FC-A6A6-496A-8A87-7298EA4F5CF5}">
      <text>
        <r>
          <rPr>
            <b/>
            <sz val="9"/>
            <color indexed="81"/>
            <rFont val="ＭＳ Ｐゴシック"/>
            <family val="3"/>
            <charset val="128"/>
          </rPr>
          <t>chiba:</t>
        </r>
        <r>
          <rPr>
            <sz val="9"/>
            <color indexed="81"/>
            <rFont val="ＭＳ Ｐゴシック"/>
            <family val="3"/>
            <charset val="128"/>
          </rPr>
          <t xml:space="preserve">
New Marine Color </t>
        </r>
      </text>
    </comment>
    <comment ref="K275" authorId="1" shapeId="0" xr:uid="{479C86F3-222D-486E-A20B-DF600BB5E265}">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R275" authorId="1" shapeId="0" xr:uid="{14A8380B-E7B7-44F7-9FE8-12FFD3930993}">
      <text>
        <r>
          <rPr>
            <b/>
            <sz val="9"/>
            <color indexed="81"/>
            <rFont val="ＭＳ Ｐゴシック"/>
            <family val="3"/>
            <charset val="128"/>
          </rPr>
          <t>chiba:</t>
        </r>
        <r>
          <rPr>
            <sz val="9"/>
            <color indexed="81"/>
            <rFont val="ＭＳ Ｐゴシック"/>
            <family val="3"/>
            <charset val="128"/>
          </rPr>
          <t xml:space="preserve">
特別単価 染色込 + Re-dye = 30 /m アップ
通常455 + dye 40
</t>
        </r>
      </text>
    </comment>
    <comment ref="E276" authorId="1" shapeId="0" xr:uid="{8532A156-A1BE-495E-B850-1457B5EE20CA}">
      <text>
        <r>
          <rPr>
            <b/>
            <sz val="9"/>
            <color indexed="81"/>
            <rFont val="ＭＳ Ｐゴシック"/>
            <family val="3"/>
            <charset val="128"/>
          </rPr>
          <t>chiba:</t>
        </r>
        <r>
          <rPr>
            <sz val="9"/>
            <color indexed="81"/>
            <rFont val="ＭＳ Ｐゴシック"/>
            <family val="3"/>
            <charset val="128"/>
          </rPr>
          <t xml:space="preserve">
New Marine Color </t>
        </r>
      </text>
    </comment>
    <comment ref="K276" authorId="1" shapeId="0" xr:uid="{DDCE70DB-50E1-42E8-9A4D-48D6E04258AC}">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R276" authorId="1" shapeId="0" xr:uid="{44CCC2A1-7ADD-4E71-825A-11FCBBD34EF1}">
      <text>
        <r>
          <rPr>
            <b/>
            <sz val="9"/>
            <color indexed="81"/>
            <rFont val="ＭＳ Ｐゴシック"/>
            <family val="3"/>
            <charset val="128"/>
          </rPr>
          <t>chiba:</t>
        </r>
        <r>
          <rPr>
            <sz val="9"/>
            <color indexed="81"/>
            <rFont val="ＭＳ Ｐゴシック"/>
            <family val="3"/>
            <charset val="128"/>
          </rPr>
          <t xml:space="preserve">
特別単価 染色込 + Re-dye = 30 /m アップ
通常455 + dye 40
</t>
        </r>
      </text>
    </comment>
    <comment ref="K277" authorId="1" shapeId="0" xr:uid="{3A6936BA-ABD6-4058-85BD-D2BE7D37D651}">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R277" authorId="1" shapeId="0" xr:uid="{4C3D18AB-F466-4BF3-BA47-A28085143A2E}">
      <text>
        <r>
          <rPr>
            <b/>
            <sz val="9"/>
            <color indexed="81"/>
            <rFont val="ＭＳ Ｐゴシック"/>
            <family val="3"/>
            <charset val="128"/>
          </rPr>
          <t>chiba:</t>
        </r>
        <r>
          <rPr>
            <sz val="9"/>
            <color indexed="81"/>
            <rFont val="ＭＳ Ｐゴシック"/>
            <family val="3"/>
            <charset val="128"/>
          </rPr>
          <t xml:space="preserve">
特別単価 染色込
通常455 + dye 40
</t>
        </r>
      </text>
    </comment>
    <comment ref="K279" authorId="1" shapeId="0" xr:uid="{3BA060CB-E9BF-46FB-8392-035DDFC6BC9E}">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R279" authorId="1" shapeId="0" xr:uid="{1715569A-1436-4F4B-8169-A67064DBB79E}">
      <text>
        <r>
          <rPr>
            <b/>
            <sz val="9"/>
            <color indexed="81"/>
            <rFont val="ＭＳ Ｐゴシック"/>
            <family val="3"/>
            <charset val="128"/>
          </rPr>
          <t>chiba:</t>
        </r>
        <r>
          <rPr>
            <sz val="9"/>
            <color indexed="81"/>
            <rFont val="ＭＳ Ｐゴシック"/>
            <family val="3"/>
            <charset val="128"/>
          </rPr>
          <t xml:space="preserve">
特別単価 for 300m 
通常1480 + dye 50
</t>
        </r>
      </text>
    </comment>
    <comment ref="K280" authorId="1" shapeId="0" xr:uid="{B7B65249-A0A2-4FD4-B61A-43D09F03B6F1}">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R280" authorId="1" shapeId="0" xr:uid="{BBFDC9FF-619B-4132-B170-E015AC122157}">
      <text>
        <r>
          <rPr>
            <b/>
            <sz val="9"/>
            <color indexed="81"/>
            <rFont val="ＭＳ Ｐゴシック"/>
            <family val="3"/>
            <charset val="128"/>
          </rPr>
          <t>chiba:</t>
        </r>
        <r>
          <rPr>
            <sz val="9"/>
            <color indexed="81"/>
            <rFont val="ＭＳ Ｐゴシック"/>
            <family val="3"/>
            <charset val="128"/>
          </rPr>
          <t xml:space="preserve">
特別単価 for 300m 
通常1480 + dye 50
</t>
        </r>
      </text>
    </comment>
    <comment ref="K285" authorId="1" shapeId="0" xr:uid="{C295F3AC-3BF2-43B3-8665-5E21FA2FA169}">
      <text>
        <r>
          <rPr>
            <b/>
            <sz val="9"/>
            <color indexed="81"/>
            <rFont val="ＭＳ Ｐゴシック"/>
            <family val="3"/>
            <charset val="128"/>
          </rPr>
          <t>chiba:</t>
        </r>
        <r>
          <rPr>
            <sz val="9"/>
            <color indexed="81"/>
            <rFont val="ＭＳ Ｐゴシック"/>
            <family val="3"/>
            <charset val="128"/>
          </rPr>
          <t xml:space="preserve">
染色代込み
</t>
        </r>
      </text>
    </comment>
    <comment ref="K286" authorId="1" shapeId="0" xr:uid="{78A90293-AD82-459B-950C-182AC7F5EE62}">
      <text>
        <r>
          <rPr>
            <b/>
            <sz val="9"/>
            <color indexed="81"/>
            <rFont val="ＭＳ Ｐゴシック"/>
            <family val="3"/>
            <charset val="128"/>
          </rPr>
          <t>chiba:</t>
        </r>
        <r>
          <rPr>
            <sz val="9"/>
            <color indexed="81"/>
            <rFont val="ＭＳ Ｐゴシック"/>
            <family val="3"/>
            <charset val="128"/>
          </rPr>
          <t xml:space="preserve">
染色代込み
</t>
        </r>
      </text>
    </comment>
    <comment ref="K290" authorId="1" shapeId="0" xr:uid="{B651F1EB-422D-4FD3-8AC8-B8414B681C22}">
      <text>
        <r>
          <rPr>
            <b/>
            <sz val="9"/>
            <color indexed="81"/>
            <rFont val="ＭＳ Ｐゴシック"/>
            <family val="3"/>
            <charset val="128"/>
          </rPr>
          <t>chiba:</t>
        </r>
        <r>
          <rPr>
            <sz val="9"/>
            <color indexed="81"/>
            <rFont val="ＭＳ Ｐゴシック"/>
            <family val="3"/>
            <charset val="128"/>
          </rPr>
          <t xml:space="preserve">
染色代込み
</t>
        </r>
      </text>
    </comment>
    <comment ref="K291" authorId="1" shapeId="0" xr:uid="{D5037AEA-0383-4FFE-B035-020DDE396053}">
      <text>
        <r>
          <rPr>
            <b/>
            <sz val="9"/>
            <color indexed="81"/>
            <rFont val="ＭＳ Ｐゴシック"/>
            <family val="3"/>
            <charset val="128"/>
          </rPr>
          <t>chiba:</t>
        </r>
        <r>
          <rPr>
            <sz val="9"/>
            <color indexed="81"/>
            <rFont val="ＭＳ Ｐゴシック"/>
            <family val="3"/>
            <charset val="128"/>
          </rPr>
          <t xml:space="preserve">
染色代込み
</t>
        </r>
      </text>
    </comment>
    <comment ref="K294" authorId="1" shapeId="0" xr:uid="{DACA7320-3D9A-4E8E-800A-34D2EB84157E}">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R294" authorId="1" shapeId="0" xr:uid="{21291423-95D2-4866-8B1B-D749ECC7A7A7}">
      <text>
        <r>
          <rPr>
            <b/>
            <sz val="9"/>
            <color indexed="81"/>
            <rFont val="ＭＳ Ｐゴシック"/>
            <family val="3"/>
            <charset val="128"/>
          </rPr>
          <t>chiba:</t>
        </r>
        <r>
          <rPr>
            <sz val="9"/>
            <color indexed="81"/>
            <rFont val="ＭＳ Ｐゴシック"/>
            <family val="3"/>
            <charset val="128"/>
          </rPr>
          <t xml:space="preserve">
特別単価 染色込
通常455 + dye 40
</t>
        </r>
      </text>
    </comment>
    <comment ref="K295" authorId="1" shapeId="0" xr:uid="{905A1513-A496-4EF0-A3BB-2E6284280122}">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R295" authorId="1" shapeId="0" xr:uid="{C2276D9C-D151-4E56-ABDD-927888F304EE}">
      <text>
        <r>
          <rPr>
            <b/>
            <sz val="9"/>
            <color indexed="81"/>
            <rFont val="ＭＳ Ｐゴシック"/>
            <family val="3"/>
            <charset val="128"/>
          </rPr>
          <t>chiba:</t>
        </r>
        <r>
          <rPr>
            <sz val="9"/>
            <color indexed="81"/>
            <rFont val="ＭＳ Ｐゴシック"/>
            <family val="3"/>
            <charset val="128"/>
          </rPr>
          <t xml:space="preserve">
特別単価 染色込
通常455 + dye 40
</t>
        </r>
      </text>
    </comment>
    <comment ref="K297" authorId="1" shapeId="0" xr:uid="{474B094A-F42F-47F2-B1E7-EF5814207399}">
      <text>
        <r>
          <rPr>
            <b/>
            <sz val="9"/>
            <color indexed="81"/>
            <rFont val="ＭＳ Ｐゴシック"/>
            <family val="3"/>
            <charset val="128"/>
          </rPr>
          <t>chiba:</t>
        </r>
        <r>
          <rPr>
            <sz val="9"/>
            <color indexed="81"/>
            <rFont val="ＭＳ Ｐゴシック"/>
            <family val="3"/>
            <charset val="128"/>
          </rPr>
          <t xml:space="preserve">
染色代込み
</t>
        </r>
      </text>
    </comment>
    <comment ref="K298" authorId="1" shapeId="0" xr:uid="{75560E36-E913-45FB-A7A9-E39B08D7C742}">
      <text>
        <r>
          <rPr>
            <b/>
            <sz val="9"/>
            <color indexed="81"/>
            <rFont val="ＭＳ Ｐゴシック"/>
            <family val="3"/>
            <charset val="128"/>
          </rPr>
          <t>chiba:</t>
        </r>
        <r>
          <rPr>
            <sz val="9"/>
            <color indexed="81"/>
            <rFont val="ＭＳ Ｐゴシック"/>
            <family val="3"/>
            <charset val="128"/>
          </rPr>
          <t xml:space="preserve">
染色代込み
</t>
        </r>
      </text>
    </comment>
    <comment ref="K304" authorId="1" shapeId="0" xr:uid="{8654A163-1FC4-4B40-8EEA-CA4306CC3F88}">
      <text>
        <r>
          <rPr>
            <b/>
            <sz val="9"/>
            <color indexed="81"/>
            <rFont val="ＭＳ Ｐゴシック"/>
            <family val="3"/>
            <charset val="128"/>
          </rPr>
          <t>chiba:</t>
        </r>
        <r>
          <rPr>
            <sz val="9"/>
            <color indexed="81"/>
            <rFont val="ＭＳ Ｐゴシック"/>
            <family val="3"/>
            <charset val="128"/>
          </rPr>
          <t xml:space="preserve">
レート 115
</t>
        </r>
      </text>
    </comment>
    <comment ref="K307" authorId="1" shapeId="0" xr:uid="{E4AEFA95-825F-4839-B420-AFD5C8457095}">
      <text>
        <r>
          <rPr>
            <b/>
            <sz val="9"/>
            <color indexed="81"/>
            <rFont val="ＭＳ Ｐゴシック"/>
            <family val="3"/>
            <charset val="128"/>
          </rPr>
          <t>chiba:</t>
        </r>
        <r>
          <rPr>
            <sz val="9"/>
            <color indexed="81"/>
            <rFont val="ＭＳ Ｐゴシック"/>
            <family val="3"/>
            <charset val="128"/>
          </rPr>
          <t xml:space="preserve">
レート 110
</t>
        </r>
      </text>
    </comment>
    <comment ref="K310" authorId="1" shapeId="0" xr:uid="{FDFD0DD6-EE7F-424A-B145-11980742731A}">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11" authorId="1" shapeId="0" xr:uid="{EF85CB13-6DEA-4446-B548-8626E1693C7C}">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13" authorId="1" shapeId="0" xr:uid="{A2567000-22B2-4863-A982-2F35366411E7}">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14" authorId="1" shapeId="0" xr:uid="{D8DF3D60-E120-4B54-B341-3400C93BC971}">
      <text>
        <r>
          <rPr>
            <b/>
            <sz val="9"/>
            <color indexed="81"/>
            <rFont val="ＭＳ Ｐゴシック"/>
            <family val="3"/>
            <charset val="128"/>
          </rPr>
          <t>chiba:</t>
        </r>
        <r>
          <rPr>
            <sz val="9"/>
            <color indexed="81"/>
            <rFont val="ＭＳ Ｐゴシック"/>
            <family val="3"/>
            <charset val="128"/>
          </rPr>
          <t xml:space="preserve">
大阪負担</t>
        </r>
      </text>
    </comment>
    <comment ref="K316" authorId="1" shapeId="0" xr:uid="{BCB7864D-F3C8-463C-AA29-936735572F13}">
      <text>
        <r>
          <rPr>
            <b/>
            <sz val="9"/>
            <color indexed="81"/>
            <rFont val="ＭＳ Ｐゴシック"/>
            <family val="3"/>
            <charset val="128"/>
          </rPr>
          <t>chiba:</t>
        </r>
        <r>
          <rPr>
            <sz val="9"/>
            <color indexed="81"/>
            <rFont val="ＭＳ Ｐゴシック"/>
            <family val="3"/>
            <charset val="128"/>
          </rPr>
          <t xml:space="preserve">
染色込み
レート 120
</t>
        </r>
      </text>
    </comment>
    <comment ref="K317" authorId="1" shapeId="0" xr:uid="{433364C5-4D37-4EFF-A458-9665F6A48A07}">
      <text>
        <r>
          <rPr>
            <b/>
            <sz val="9"/>
            <color indexed="81"/>
            <rFont val="ＭＳ Ｐゴシック"/>
            <family val="3"/>
            <charset val="128"/>
          </rPr>
          <t>chiba:</t>
        </r>
        <r>
          <rPr>
            <sz val="9"/>
            <color indexed="81"/>
            <rFont val="ＭＳ Ｐゴシック"/>
            <family val="3"/>
            <charset val="128"/>
          </rPr>
          <t xml:space="preserve">
染色込み
レート 120
</t>
        </r>
      </text>
    </comment>
    <comment ref="K318" authorId="1" shapeId="0" xr:uid="{4985D6D8-E032-4F5B-BE4C-9C0B0032E125}">
      <text>
        <r>
          <rPr>
            <b/>
            <sz val="9"/>
            <color indexed="81"/>
            <rFont val="ＭＳ Ｐゴシック"/>
            <family val="3"/>
            <charset val="128"/>
          </rPr>
          <t>chiba:</t>
        </r>
        <r>
          <rPr>
            <sz val="9"/>
            <color indexed="81"/>
            <rFont val="ＭＳ Ｐゴシック"/>
            <family val="3"/>
            <charset val="128"/>
          </rPr>
          <t xml:space="preserve">
染色込み
レート 120
</t>
        </r>
      </text>
    </comment>
    <comment ref="K319" authorId="1" shapeId="0" xr:uid="{D1D05A1B-1686-4267-8828-CD1B0D231EA9}">
      <text>
        <r>
          <rPr>
            <b/>
            <sz val="9"/>
            <color indexed="81"/>
            <rFont val="ＭＳ Ｐゴシック"/>
            <family val="3"/>
            <charset val="128"/>
          </rPr>
          <t>chiba:</t>
        </r>
        <r>
          <rPr>
            <sz val="9"/>
            <color indexed="81"/>
            <rFont val="ＭＳ Ｐゴシック"/>
            <family val="3"/>
            <charset val="128"/>
          </rPr>
          <t xml:space="preserve">
レート 110
</t>
        </r>
      </text>
    </comment>
    <comment ref="K320" authorId="1" shapeId="0" xr:uid="{2304277C-E70C-4019-A8B6-A14E25DACA56}">
      <text>
        <r>
          <rPr>
            <b/>
            <sz val="9"/>
            <color indexed="81"/>
            <rFont val="ＭＳ Ｐゴシック"/>
            <family val="3"/>
            <charset val="128"/>
          </rPr>
          <t>chiba:</t>
        </r>
        <r>
          <rPr>
            <sz val="9"/>
            <color indexed="81"/>
            <rFont val="ＭＳ Ｐゴシック"/>
            <family val="3"/>
            <charset val="128"/>
          </rPr>
          <t xml:space="preserve">
Blackに合わせて計算
レート 120
</t>
        </r>
      </text>
    </comment>
    <comment ref="K323" authorId="1" shapeId="0" xr:uid="{6B22D3D7-F0FD-4CDC-AFAC-B654B295584B}">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24" authorId="1" shapeId="0" xr:uid="{39C0CADD-3343-413B-A8B3-E0D31EB4B708}">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25" authorId="1" shapeId="0" xr:uid="{47B7F8BB-9106-4D4F-9D90-06CA4B6A7A35}">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26" authorId="1" shapeId="0" xr:uid="{F588025E-0878-438A-9B87-527C2CD4859E}">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57" authorId="1" shapeId="0" xr:uid="{FC0E6707-B245-4A0B-891F-83CD31D9CE0C}">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K358" authorId="1" shapeId="0" xr:uid="{0E5C42DD-C6D4-4742-B739-EBC80DF70441}">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K361" authorId="1" shapeId="0" xr:uid="{B90DAA1A-CFA2-476B-BC2D-1891BE537603}">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62" authorId="1" shapeId="0" xr:uid="{FF28BDA8-603F-4E5B-987D-09BCDE76B8A0}">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64" authorId="1" shapeId="0" xr:uid="{2A5FFD3B-9FD7-433F-A30A-F0EA68329225}">
      <text>
        <r>
          <rPr>
            <b/>
            <sz val="9"/>
            <color indexed="81"/>
            <rFont val="ＭＳ Ｐゴシック"/>
            <family val="3"/>
            <charset val="128"/>
          </rPr>
          <t xml:space="preserve">chiba:
染色込み単価に合わせて計算
€ = ￥115
 </t>
        </r>
        <r>
          <rPr>
            <sz val="9"/>
            <color indexed="81"/>
            <rFont val="ＭＳ Ｐゴシック"/>
            <family val="3"/>
            <charset val="128"/>
          </rPr>
          <t xml:space="preserve">
</t>
        </r>
      </text>
    </comment>
    <comment ref="K367" authorId="1" shapeId="0" xr:uid="{408ECB55-DE77-433C-A997-137712084FC8}">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K368" authorId="1" shapeId="0" xr:uid="{218BB924-44E1-4324-AD73-DE3505D83C67}">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K369" authorId="1" shapeId="0" xr:uid="{790D80B9-5B77-4D4B-A2AE-F4CAD9B70D18}">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K370" authorId="1" shapeId="0" xr:uid="{A88428D0-6C16-417C-A006-699F432D179D}">
      <text>
        <r>
          <rPr>
            <b/>
            <sz val="9"/>
            <color indexed="81"/>
            <rFont val="ＭＳ Ｐゴシック"/>
            <family val="3"/>
            <charset val="128"/>
          </rPr>
          <t xml:space="preserve">chiba:
染色込み単価に合わせて計算
</t>
        </r>
        <r>
          <rPr>
            <b/>
            <sz val="9"/>
            <color indexed="81"/>
            <rFont val="ＭＳ Ｐゴシック"/>
            <family val="3"/>
            <charset val="128"/>
          </rPr>
          <t>€</t>
        </r>
        <r>
          <rPr>
            <b/>
            <sz val="9"/>
            <color indexed="81"/>
            <rFont val="ＭＳ Ｐゴシック"/>
            <family val="3"/>
            <charset val="128"/>
          </rPr>
          <t xml:space="preserve"> = ￥115</t>
        </r>
        <r>
          <rPr>
            <sz val="9"/>
            <color indexed="81"/>
            <rFont val="ＭＳ Ｐゴシック"/>
            <family val="3"/>
            <charset val="128"/>
          </rPr>
          <t xml:space="preserve">
</t>
        </r>
      </text>
    </comment>
    <comment ref="K372" authorId="1" shapeId="0" xr:uid="{DE1CB6C2-E8E2-45E5-B247-ABE788BF1CA5}">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73" authorId="1" shapeId="0" xr:uid="{85624D66-0BCD-4088-873C-042407F8AF99}">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74" authorId="1" shapeId="0" xr:uid="{EA675319-2A91-4A20-B364-42C5121334A9}">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75" authorId="1" shapeId="0" xr:uid="{30B2BF61-4A2D-4572-8BF6-4E5376B1BFF5}">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78" authorId="1" shapeId="0" xr:uid="{D66C2F0F-03C0-4A9F-B3FB-C45E7709A11B}">
      <text>
        <r>
          <rPr>
            <b/>
            <sz val="9"/>
            <color indexed="81"/>
            <rFont val="ＭＳ Ｐゴシック"/>
            <family val="3"/>
            <charset val="128"/>
          </rPr>
          <t>chiba:</t>
        </r>
        <r>
          <rPr>
            <sz val="9"/>
            <color indexed="81"/>
            <rFont val="ＭＳ Ｐゴシック"/>
            <family val="3"/>
            <charset val="128"/>
          </rPr>
          <t xml:space="preserve">
Black単価に合わせて計算
€ = ￥115</t>
        </r>
      </text>
    </comment>
    <comment ref="K379" authorId="1" shapeId="0" xr:uid="{C3E188AC-654B-4033-89EE-6920C73C84A5}">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80" authorId="1" shapeId="0" xr:uid="{A301D9F6-5494-4865-B2BC-0E0E1277A08C}">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83" authorId="1" shapeId="0" xr:uid="{BC19BEAB-04B4-409D-B9EB-2184EC6A5E39}">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86" authorId="1" shapeId="0" xr:uid="{9CECD50C-B208-4919-B5D9-97A37E4AB036}">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87" authorId="1" shapeId="0" xr:uid="{99F57C4C-5071-4FFA-BA36-0016AF5FCB35}">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88" authorId="1" shapeId="0" xr:uid="{491186E0-9280-4E5D-B2EC-6FEE56B64783}">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91" authorId="1" shapeId="0" xr:uid="{BC8D7918-88CF-408A-BE1A-E51C5A2CB306}">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394" authorId="1" shapeId="0" xr:uid="{CC60F98C-D1DD-4EE6-AB3F-6453B9E4DE14}">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95" authorId="1" shapeId="0" xr:uid="{C0AC62FE-6735-42A3-B634-06FC14E76D0F}">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96" authorId="1" shapeId="0" xr:uid="{136CBAF2-963D-494C-BFCD-0EC923BF6AD0}">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97" authorId="1" shapeId="0" xr:uid="{14827EBE-41DC-46AB-8F0D-9A18710646FF}">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398" authorId="1" shapeId="0" xr:uid="{C1D2BAFC-880D-4BC2-B375-5351D92C00F2}">
      <text>
        <r>
          <rPr>
            <b/>
            <sz val="9"/>
            <color indexed="81"/>
            <rFont val="ＭＳ Ｐゴシック"/>
            <family val="3"/>
            <charset val="128"/>
          </rPr>
          <t>chiba:</t>
        </r>
        <r>
          <rPr>
            <sz val="9"/>
            <color indexed="81"/>
            <rFont val="ＭＳ Ｐゴシック"/>
            <family val="3"/>
            <charset val="128"/>
          </rPr>
          <t xml:space="preserve">
Cymbeline &gt;&gt;&gt; Handling fee for below € 1000, それ以上は大阪負担</t>
        </r>
      </text>
    </comment>
    <comment ref="K399" authorId="1" shapeId="0" xr:uid="{B36FCE58-8471-49CE-8852-01D7DA31BF97}">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401" authorId="1" shapeId="0" xr:uid="{54551380-25BF-4439-B9FB-6DF1AF0B296E}">
      <text>
        <r>
          <rPr>
            <b/>
            <sz val="9"/>
            <color indexed="81"/>
            <rFont val="ＭＳ Ｐゴシック"/>
            <family val="3"/>
            <charset val="128"/>
          </rPr>
          <t xml:space="preserve">chiba:
染色込み単価に合わせて計算
€ = ￥115
</t>
        </r>
        <r>
          <rPr>
            <sz val="9"/>
            <color indexed="81"/>
            <rFont val="ＭＳ Ｐゴシック"/>
            <family val="3"/>
            <charset val="128"/>
          </rPr>
          <t xml:space="preserve">
</t>
        </r>
      </text>
    </comment>
    <comment ref="K402" authorId="1" shapeId="0" xr:uid="{15C53900-ED3C-47EE-B042-48425EBEC9F1}">
      <text>
        <r>
          <rPr>
            <b/>
            <sz val="9"/>
            <color indexed="81"/>
            <rFont val="ＭＳ Ｐゴシック"/>
            <family val="3"/>
            <charset val="128"/>
          </rPr>
          <t xml:space="preserve">chiba:
染色込み単価に合わせて計算
€ = ￥110
</t>
        </r>
        <r>
          <rPr>
            <sz val="9"/>
            <color indexed="81"/>
            <rFont val="ＭＳ Ｐゴシック"/>
            <family val="3"/>
            <charset val="128"/>
          </rPr>
          <t xml:space="preserve">
</t>
        </r>
      </text>
    </comment>
    <comment ref="K403" authorId="1" shapeId="0" xr:uid="{F0D0BD3F-125B-4632-A16D-0A4E5AD42E22}">
      <text>
        <r>
          <rPr>
            <b/>
            <sz val="9"/>
            <color indexed="81"/>
            <rFont val="ＭＳ Ｐゴシック"/>
            <family val="3"/>
            <charset val="128"/>
          </rPr>
          <t xml:space="preserve">chiba:
染色込み単価に合わせて計算
€ = ￥110
</t>
        </r>
        <r>
          <rPr>
            <sz val="9"/>
            <color indexed="81"/>
            <rFont val="ＭＳ Ｐゴシック"/>
            <family val="3"/>
            <charset val="128"/>
          </rPr>
          <t xml:space="preserve">
</t>
        </r>
      </text>
    </comment>
    <comment ref="K406" authorId="1" shapeId="0" xr:uid="{E2875B16-4AA7-412D-997A-8C8D31E2373A}">
      <text>
        <r>
          <rPr>
            <b/>
            <sz val="9"/>
            <color indexed="81"/>
            <rFont val="ＭＳ Ｐゴシック"/>
            <family val="3"/>
            <charset val="128"/>
          </rPr>
          <t>chiba:</t>
        </r>
        <r>
          <rPr>
            <sz val="9"/>
            <color indexed="81"/>
            <rFont val="ＭＳ Ｐゴシック"/>
            <family val="3"/>
            <charset val="128"/>
          </rPr>
          <t xml:space="preserve">
Black単価に合わせて計算
</t>
        </r>
        <r>
          <rPr>
            <sz val="9"/>
            <color indexed="81"/>
            <rFont val="ＭＳ Ｐゴシック"/>
            <family val="3"/>
            <charset val="128"/>
          </rPr>
          <t>€</t>
        </r>
        <r>
          <rPr>
            <sz val="9"/>
            <color indexed="81"/>
            <rFont val="ＭＳ Ｐゴシック"/>
            <family val="3"/>
            <charset val="128"/>
          </rPr>
          <t xml:space="preserve"> = ￥115</t>
        </r>
      </text>
    </comment>
    <comment ref="K407" authorId="1" shapeId="0" xr:uid="{F938051A-01B2-405B-9B9F-8BA3F01E77C6}">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410" authorId="1" shapeId="0" xr:uid="{593191F9-4479-4A21-AE4E-A1314FAAA567}">
      <text>
        <r>
          <rPr>
            <b/>
            <sz val="9"/>
            <color indexed="81"/>
            <rFont val="ＭＳ Ｐゴシック"/>
            <family val="3"/>
            <charset val="128"/>
          </rPr>
          <t>chiba:</t>
        </r>
        <r>
          <rPr>
            <sz val="9"/>
            <color indexed="81"/>
            <rFont val="ＭＳ Ｐゴシック"/>
            <family val="3"/>
            <charset val="128"/>
          </rPr>
          <t xml:space="preserve">
Black単価に合わせて計算
€ = ￥110</t>
        </r>
      </text>
    </comment>
    <comment ref="K411" authorId="1" shapeId="0" xr:uid="{311060A2-2677-4006-930B-07B992496A97}">
      <text>
        <r>
          <rPr>
            <b/>
            <sz val="9"/>
            <color indexed="81"/>
            <rFont val="ＭＳ Ｐゴシック"/>
            <family val="3"/>
            <charset val="128"/>
          </rPr>
          <t>chiba:</t>
        </r>
        <r>
          <rPr>
            <sz val="9"/>
            <color indexed="81"/>
            <rFont val="ＭＳ Ｐゴシック"/>
            <family val="3"/>
            <charset val="128"/>
          </rPr>
          <t xml:space="preserve">
Black単価に合わせて計算
€ = ￥110</t>
        </r>
      </text>
    </comment>
    <comment ref="K414" authorId="1" shapeId="0" xr:uid="{DF9BB2E5-5E3A-4905-8C98-E8599E3DFD85}">
      <text>
        <r>
          <rPr>
            <b/>
            <sz val="9"/>
            <color indexed="81"/>
            <rFont val="ＭＳ Ｐゴシック"/>
            <family val="3"/>
            <charset val="128"/>
          </rPr>
          <t>chiba:</t>
        </r>
        <r>
          <rPr>
            <sz val="9"/>
            <color indexed="81"/>
            <rFont val="ＭＳ Ｐゴシック"/>
            <family val="3"/>
            <charset val="128"/>
          </rPr>
          <t xml:space="preserve">
</t>
        </r>
        <r>
          <rPr>
            <sz val="9"/>
            <color indexed="81"/>
            <rFont val="ＭＳ Ｐゴシック"/>
            <family val="3"/>
            <charset val="128"/>
          </rPr>
          <t>€</t>
        </r>
        <r>
          <rPr>
            <sz val="9"/>
            <color indexed="81"/>
            <rFont val="ＭＳ Ｐゴシック"/>
            <family val="3"/>
            <charset val="128"/>
          </rPr>
          <t xml:space="preserve"> = ￥115
特別単価 88 + Dye 30 + テスト代6/m = 124÷0.75÷115= </t>
        </r>
        <r>
          <rPr>
            <sz val="9"/>
            <color indexed="81"/>
            <rFont val="ＭＳ Ｐゴシック"/>
            <family val="3"/>
            <charset val="128"/>
          </rPr>
          <t>€</t>
        </r>
        <r>
          <rPr>
            <sz val="9"/>
            <color indexed="81"/>
            <rFont val="ＭＳ Ｐゴシック"/>
            <family val="3"/>
            <charset val="128"/>
          </rPr>
          <t>1.45/m</t>
        </r>
      </text>
    </comment>
    <comment ref="K415" authorId="1" shapeId="0" xr:uid="{11840011-2B90-43D1-8188-81214A89CA13}">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K416" authorId="1" shapeId="0" xr:uid="{849E5C61-7262-4F08-9A7F-E59BC8A8A223}">
      <text>
        <r>
          <rPr>
            <b/>
            <sz val="9"/>
            <color indexed="81"/>
            <rFont val="ＭＳ Ｐゴシック"/>
            <family val="3"/>
            <charset val="128"/>
          </rPr>
          <t>chiba:</t>
        </r>
        <r>
          <rPr>
            <sz val="9"/>
            <color indexed="81"/>
            <rFont val="ＭＳ Ｐゴシック"/>
            <family val="3"/>
            <charset val="128"/>
          </rPr>
          <t xml:space="preserve">
</t>
        </r>
        <r>
          <rPr>
            <sz val="9"/>
            <color indexed="81"/>
            <rFont val="ＭＳ Ｐゴシック"/>
            <family val="3"/>
            <charset val="128"/>
          </rPr>
          <t>€</t>
        </r>
        <r>
          <rPr>
            <sz val="9"/>
            <color indexed="81"/>
            <rFont val="ＭＳ Ｐゴシック"/>
            <family val="3"/>
            <charset val="128"/>
          </rPr>
          <t xml:space="preserve"> = ￥115
特別単価 88 + Dye 30 + テスト代6/m = 124÷0.75÷115= </t>
        </r>
        <r>
          <rPr>
            <sz val="9"/>
            <color indexed="81"/>
            <rFont val="ＭＳ Ｐゴシック"/>
            <family val="3"/>
            <charset val="128"/>
          </rPr>
          <t>€</t>
        </r>
        <r>
          <rPr>
            <sz val="9"/>
            <color indexed="81"/>
            <rFont val="ＭＳ Ｐゴシック"/>
            <family val="3"/>
            <charset val="128"/>
          </rPr>
          <t>1.45/m</t>
        </r>
      </text>
    </comment>
    <comment ref="K417" authorId="1" shapeId="0" xr:uid="{B04CBFAB-CE8E-413F-957E-151EFD2BB4AB}">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K418" authorId="1" shapeId="0" xr:uid="{7A107633-C48C-4CBB-BFF7-E6FA795C9742}">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19" authorId="1" shapeId="0" xr:uid="{738AAE01-E98C-43B9-AD03-8B515BCA06D9}">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20" authorId="1" shapeId="0" xr:uid="{BB470F9E-1B70-4A73-9D79-20F176219B54}">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21" authorId="1" shapeId="0" xr:uid="{6C1C71CD-EFEC-4669-9FC8-F5808067EB5A}">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22" authorId="1" shapeId="0" xr:uid="{5DFF1470-60D7-40BD-A184-F72D4141431F}">
      <text>
        <r>
          <rPr>
            <b/>
            <sz val="9"/>
            <color indexed="81"/>
            <rFont val="ＭＳ Ｐゴシック"/>
            <family val="3"/>
            <charset val="128"/>
          </rPr>
          <t>chiba:</t>
        </r>
        <r>
          <rPr>
            <sz val="9"/>
            <color indexed="81"/>
            <rFont val="ＭＳ Ｐゴシック"/>
            <family val="3"/>
            <charset val="128"/>
          </rPr>
          <t xml:space="preserve">
</t>
        </r>
        <r>
          <rPr>
            <sz val="9"/>
            <color indexed="81"/>
            <rFont val="ＭＳ Ｐゴシック"/>
            <family val="3"/>
            <charset val="128"/>
          </rPr>
          <t>€</t>
        </r>
        <r>
          <rPr>
            <sz val="9"/>
            <color indexed="81"/>
            <rFont val="ＭＳ Ｐゴシック"/>
            <family val="3"/>
            <charset val="128"/>
          </rPr>
          <t xml:space="preserve"> = ￥115
特別単価 92 + Dye 30 + テスト代4/m = 126÷0.7÷115= </t>
        </r>
        <r>
          <rPr>
            <sz val="9"/>
            <color indexed="81"/>
            <rFont val="ＭＳ Ｐゴシック"/>
            <family val="3"/>
            <charset val="128"/>
          </rPr>
          <t>€</t>
        </r>
        <r>
          <rPr>
            <sz val="9"/>
            <color indexed="81"/>
            <rFont val="ＭＳ Ｐゴシック"/>
            <family val="3"/>
            <charset val="128"/>
          </rPr>
          <t>1.57/m</t>
        </r>
      </text>
    </comment>
    <comment ref="K423" authorId="1" shapeId="0" xr:uid="{279A3DFA-EA58-4BB4-A840-A0EF8B451D45}">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25" authorId="1" shapeId="0" xr:uid="{EFC6BC6A-E63B-48B2-AF39-F0358449D3B0}">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K426" authorId="1" shapeId="0" xr:uid="{1B7E4C56-0EEB-47FD-B5AF-F378B1C47482}">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K427" authorId="1" shapeId="0" xr:uid="{634749D7-3253-4D64-A22F-296401E58DDE}">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K428" authorId="1" shapeId="0" xr:uid="{4C074BE8-E827-42EE-AC54-1FBDBF25630A}">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29" authorId="1" shapeId="0" xr:uid="{63A5134D-8CDB-41DE-89CC-6F46D0021CBE}">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30" authorId="1" shapeId="0" xr:uid="{4E2D36EB-3F1C-4B74-AC85-1DA82A6D7C13}">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K431" authorId="1" shapeId="0" xr:uid="{AF46B575-573F-4863-BBBB-CC09AE177ECF}">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32" authorId="1" shapeId="0" xr:uid="{7D7DF543-33CE-474E-A51D-28EFF51A714D}">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434" authorId="1" shapeId="0" xr:uid="{CEA2C66A-ACFE-4948-A91D-E8021435175E}">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435" authorId="1" shapeId="0" xr:uid="{68116482-0C4F-4F83-AE86-2674F477AB4E}">
      <text>
        <r>
          <rPr>
            <b/>
            <sz val="9"/>
            <color indexed="81"/>
            <rFont val="ＭＳ Ｐゴシック"/>
            <family val="3"/>
            <charset val="128"/>
          </rPr>
          <t>chiba:</t>
        </r>
        <r>
          <rPr>
            <sz val="9"/>
            <color indexed="81"/>
            <rFont val="ＭＳ Ｐゴシック"/>
            <family val="3"/>
            <charset val="128"/>
          </rPr>
          <t xml:space="preserve">
Black単価に合わせて計算
</t>
        </r>
        <r>
          <rPr>
            <sz val="9"/>
            <color indexed="81"/>
            <rFont val="ＭＳ Ｐゴシック"/>
            <family val="3"/>
            <charset val="128"/>
          </rPr>
          <t>€</t>
        </r>
        <r>
          <rPr>
            <sz val="9"/>
            <color indexed="81"/>
            <rFont val="ＭＳ Ｐゴシック"/>
            <family val="3"/>
            <charset val="128"/>
          </rPr>
          <t xml:space="preserve"> = ￥115</t>
        </r>
      </text>
    </comment>
    <comment ref="K442" authorId="1" shapeId="0" xr:uid="{8D1BAAD1-8A67-4E4E-AC85-6896E0326DE6}">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K445" authorId="1" shapeId="0" xr:uid="{3BA51891-24AF-4498-A13D-4A139AB3A6B1}">
      <text>
        <r>
          <rPr>
            <b/>
            <sz val="9"/>
            <color indexed="81"/>
            <rFont val="MS P ゴシック"/>
            <family val="3"/>
            <charset val="128"/>
          </rPr>
          <t>chiba:</t>
        </r>
        <r>
          <rPr>
            <sz val="9"/>
            <color indexed="81"/>
            <rFont val="MS P ゴシック"/>
            <family val="3"/>
            <charset val="128"/>
          </rPr>
          <t xml:space="preserve">
レート110
</t>
        </r>
      </text>
    </comment>
    <comment ref="K447" authorId="1" shapeId="0" xr:uid="{0279A5A6-565D-4A6E-B03B-36109092D807}">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K448" authorId="1" shapeId="0" xr:uid="{A7F08222-ADDA-40CE-9F17-22B351124870}">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K449" authorId="1" shapeId="0" xr:uid="{C67D164B-6BD2-4954-AF40-53EBCAA94CAE}">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K451" authorId="1" shapeId="0" xr:uid="{E05492A9-9A15-426C-962A-95813537E956}">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K453" authorId="1" shapeId="0" xr:uid="{60EB3BDA-09AF-4E61-888E-B97AF432F4DB}">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K456" authorId="0" shapeId="0" xr:uid="{A85B75CC-50C4-48C7-B467-DB8FA39144BD}">
      <text>
        <r>
          <rPr>
            <b/>
            <sz val="9"/>
            <color indexed="81"/>
            <rFont val="MS P ゴシック"/>
            <family val="3"/>
            <charset val="128"/>
          </rPr>
          <t>sunfashion:</t>
        </r>
        <r>
          <rPr>
            <sz val="9"/>
            <color indexed="81"/>
            <rFont val="MS P ゴシック"/>
            <family val="3"/>
            <charset val="128"/>
          </rPr>
          <t xml:space="preserve">
オリジナル単価に合わせて計算
</t>
        </r>
        <r>
          <rPr>
            <sz val="9"/>
            <color indexed="81"/>
            <rFont val="ＭＳ Ｐゴシック"/>
            <family val="3"/>
            <charset val="128"/>
          </rPr>
          <t>€</t>
        </r>
        <r>
          <rPr>
            <sz val="9"/>
            <color indexed="81"/>
            <rFont val="MS P ゴシック"/>
            <family val="3"/>
            <charset val="128"/>
          </rPr>
          <t xml:space="preserve">=110 </t>
        </r>
      </text>
    </comment>
    <comment ref="K460" authorId="1" shapeId="0" xr:uid="{AC242065-70C2-481D-A140-5AC9DB9B9CAA}">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K463" authorId="1" shapeId="0" xr:uid="{BA7258AF-6241-425F-9F7A-1F54D4221673}">
      <text>
        <r>
          <rPr>
            <b/>
            <sz val="9"/>
            <color indexed="81"/>
            <rFont val="MS P ゴシック"/>
            <family val="3"/>
            <charset val="128"/>
          </rPr>
          <t>chiba:</t>
        </r>
        <r>
          <rPr>
            <sz val="9"/>
            <color indexed="81"/>
            <rFont val="MS P ゴシック"/>
            <family val="3"/>
            <charset val="128"/>
          </rPr>
          <t xml:space="preserve">
レート€ 1 = 110
</t>
        </r>
      </text>
    </comment>
    <comment ref="K464" authorId="1" shapeId="0" xr:uid="{0DE4319A-F877-4CA2-BF2C-A62489BC1D90}">
      <text>
        <r>
          <rPr>
            <b/>
            <sz val="9"/>
            <color indexed="81"/>
            <rFont val="MS P ゴシック"/>
            <family val="3"/>
            <charset val="128"/>
          </rPr>
          <t>chiba:</t>
        </r>
        <r>
          <rPr>
            <sz val="9"/>
            <color indexed="81"/>
            <rFont val="MS P ゴシック"/>
            <family val="3"/>
            <charset val="128"/>
          </rPr>
          <t xml:space="preserve">
レート€ 1 = 110
</t>
        </r>
      </text>
    </comment>
    <comment ref="K465" authorId="1" shapeId="0" xr:uid="{84AAE1A8-232C-4649-9B12-1F9DABA4ECA7}">
      <text>
        <r>
          <rPr>
            <b/>
            <sz val="9"/>
            <color indexed="81"/>
            <rFont val="MS P ゴシック"/>
            <family val="3"/>
            <charset val="128"/>
          </rPr>
          <t>chiba:</t>
        </r>
        <r>
          <rPr>
            <sz val="9"/>
            <color indexed="81"/>
            <rFont val="MS P ゴシック"/>
            <family val="3"/>
            <charset val="128"/>
          </rPr>
          <t xml:space="preserve">
レート€ 1 = 110
</t>
        </r>
      </text>
    </comment>
    <comment ref="K475" authorId="1" shapeId="0" xr:uid="{93DDC5D9-CEB2-465D-A04E-CB623FEEE576}">
      <text>
        <r>
          <rPr>
            <b/>
            <sz val="9"/>
            <color indexed="81"/>
            <rFont val="MS P ゴシック"/>
            <family val="3"/>
            <charset val="128"/>
          </rPr>
          <t>chiba:旧単価で計算</t>
        </r>
      </text>
    </comment>
    <comment ref="K485" authorId="1" shapeId="0" xr:uid="{8A2CF6AB-C66B-49E4-B691-BE298F6AEEE0}">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K486" authorId="1" shapeId="0" xr:uid="{C4257A5D-1DA1-4A46-8584-160D51415214}">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K488" authorId="1" shapeId="0" xr:uid="{D72A96DA-189F-4C89-9C24-0D62BB7C92C2}">
      <text>
        <r>
          <rPr>
            <b/>
            <sz val="9"/>
            <color indexed="81"/>
            <rFont val="ＭＳ Ｐゴシック"/>
            <family val="3"/>
            <charset val="128"/>
          </rPr>
          <t>chiba:
染色込み単価に合わせて計算
€ = ￥110</t>
        </r>
        <r>
          <rPr>
            <sz val="9"/>
            <color indexed="81"/>
            <rFont val="ＭＳ Ｐゴシック"/>
            <family val="3"/>
            <charset val="128"/>
          </rPr>
          <t xml:space="preserve">
</t>
        </r>
      </text>
    </comment>
    <comment ref="E491" authorId="1" shapeId="0" xr:uid="{CCBA4D30-BF6F-483B-8289-DAF5EAD11FA1}">
      <text>
        <r>
          <rPr>
            <b/>
            <sz val="9"/>
            <color indexed="81"/>
            <rFont val="MS P ゴシック"/>
            <family val="3"/>
            <charset val="128"/>
          </rPr>
          <t>chiba:</t>
        </r>
        <r>
          <rPr>
            <sz val="9"/>
            <color indexed="81"/>
            <rFont val="MS P ゴシック"/>
            <family val="3"/>
            <charset val="128"/>
          </rPr>
          <t xml:space="preserve">
FWL-21908 &amp; FWL-21909 MIX </t>
        </r>
      </text>
    </comment>
    <comment ref="K491" authorId="1" shapeId="0" xr:uid="{028CC3F5-21A9-4C1F-AD7E-C279B0E87167}">
      <text>
        <r>
          <rPr>
            <b/>
            <sz val="9"/>
            <color indexed="81"/>
            <rFont val="ＭＳ Ｐゴシック"/>
            <family val="3"/>
            <charset val="128"/>
          </rPr>
          <t>chiba:
染色込み単価に合わせて計算
€ = ￥110</t>
        </r>
        <r>
          <rPr>
            <sz val="9"/>
            <color indexed="81"/>
            <rFont val="ＭＳ Ｐゴシック"/>
            <family val="3"/>
            <charset val="128"/>
          </rPr>
          <t xml:space="preserve">
</t>
        </r>
      </text>
    </comment>
    <comment ref="K495" authorId="1" shapeId="0" xr:uid="{772C92CF-2EB7-41FE-9349-9E9B96E370CC}">
      <text>
        <r>
          <rPr>
            <b/>
            <sz val="9"/>
            <color indexed="81"/>
            <rFont val="ＭＳ Ｐゴシック"/>
            <family val="3"/>
            <charset val="128"/>
          </rPr>
          <t>chiba:
染色込み単価に合わせて計算
€ = ￥110</t>
        </r>
        <r>
          <rPr>
            <sz val="9"/>
            <color indexed="81"/>
            <rFont val="ＭＳ Ｐゴシック"/>
            <family val="3"/>
            <charset val="128"/>
          </rPr>
          <t xml:space="preserve">
</t>
        </r>
      </text>
    </comment>
    <comment ref="K498" authorId="1" shapeId="0" xr:uid="{27BEFC4E-D2E9-4972-9B8C-C2E59B818850}">
      <text>
        <r>
          <rPr>
            <b/>
            <sz val="9"/>
            <color indexed="81"/>
            <rFont val="ＭＳ Ｐゴシック"/>
            <family val="3"/>
            <charset val="128"/>
          </rPr>
          <t>chiba:
染色込み単価に合わせて計算
€ = ￥110</t>
        </r>
        <r>
          <rPr>
            <sz val="9"/>
            <color indexed="81"/>
            <rFont val="ＭＳ Ｐゴシック"/>
            <family val="3"/>
            <charset val="128"/>
          </rPr>
          <t xml:space="preserve">
</t>
        </r>
      </text>
    </comment>
    <comment ref="K501" authorId="1" shapeId="0" xr:uid="{2E2169E3-CF51-4EEA-8A99-FC2DBF50DF87}">
      <text>
        <r>
          <rPr>
            <b/>
            <sz val="9"/>
            <color indexed="81"/>
            <rFont val="MS P ゴシック"/>
            <family val="3"/>
            <charset val="128"/>
          </rPr>
          <t>chiba:</t>
        </r>
        <r>
          <rPr>
            <sz val="9"/>
            <color indexed="81"/>
            <rFont val="MS P ゴシック"/>
            <family val="3"/>
            <charset val="128"/>
          </rPr>
          <t xml:space="preserve">
レート€ 1 = 110
</t>
        </r>
      </text>
    </comment>
    <comment ref="K504" authorId="1" shapeId="0" xr:uid="{CF2F3126-E8FC-478E-B2A7-039EF2C65016}">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K505" authorId="1" shapeId="0" xr:uid="{C7F6E061-C586-4D6E-A0DA-FED22F455C81}">
      <text>
        <r>
          <rPr>
            <b/>
            <sz val="9"/>
            <color indexed="81"/>
            <rFont val="ＭＳ Ｐゴシック"/>
            <family val="3"/>
            <charset val="128"/>
          </rPr>
          <t>chiba:
染色込み単価に合わせて計算 25%
€ = ￥110</t>
        </r>
        <r>
          <rPr>
            <sz val="9"/>
            <color indexed="81"/>
            <rFont val="ＭＳ Ｐゴシック"/>
            <family val="3"/>
            <charset val="128"/>
          </rPr>
          <t xml:space="preserve">
</t>
        </r>
      </text>
    </comment>
    <comment ref="K508" authorId="1" shapeId="0" xr:uid="{F92BD731-9D4F-42ED-A008-8225F1986BC4}">
      <text>
        <r>
          <rPr>
            <b/>
            <sz val="9"/>
            <color indexed="81"/>
            <rFont val="ＭＳ Ｐゴシック"/>
            <family val="3"/>
            <charset val="128"/>
          </rPr>
          <t>chiba:
染色込み単価に合わせて計算
€ = ￥110</t>
        </r>
        <r>
          <rPr>
            <sz val="9"/>
            <color indexed="81"/>
            <rFont val="ＭＳ Ｐゴシック"/>
            <family val="3"/>
            <charset val="128"/>
          </rPr>
          <t xml:space="preserve">
</t>
        </r>
      </text>
    </comment>
    <comment ref="K511" authorId="1" shapeId="0" xr:uid="{3917B946-425E-43E4-B3D5-91034F49FF19}">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K512" authorId="1" shapeId="0" xr:uid="{453FBB50-27F6-4730-BBD9-399768ECE48C}">
      <text>
        <r>
          <rPr>
            <b/>
            <sz val="9"/>
            <color indexed="81"/>
            <rFont val="ＭＳ Ｐゴシック"/>
            <family val="3"/>
            <charset val="128"/>
          </rPr>
          <t>chiba:
染色込み単価に合わせて計算 25%
€ = ￥110</t>
        </r>
        <r>
          <rPr>
            <sz val="9"/>
            <color indexed="81"/>
            <rFont val="ＭＳ Ｐゴシック"/>
            <family val="3"/>
            <charset val="128"/>
          </rPr>
          <t xml:space="preserve">
</t>
        </r>
      </text>
    </comment>
    <comment ref="K515" authorId="1" shapeId="0" xr:uid="{EC3149F1-8CD6-4851-A561-A1CB97248066}">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516" authorId="1" shapeId="0" xr:uid="{9CBD65C2-A53C-4ECB-A46B-AAFD1D247262}">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K518" authorId="1" shapeId="0" xr:uid="{650A4773-DAA8-4B32-930F-0848F33463CB}">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K519" authorId="1" shapeId="0" xr:uid="{9A3018FE-5409-4102-B335-0CFE9944A931}">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20" authorId="1" shapeId="0" xr:uid="{76F7AB40-8C25-4CBC-BFE9-D4EAAF2BC034}">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K523" authorId="1" shapeId="0" xr:uid="{BDF38229-4C60-4901-B068-9CB4ACEB01A7}">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24" authorId="1" shapeId="0" xr:uid="{C1FF8D57-F395-45CE-B636-0022370A9BB7}">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27" authorId="1" shapeId="0" xr:uid="{8CB9397D-2CB2-45C6-8302-783CB2F0A9C9}">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28" authorId="1" shapeId="0" xr:uid="{53BDD212-77B3-4913-A26B-0496CA7E86A4}">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29" authorId="1" shapeId="0" xr:uid="{A5D210E4-0515-40AA-B056-9EE6E88E4FDA}">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35" authorId="0" shapeId="0" xr:uid="{3D627BD5-8597-4DE1-83A3-4071DBBEF5D9}">
      <text>
        <r>
          <rPr>
            <b/>
            <sz val="9"/>
            <color indexed="81"/>
            <rFont val="MS P ゴシック"/>
            <family val="3"/>
            <charset val="128"/>
          </rPr>
          <t>sunfashion:</t>
        </r>
        <r>
          <rPr>
            <sz val="9"/>
            <color indexed="81"/>
            <rFont val="MS P ゴシック"/>
            <family val="3"/>
            <charset val="128"/>
          </rPr>
          <t xml:space="preserve">
25% 
レート110円
</t>
        </r>
      </text>
    </comment>
    <comment ref="K536" authorId="0" shapeId="0" xr:uid="{F4F05165-90FE-4518-9E10-D80805887120}">
      <text>
        <r>
          <rPr>
            <b/>
            <sz val="9"/>
            <color indexed="81"/>
            <rFont val="MS P ゴシック"/>
            <family val="3"/>
            <charset val="128"/>
          </rPr>
          <t>sunfashion:</t>
        </r>
        <r>
          <rPr>
            <sz val="9"/>
            <color indexed="81"/>
            <rFont val="MS P ゴシック"/>
            <family val="3"/>
            <charset val="128"/>
          </rPr>
          <t xml:space="preserve">
25% 
レート110円
</t>
        </r>
      </text>
    </comment>
    <comment ref="K539" authorId="1" shapeId="0" xr:uid="{FDC93886-8619-4A0D-ACB4-6E5479847854}">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540" authorId="1" shapeId="0" xr:uid="{1E6A5B52-0272-4B86-8000-0013447F7AD7}">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K542" authorId="1" shapeId="0" xr:uid="{DD43D708-4336-4F8B-AB69-C2315689F314}">
      <text>
        <r>
          <rPr>
            <b/>
            <sz val="9"/>
            <color indexed="81"/>
            <rFont val="MS P ゴシック"/>
            <family val="3"/>
            <charset val="128"/>
          </rPr>
          <t xml:space="preserve">chiba:EXW Price : USD 3.42/m  </t>
        </r>
        <r>
          <rPr>
            <sz val="9"/>
            <color indexed="81"/>
            <rFont val="MS P ゴシック"/>
            <family val="3"/>
            <charset val="128"/>
          </rPr>
          <t xml:space="preserve">
CIF INDIA Price  USD 3.42/m + 1.30 = USD4.72 
</t>
        </r>
      </text>
    </comment>
    <comment ref="R542" authorId="1" shapeId="0" xr:uid="{CACB2DB1-A935-4D9A-9EA5-F2704CE37E83}">
      <text>
        <r>
          <rPr>
            <b/>
            <sz val="9"/>
            <color indexed="81"/>
            <rFont val="MS P ゴシック"/>
            <family val="3"/>
            <charset val="128"/>
          </rPr>
          <t>chiba:</t>
        </r>
        <r>
          <rPr>
            <sz val="9"/>
            <color indexed="81"/>
            <rFont val="MS P ゴシック"/>
            <family val="3"/>
            <charset val="128"/>
          </rPr>
          <t xml:space="preserve">
temperley 単価</t>
        </r>
      </text>
    </comment>
    <comment ref="K543" authorId="1" shapeId="0" xr:uid="{466BF907-A75B-4235-BC46-0F125310A443}">
      <text>
        <r>
          <rPr>
            <b/>
            <sz val="9"/>
            <color indexed="81"/>
            <rFont val="MS P ゴシック"/>
            <family val="3"/>
            <charset val="128"/>
          </rPr>
          <t xml:space="preserve">chiba:EXW Price : USD 3.20/m  </t>
        </r>
        <r>
          <rPr>
            <sz val="9"/>
            <color indexed="81"/>
            <rFont val="MS P ゴシック"/>
            <family val="3"/>
            <charset val="128"/>
          </rPr>
          <t xml:space="preserve">
CIF INDIA Price  USD 3.20/m + 1.30 = USD4.50→with shrinking finish
USD 4.00 /m →with NO Shrinking Finish 
</t>
        </r>
      </text>
    </comment>
    <comment ref="R543" authorId="1" shapeId="0" xr:uid="{A552904F-0F8C-46E2-9888-50F3D66715B2}">
      <text>
        <r>
          <rPr>
            <b/>
            <sz val="9"/>
            <color indexed="81"/>
            <rFont val="MS P ゴシック"/>
            <family val="3"/>
            <charset val="128"/>
          </rPr>
          <t>chiba:</t>
        </r>
        <r>
          <rPr>
            <sz val="9"/>
            <color indexed="81"/>
            <rFont val="MS P ゴシック"/>
            <family val="3"/>
            <charset val="128"/>
          </rPr>
          <t xml:space="preserve">
temperley 単価</t>
        </r>
      </text>
    </comment>
    <comment ref="K544" authorId="1" shapeId="0" xr:uid="{069557FB-000F-4925-A469-F0E50FB673D4}">
      <text>
        <r>
          <rPr>
            <b/>
            <sz val="9"/>
            <color indexed="81"/>
            <rFont val="MS P ゴシック"/>
            <family val="3"/>
            <charset val="128"/>
          </rPr>
          <t xml:space="preserve">chiba:EXW Price : USD 9.84/m  </t>
        </r>
        <r>
          <rPr>
            <sz val="9"/>
            <color indexed="81"/>
            <rFont val="MS P ゴシック"/>
            <family val="3"/>
            <charset val="128"/>
          </rPr>
          <t xml:space="preserve">
CIF INDIA Price  USD 9.84/m + 1.30 = USD11.14 
</t>
        </r>
      </text>
    </comment>
    <comment ref="R544" authorId="1" shapeId="0" xr:uid="{4C0D580A-A72E-4621-BCD0-2B604DA805C9}">
      <text>
        <r>
          <rPr>
            <b/>
            <sz val="9"/>
            <color indexed="81"/>
            <rFont val="MS P ゴシック"/>
            <family val="3"/>
            <charset val="128"/>
          </rPr>
          <t>chiba:</t>
        </r>
        <r>
          <rPr>
            <sz val="9"/>
            <color indexed="81"/>
            <rFont val="MS P ゴシック"/>
            <family val="3"/>
            <charset val="128"/>
          </rPr>
          <t xml:space="preserve">
temperley 単価</t>
        </r>
      </text>
    </comment>
    <comment ref="R547" authorId="1" shapeId="0" xr:uid="{BA7C9A9C-A239-4FDE-9080-0EA810CA99C8}">
      <text>
        <r>
          <rPr>
            <b/>
            <sz val="9"/>
            <color indexed="81"/>
            <rFont val="MS P ゴシック"/>
            <family val="3"/>
            <charset val="128"/>
          </rPr>
          <t>chiba:</t>
        </r>
        <r>
          <rPr>
            <sz val="9"/>
            <color indexed="81"/>
            <rFont val="MS P ゴシック"/>
            <family val="3"/>
            <charset val="128"/>
          </rPr>
          <t xml:space="preserve">
通常単価</t>
        </r>
      </text>
    </comment>
    <comment ref="K549" authorId="1" shapeId="0" xr:uid="{FD870C34-3568-42C0-9869-8B9236E3034A}">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K550" authorId="1" shapeId="0" xr:uid="{3ABFCD5D-EF9E-4A0E-9D80-1820A2B90875}">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53" authorId="1" shapeId="0" xr:uid="{38D9E5A3-6A62-4D67-B841-C5517CB1A650}">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K556" authorId="2" shapeId="0" xr:uid="{E378A1E3-B6F8-4E46-8DD9-2C32CE571ADB}">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K559" authorId="2" shapeId="0" xr:uid="{A741C3EE-9BE4-44AB-A9FD-9A248B3C93D9}">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K560" authorId="2" shapeId="0" xr:uid="{AEEAD26A-B337-4762-BA65-65B4BC78AB9E}">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K561" authorId="2" shapeId="0" xr:uid="{C33F6B04-96D6-452C-A2B1-BCFE24F44524}">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K564" authorId="1" shapeId="0" xr:uid="{34D16FDB-54C0-4A54-8896-35DCC3C22A97}">
      <text>
        <r>
          <rPr>
            <b/>
            <sz val="9"/>
            <color indexed="81"/>
            <rFont val="MS P ゴシック"/>
            <family val="3"/>
            <charset val="128"/>
          </rPr>
          <t>chiba:</t>
        </r>
        <r>
          <rPr>
            <sz val="9"/>
            <color indexed="81"/>
            <rFont val="MS P ゴシック"/>
            <family val="3"/>
            <charset val="128"/>
          </rPr>
          <t xml:space="preserve">
レート€ 1 = 110
</t>
        </r>
      </text>
    </comment>
    <comment ref="K565" authorId="1" shapeId="0" xr:uid="{97194FA3-5A86-4AFA-BBD5-FCFCED3F6278}">
      <text>
        <r>
          <rPr>
            <b/>
            <sz val="9"/>
            <color indexed="81"/>
            <rFont val="MS P ゴシック"/>
            <family val="3"/>
            <charset val="128"/>
          </rPr>
          <t>chiba:</t>
        </r>
        <r>
          <rPr>
            <sz val="9"/>
            <color indexed="81"/>
            <rFont val="MS P ゴシック"/>
            <family val="3"/>
            <charset val="128"/>
          </rPr>
          <t xml:space="preserve">
レート€ 1 = 110
</t>
        </r>
      </text>
    </comment>
    <comment ref="K568" authorId="1" shapeId="0" xr:uid="{F42D5C69-8E55-4118-8717-AAE840AA9313}">
      <text>
        <r>
          <rPr>
            <b/>
            <sz val="9"/>
            <color indexed="81"/>
            <rFont val="MS P ゴシック"/>
            <family val="3"/>
            <charset val="128"/>
          </rPr>
          <t>chiba:</t>
        </r>
        <r>
          <rPr>
            <sz val="9"/>
            <color indexed="81"/>
            <rFont val="MS P ゴシック"/>
            <family val="3"/>
            <charset val="128"/>
          </rPr>
          <t xml:space="preserve">
40%
レート110</t>
        </r>
      </text>
    </comment>
    <comment ref="K571" authorId="1" shapeId="0" xr:uid="{EB271F7B-2CC4-40C8-9B95-2CF2B7A106F9}">
      <text>
        <r>
          <rPr>
            <b/>
            <sz val="9"/>
            <color indexed="81"/>
            <rFont val="ＭＳ Ｐゴシック"/>
            <family val="3"/>
            <charset val="128"/>
          </rPr>
          <t>chiba:</t>
        </r>
        <r>
          <rPr>
            <sz val="9"/>
            <color indexed="81"/>
            <rFont val="ＭＳ Ｐゴシック"/>
            <family val="3"/>
            <charset val="128"/>
          </rPr>
          <t xml:space="preserve">
Black単価に合わせて計算
30% 
€ = ￥110</t>
        </r>
      </text>
    </comment>
    <comment ref="K572" authorId="1" shapeId="0" xr:uid="{3EBC951E-978A-4376-93F3-D2DFE1FADF53}">
      <text>
        <r>
          <rPr>
            <b/>
            <sz val="9"/>
            <color indexed="81"/>
            <rFont val="ＭＳ Ｐゴシック"/>
            <family val="3"/>
            <charset val="128"/>
          </rPr>
          <t>chiba:</t>
        </r>
        <r>
          <rPr>
            <sz val="9"/>
            <color indexed="81"/>
            <rFont val="ＭＳ Ｐゴシック"/>
            <family val="3"/>
            <charset val="128"/>
          </rPr>
          <t xml:space="preserve">
Black単価に合わせて計算
30% 
€ = ￥110</t>
        </r>
      </text>
    </comment>
    <comment ref="K573" authorId="2" shapeId="0" xr:uid="{4C8BF96D-0E78-42D4-996C-83C37953F9A8}">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K574" authorId="2" shapeId="0" xr:uid="{3C90621F-113B-4884-BA71-46BAF543BFAC}">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K577" authorId="1" shapeId="0" xr:uid="{8FD14CBC-0C86-4B8F-8A4F-12F23E690539}">
      <text>
        <r>
          <rPr>
            <b/>
            <sz val="9"/>
            <color indexed="81"/>
            <rFont val="MS P ゴシック"/>
            <family val="3"/>
            <charset val="128"/>
          </rPr>
          <t>chiba:</t>
        </r>
        <r>
          <rPr>
            <sz val="9"/>
            <color indexed="81"/>
            <rFont val="MS P ゴシック"/>
            <family val="3"/>
            <charset val="128"/>
          </rPr>
          <t xml:space="preserve">
25% 
レート 110 </t>
        </r>
      </text>
    </comment>
    <comment ref="K578" authorId="1" shapeId="0" xr:uid="{FABA86C5-8464-4203-A0C1-AC25517DD405}">
      <text>
        <r>
          <rPr>
            <b/>
            <sz val="9"/>
            <color indexed="81"/>
            <rFont val="MS P ゴシック"/>
            <family val="3"/>
            <charset val="128"/>
          </rPr>
          <t>chiba:</t>
        </r>
        <r>
          <rPr>
            <sz val="9"/>
            <color indexed="81"/>
            <rFont val="MS P ゴシック"/>
            <family val="3"/>
            <charset val="128"/>
          </rPr>
          <t xml:space="preserve">
25% 
レート 110 </t>
        </r>
      </text>
    </comment>
    <comment ref="K579" authorId="1" shapeId="0" xr:uid="{F395D96E-CAF2-42D8-97A7-2801B7E2BE99}">
      <text>
        <r>
          <rPr>
            <b/>
            <sz val="9"/>
            <color indexed="81"/>
            <rFont val="MS P ゴシック"/>
            <family val="3"/>
            <charset val="128"/>
          </rPr>
          <t>chiba:</t>
        </r>
        <r>
          <rPr>
            <sz val="9"/>
            <color indexed="81"/>
            <rFont val="MS P ゴシック"/>
            <family val="3"/>
            <charset val="128"/>
          </rPr>
          <t xml:space="preserve">
25% 
レート 110 </t>
        </r>
      </text>
    </comment>
    <comment ref="K580" authorId="1" shapeId="0" xr:uid="{9A42F09B-5524-48F0-90FF-3CA3D8BDC456}">
      <text>
        <r>
          <rPr>
            <b/>
            <sz val="9"/>
            <color indexed="81"/>
            <rFont val="MS P ゴシック"/>
            <family val="3"/>
            <charset val="128"/>
          </rPr>
          <t>chiba:</t>
        </r>
        <r>
          <rPr>
            <sz val="9"/>
            <color indexed="81"/>
            <rFont val="MS P ゴシック"/>
            <family val="3"/>
            <charset val="128"/>
          </rPr>
          <t xml:space="preserve">
25% 
レート 110 </t>
        </r>
      </text>
    </comment>
    <comment ref="K581" authorId="1" shapeId="0" xr:uid="{3BF1FB25-7DA6-4CDE-AE82-DFE79C881DE7}">
      <text>
        <r>
          <rPr>
            <b/>
            <sz val="9"/>
            <color indexed="81"/>
            <rFont val="MS P ゴシック"/>
            <family val="3"/>
            <charset val="128"/>
          </rPr>
          <t>chiba:</t>
        </r>
        <r>
          <rPr>
            <sz val="9"/>
            <color indexed="81"/>
            <rFont val="MS P ゴシック"/>
            <family val="3"/>
            <charset val="128"/>
          </rPr>
          <t xml:space="preserve">
25% 
レート 110 </t>
        </r>
      </text>
    </comment>
    <comment ref="K583" authorId="1" shapeId="0" xr:uid="{3F74BDBD-452C-4A5C-BD07-423643A6073D}">
      <text>
        <r>
          <rPr>
            <b/>
            <sz val="9"/>
            <color indexed="81"/>
            <rFont val="MS P ゴシック"/>
            <family val="3"/>
            <charset val="128"/>
          </rPr>
          <t>chiba:</t>
        </r>
        <r>
          <rPr>
            <sz val="9"/>
            <color indexed="81"/>
            <rFont val="MS P ゴシック"/>
            <family val="3"/>
            <charset val="128"/>
          </rPr>
          <t xml:space="preserve">
25% 
レート 110 </t>
        </r>
      </text>
    </comment>
    <comment ref="K585" authorId="1" shapeId="0" xr:uid="{E95E4AFE-EA40-4A9E-BEBE-56032ADF208E}">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86" authorId="1" shapeId="0" xr:uid="{4C68B408-208E-49DE-90C5-64398AB1736B}">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K587" authorId="1" shapeId="0" xr:uid="{F20F6097-E343-4D43-B4BB-0709A4FEBDB5}">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K588" authorId="1" shapeId="0" xr:uid="{D0C17850-99D3-4F56-8BA3-12A4FEC8222D}">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K591" authorId="1" shapeId="0" xr:uid="{EBDC2763-E4C9-44B3-B979-ECA9C4249FCF}">
      <text>
        <r>
          <rPr>
            <b/>
            <sz val="9"/>
            <color indexed="81"/>
            <rFont val="ＭＳ Ｐゴシック"/>
            <family val="3"/>
            <charset val="128"/>
          </rPr>
          <t xml:space="preserve">chiba:
染色込み単価に合わせて計算 30%
€ = ￥110=€3.76/m 
先方要望でUSD：
30%
USD = ￥90=USD
4.59/m
</t>
        </r>
        <r>
          <rPr>
            <sz val="9"/>
            <color indexed="81"/>
            <rFont val="ＭＳ Ｐゴシック"/>
            <family val="3"/>
            <charset val="128"/>
          </rPr>
          <t xml:space="preserve">
</t>
        </r>
      </text>
    </comment>
    <comment ref="K593" authorId="1" shapeId="0" xr:uid="{FE5FF1A7-365F-4ACE-957D-018DB999DFAE}">
      <text>
        <r>
          <rPr>
            <b/>
            <sz val="9"/>
            <color indexed="81"/>
            <rFont val="ＭＳ Ｐゴシック"/>
            <family val="3"/>
            <charset val="128"/>
          </rPr>
          <t xml:space="preserve">chiba:
染色込み単価に合わせて計算 30%
€ = ￥110=€2.46/m 
先方要望でUSD：
30%
USD = ￥90=USD
3.00/m
</t>
        </r>
        <r>
          <rPr>
            <sz val="9"/>
            <color indexed="81"/>
            <rFont val="ＭＳ Ｐゴシック"/>
            <family val="3"/>
            <charset val="128"/>
          </rPr>
          <t xml:space="preserve">
</t>
        </r>
      </text>
    </comment>
    <comment ref="K596" authorId="1" shapeId="0" xr:uid="{89C71C79-E591-4A82-8E4F-DD88A4B0ABC4}">
      <text>
        <r>
          <rPr>
            <b/>
            <sz val="9"/>
            <color indexed="81"/>
            <rFont val="ＭＳ Ｐゴシック"/>
            <family val="3"/>
            <charset val="128"/>
          </rPr>
          <t xml:space="preserve">chiba:
染色込み単価に合わせて計算 30%
</t>
        </r>
        <r>
          <rPr>
            <b/>
            <sz val="9"/>
            <color indexed="81"/>
            <rFont val="ＭＳ Ｐゴシック"/>
            <family val="3"/>
            <charset val="128"/>
          </rPr>
          <t>€</t>
        </r>
        <r>
          <rPr>
            <b/>
            <sz val="9"/>
            <color indexed="81"/>
            <rFont val="ＭＳ Ｐゴシック"/>
            <family val="3"/>
            <charset val="128"/>
          </rPr>
          <t xml:space="preserve"> = ￥110=</t>
        </r>
        <r>
          <rPr>
            <b/>
            <sz val="9"/>
            <color indexed="81"/>
            <rFont val="ＭＳ Ｐゴシック"/>
            <family val="3"/>
            <charset val="128"/>
          </rPr>
          <t>€</t>
        </r>
        <r>
          <rPr>
            <b/>
            <sz val="9"/>
            <color indexed="81"/>
            <rFont val="ＭＳ Ｐゴシック"/>
            <family val="3"/>
            <charset val="128"/>
          </rPr>
          <t xml:space="preserve">3.76/m </t>
        </r>
        <r>
          <rPr>
            <sz val="9"/>
            <color indexed="81"/>
            <rFont val="ＭＳ Ｐゴシック"/>
            <family val="3"/>
            <charset val="128"/>
          </rPr>
          <t xml:space="preserve">
</t>
        </r>
      </text>
    </comment>
    <comment ref="K599" authorId="1" shapeId="0" xr:uid="{E21CBA07-D09C-4A65-8131-E1178E60AC32}">
      <text>
        <r>
          <rPr>
            <b/>
            <sz val="9"/>
            <color indexed="81"/>
            <rFont val="MS P ゴシック"/>
            <family val="3"/>
            <charset val="128"/>
          </rPr>
          <t>chiba:</t>
        </r>
        <r>
          <rPr>
            <sz val="9"/>
            <color indexed="81"/>
            <rFont val="MS P ゴシック"/>
            <family val="3"/>
            <charset val="128"/>
          </rPr>
          <t xml:space="preserve">
40%
レート110</t>
        </r>
      </text>
    </comment>
    <comment ref="E602" authorId="0" shapeId="0" xr:uid="{AF5B7700-EAAF-4B79-8C7E-FA59200AA3F0}">
      <text>
        <r>
          <rPr>
            <b/>
            <sz val="9"/>
            <color indexed="81"/>
            <rFont val="MS P ゴシック"/>
            <family val="3"/>
            <charset val="128"/>
          </rPr>
          <t>sunfashion:</t>
        </r>
        <r>
          <rPr>
            <sz val="9"/>
            <color indexed="81"/>
            <rFont val="MS P ゴシック"/>
            <family val="3"/>
            <charset val="128"/>
          </rPr>
          <t xml:space="preserve">
S-1427</t>
        </r>
      </text>
    </comment>
    <comment ref="K602" authorId="0" shapeId="0" xr:uid="{57FB9421-92EA-4AD1-8BEA-8C3D5A160B75}">
      <text>
        <r>
          <rPr>
            <b/>
            <sz val="9"/>
            <color indexed="81"/>
            <rFont val="MS P ゴシック"/>
            <family val="3"/>
            <charset val="128"/>
          </rPr>
          <t>sunfashion:</t>
        </r>
        <r>
          <rPr>
            <sz val="9"/>
            <color indexed="81"/>
            <rFont val="MS P ゴシック"/>
            <family val="3"/>
            <charset val="128"/>
          </rPr>
          <t xml:space="preserve">
40% 
レート110 </t>
        </r>
      </text>
    </comment>
    <comment ref="K603" authorId="0" shapeId="0" xr:uid="{8199B2E1-C438-4158-81E4-73E7B9606A11}">
      <text>
        <r>
          <rPr>
            <b/>
            <sz val="9"/>
            <color indexed="81"/>
            <rFont val="MS P ゴシック"/>
            <family val="3"/>
            <charset val="128"/>
          </rPr>
          <t>sunfashion:</t>
        </r>
        <r>
          <rPr>
            <sz val="9"/>
            <color indexed="81"/>
            <rFont val="MS P ゴシック"/>
            <family val="3"/>
            <charset val="128"/>
          </rPr>
          <t xml:space="preserve">
40% 
レート110 </t>
        </r>
      </text>
    </comment>
    <comment ref="K604" authorId="0" shapeId="0" xr:uid="{7CEF8596-0EC0-4ED2-8BB8-A62947BDCAAD}">
      <text>
        <r>
          <rPr>
            <b/>
            <sz val="9"/>
            <color indexed="81"/>
            <rFont val="MS P ゴシック"/>
            <family val="3"/>
            <charset val="128"/>
          </rPr>
          <t>sunfashion:</t>
        </r>
        <r>
          <rPr>
            <sz val="9"/>
            <color indexed="81"/>
            <rFont val="MS P ゴシック"/>
            <family val="3"/>
            <charset val="128"/>
          </rPr>
          <t xml:space="preserve">
40% 
レート110 </t>
        </r>
      </text>
    </comment>
    <comment ref="K605" authorId="0" shapeId="0" xr:uid="{B08CCD11-A670-4813-A1FA-8B539A8FA735}">
      <text>
        <r>
          <rPr>
            <b/>
            <sz val="9"/>
            <color indexed="81"/>
            <rFont val="MS P ゴシック"/>
            <family val="3"/>
            <charset val="128"/>
          </rPr>
          <t>sunfashion:</t>
        </r>
        <r>
          <rPr>
            <sz val="9"/>
            <color indexed="81"/>
            <rFont val="MS P ゴシック"/>
            <family val="3"/>
            <charset val="128"/>
          </rPr>
          <t xml:space="preserve">
40% 
レート110 </t>
        </r>
      </text>
    </comment>
    <comment ref="K606" authorId="0" shapeId="0" xr:uid="{161CAB45-C792-4539-A43D-060283350AA3}">
      <text>
        <r>
          <rPr>
            <b/>
            <sz val="9"/>
            <color indexed="81"/>
            <rFont val="MS P ゴシック"/>
            <family val="3"/>
            <charset val="128"/>
          </rPr>
          <t>sunfashion:</t>
        </r>
        <r>
          <rPr>
            <sz val="9"/>
            <color indexed="81"/>
            <rFont val="MS P ゴシック"/>
            <family val="3"/>
            <charset val="128"/>
          </rPr>
          <t xml:space="preserve">
40% 
レート110 </t>
        </r>
      </text>
    </comment>
    <comment ref="K607" authorId="0" shapeId="0" xr:uid="{1492782F-4A8B-44E7-8960-7397B30556B7}">
      <text>
        <r>
          <rPr>
            <b/>
            <sz val="9"/>
            <color indexed="81"/>
            <rFont val="MS P ゴシック"/>
            <family val="3"/>
            <charset val="128"/>
          </rPr>
          <t>sunfashion:</t>
        </r>
        <r>
          <rPr>
            <sz val="9"/>
            <color indexed="81"/>
            <rFont val="MS P ゴシック"/>
            <family val="3"/>
            <charset val="128"/>
          </rPr>
          <t xml:space="preserve">
40% 
レート110 </t>
        </r>
      </text>
    </comment>
    <comment ref="K608" authorId="0" shapeId="0" xr:uid="{C1E0D31D-8381-4808-83F3-8C92DA174DCD}">
      <text>
        <r>
          <rPr>
            <b/>
            <sz val="9"/>
            <color indexed="81"/>
            <rFont val="MS P ゴシック"/>
            <family val="3"/>
            <charset val="128"/>
          </rPr>
          <t>sunfashion:</t>
        </r>
        <r>
          <rPr>
            <sz val="9"/>
            <color indexed="81"/>
            <rFont val="MS P ゴシック"/>
            <family val="3"/>
            <charset val="128"/>
          </rPr>
          <t xml:space="preserve">
40% 
レート110 </t>
        </r>
      </text>
    </comment>
    <comment ref="K609" authorId="0" shapeId="0" xr:uid="{EB49E6EC-B76A-4C23-91DD-17E3E80C26B5}">
      <text>
        <r>
          <rPr>
            <b/>
            <sz val="9"/>
            <color indexed="81"/>
            <rFont val="MS P ゴシック"/>
            <family val="3"/>
            <charset val="128"/>
          </rPr>
          <t>sunfashion:</t>
        </r>
        <r>
          <rPr>
            <sz val="9"/>
            <color indexed="81"/>
            <rFont val="MS P ゴシック"/>
            <family val="3"/>
            <charset val="128"/>
          </rPr>
          <t xml:space="preserve">
40% 
レート110 </t>
        </r>
      </text>
    </comment>
    <comment ref="K610" authorId="0" shapeId="0" xr:uid="{CE007417-F6B7-4297-85E4-8B6EEB3726F0}">
      <text>
        <r>
          <rPr>
            <b/>
            <sz val="9"/>
            <color indexed="81"/>
            <rFont val="MS P ゴシック"/>
            <family val="3"/>
            <charset val="128"/>
          </rPr>
          <t>sunfashion:</t>
        </r>
        <r>
          <rPr>
            <sz val="9"/>
            <color indexed="81"/>
            <rFont val="MS P ゴシック"/>
            <family val="3"/>
            <charset val="128"/>
          </rPr>
          <t xml:space="preserve">
40% 
レート110 </t>
        </r>
      </text>
    </comment>
    <comment ref="K611" authorId="0" shapeId="0" xr:uid="{A6BAEFBE-6D26-4C26-A305-328C96EE9129}">
      <text>
        <r>
          <rPr>
            <b/>
            <sz val="9"/>
            <color indexed="81"/>
            <rFont val="MS P ゴシック"/>
            <family val="3"/>
            <charset val="128"/>
          </rPr>
          <t>sunfashion:</t>
        </r>
        <r>
          <rPr>
            <sz val="9"/>
            <color indexed="81"/>
            <rFont val="MS P ゴシック"/>
            <family val="3"/>
            <charset val="128"/>
          </rPr>
          <t xml:space="preserve">
40% 
レート110 </t>
        </r>
      </text>
    </comment>
    <comment ref="K612" authorId="0" shapeId="0" xr:uid="{7CE4DB29-4179-4C95-BB72-64C434C1F2A4}">
      <text>
        <r>
          <rPr>
            <b/>
            <sz val="9"/>
            <color indexed="81"/>
            <rFont val="MS P ゴシック"/>
            <family val="3"/>
            <charset val="128"/>
          </rPr>
          <t>sunfashion:</t>
        </r>
        <r>
          <rPr>
            <sz val="9"/>
            <color indexed="81"/>
            <rFont val="MS P ゴシック"/>
            <family val="3"/>
            <charset val="128"/>
          </rPr>
          <t xml:space="preserve">
40% 
レート110 </t>
        </r>
      </text>
    </comment>
    <comment ref="K613" authorId="0" shapeId="0" xr:uid="{458B390F-D1F8-4057-9493-C3F6C859293C}">
      <text>
        <r>
          <rPr>
            <b/>
            <sz val="9"/>
            <color indexed="81"/>
            <rFont val="MS P ゴシック"/>
            <family val="3"/>
            <charset val="128"/>
          </rPr>
          <t>sunfashion:</t>
        </r>
        <r>
          <rPr>
            <sz val="9"/>
            <color indexed="81"/>
            <rFont val="MS P ゴシック"/>
            <family val="3"/>
            <charset val="128"/>
          </rPr>
          <t xml:space="preserve">
40% 
レート110 </t>
        </r>
      </text>
    </comment>
    <comment ref="K615" authorId="0" shapeId="0" xr:uid="{DD83AD42-5B05-4ECE-AA25-459DABBDC01A}">
      <text>
        <r>
          <rPr>
            <b/>
            <sz val="9"/>
            <color indexed="81"/>
            <rFont val="MS P ゴシック"/>
            <family val="3"/>
            <charset val="128"/>
          </rPr>
          <t>sunfashion:</t>
        </r>
        <r>
          <rPr>
            <sz val="9"/>
            <color indexed="81"/>
            <rFont val="MS P ゴシック"/>
            <family val="3"/>
            <charset val="128"/>
          </rPr>
          <t xml:space="preserve">
40% 
レート110 </t>
        </r>
      </text>
    </comment>
    <comment ref="K616" authorId="0" shapeId="0" xr:uid="{1B70CA56-2D95-4E7B-8373-E1B3145D1859}">
      <text>
        <r>
          <rPr>
            <b/>
            <sz val="9"/>
            <color indexed="81"/>
            <rFont val="MS P ゴシック"/>
            <family val="3"/>
            <charset val="128"/>
          </rPr>
          <t>sunfashion:</t>
        </r>
        <r>
          <rPr>
            <sz val="9"/>
            <color indexed="81"/>
            <rFont val="MS P ゴシック"/>
            <family val="3"/>
            <charset val="128"/>
          </rPr>
          <t xml:space="preserve">
40% 
レート110 </t>
        </r>
      </text>
    </comment>
    <comment ref="K618" authorId="0" shapeId="0" xr:uid="{508540FF-2752-494D-89CE-1F46836BFB87}">
      <text>
        <r>
          <rPr>
            <b/>
            <sz val="9"/>
            <color indexed="81"/>
            <rFont val="MS P ゴシック"/>
            <family val="3"/>
            <charset val="128"/>
          </rPr>
          <t>sunfashion:</t>
        </r>
        <r>
          <rPr>
            <sz val="9"/>
            <color indexed="81"/>
            <rFont val="MS P ゴシック"/>
            <family val="3"/>
            <charset val="128"/>
          </rPr>
          <t xml:space="preserve">
40% 
レート110 </t>
        </r>
      </text>
    </comment>
    <comment ref="K621" authorId="1" shapeId="0" xr:uid="{4660CC36-A527-4FC8-A827-BA3A6FA830DE}">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K622" authorId="1" shapeId="0" xr:uid="{41FB45CF-08D4-4642-8DA5-FC4AB016ED04}">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K623" authorId="1" shapeId="0" xr:uid="{E9FD9B9A-D901-4746-BAF5-9BAEC838AC98}">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K626" authorId="0" shapeId="0" xr:uid="{D22DC2A5-2F16-4D23-AF15-9F1EFCDED070}">
      <text>
        <r>
          <rPr>
            <b/>
            <sz val="9"/>
            <color indexed="81"/>
            <rFont val="MS P ゴシック"/>
            <family val="3"/>
            <charset val="128"/>
          </rPr>
          <t>sunfashion:</t>
        </r>
        <r>
          <rPr>
            <sz val="9"/>
            <color indexed="81"/>
            <rFont val="MS P ゴシック"/>
            <family val="3"/>
            <charset val="128"/>
          </rPr>
          <t xml:space="preserve">
25% 
110</t>
        </r>
      </text>
    </comment>
    <comment ref="K628" authorId="0" shapeId="0" xr:uid="{2142CD62-423A-4407-8D61-35C7C4C5CA24}">
      <text>
        <r>
          <rPr>
            <b/>
            <sz val="9"/>
            <color indexed="81"/>
            <rFont val="MS P ゴシック"/>
            <family val="3"/>
            <charset val="128"/>
          </rPr>
          <t>sunfashion:</t>
        </r>
        <r>
          <rPr>
            <sz val="9"/>
            <color indexed="81"/>
            <rFont val="MS P ゴシック"/>
            <family val="3"/>
            <charset val="128"/>
          </rPr>
          <t xml:space="preserve">
25% 
110</t>
        </r>
      </text>
    </comment>
    <comment ref="K630" authorId="0" shapeId="0" xr:uid="{44E2AD73-CC8E-456A-B322-A4FBD7971DD6}">
      <text>
        <r>
          <rPr>
            <b/>
            <sz val="9"/>
            <color indexed="81"/>
            <rFont val="MS P ゴシック"/>
            <family val="3"/>
            <charset val="128"/>
          </rPr>
          <t>sunfashion:
カラー単価に合わせて計算</t>
        </r>
        <r>
          <rPr>
            <sz val="9"/>
            <color indexed="81"/>
            <rFont val="MS P ゴシック"/>
            <family val="3"/>
            <charset val="128"/>
          </rPr>
          <t xml:space="preserve">
40% 
レート110 </t>
        </r>
      </text>
    </comment>
    <comment ref="K633" authorId="0" shapeId="0" xr:uid="{AC2B61EC-FF45-451D-AB57-486947C43B69}">
      <text>
        <r>
          <rPr>
            <b/>
            <sz val="9"/>
            <color indexed="81"/>
            <rFont val="MS P ゴシック"/>
            <family val="3"/>
            <charset val="128"/>
          </rPr>
          <t xml:space="preserve">sunfashion:
</t>
        </r>
        <r>
          <rPr>
            <sz val="9"/>
            <color indexed="81"/>
            <rFont val="MS P ゴシック"/>
            <family val="3"/>
            <charset val="128"/>
          </rPr>
          <t xml:space="preserve">40% 
レート110 </t>
        </r>
      </text>
    </comment>
    <comment ref="K636" authorId="1" shapeId="0" xr:uid="{993CC619-5C5A-47B9-8563-5D9332CF2076}">
      <text>
        <r>
          <rPr>
            <b/>
            <sz val="9"/>
            <color indexed="81"/>
            <rFont val="ＭＳ Ｐゴシック"/>
            <family val="3"/>
            <charset val="128"/>
          </rPr>
          <t>chiba:
染色込み単価</t>
        </r>
        <r>
          <rPr>
            <sz val="9"/>
            <color indexed="81"/>
            <rFont val="ＭＳ Ｐゴシック"/>
            <family val="3"/>
            <charset val="128"/>
          </rPr>
          <t xml:space="preserve">
30% 
€ = ￥110</t>
        </r>
      </text>
    </comment>
    <comment ref="K637" authorId="1" shapeId="0" xr:uid="{8DA6E578-5080-4916-8D11-9FE55CF06780}">
      <text>
        <r>
          <rPr>
            <b/>
            <sz val="9"/>
            <color indexed="81"/>
            <rFont val="ＭＳ Ｐゴシック"/>
            <family val="3"/>
            <charset val="128"/>
          </rPr>
          <t>chiba:
染色込み単価</t>
        </r>
        <r>
          <rPr>
            <sz val="9"/>
            <color indexed="81"/>
            <rFont val="ＭＳ Ｐゴシック"/>
            <family val="3"/>
            <charset val="128"/>
          </rPr>
          <t xml:space="preserve">
30% 
€ = ￥110</t>
        </r>
      </text>
    </comment>
    <comment ref="K640" authorId="1" shapeId="0" xr:uid="{14C4A4E5-59CA-4302-86F4-FA69F35ADB82}">
      <text>
        <r>
          <rPr>
            <b/>
            <sz val="9"/>
            <color indexed="81"/>
            <rFont val="MS P ゴシック"/>
            <family val="3"/>
            <charset val="128"/>
          </rPr>
          <t xml:space="preserve">chiba:
40% </t>
        </r>
        <r>
          <rPr>
            <sz val="9"/>
            <color indexed="81"/>
            <rFont val="MS P ゴシック"/>
            <family val="3"/>
            <charset val="128"/>
          </rPr>
          <t xml:space="preserve">
レート</t>
        </r>
        <r>
          <rPr>
            <sz val="9"/>
            <color indexed="81"/>
            <rFont val="ＭＳ Ｐゴシック"/>
            <family val="3"/>
            <charset val="128"/>
          </rPr>
          <t>€</t>
        </r>
        <r>
          <rPr>
            <sz val="9"/>
            <color indexed="81"/>
            <rFont val="MS P ゴシック"/>
            <family val="3"/>
            <charset val="128"/>
          </rPr>
          <t xml:space="preserve"> 1 = 110
</t>
        </r>
      </text>
    </comment>
    <comment ref="K643" authorId="1" shapeId="0" xr:uid="{0C97BFA5-805C-47FA-8032-E3372DF2A164}">
      <text>
        <r>
          <rPr>
            <b/>
            <sz val="9"/>
            <color indexed="81"/>
            <rFont val="ＭＳ Ｐゴシック"/>
            <family val="3"/>
            <charset val="128"/>
          </rPr>
          <t>chiba:
単価調整
オフ白単価の55%
110</t>
        </r>
      </text>
    </comment>
    <comment ref="K644" authorId="1" shapeId="0" xr:uid="{6D2EFDC5-FB6E-4C6C-A3B8-78E2642C9022}">
      <text>
        <r>
          <rPr>
            <b/>
            <sz val="9"/>
            <color indexed="81"/>
            <rFont val="ＭＳ Ｐゴシック"/>
            <family val="3"/>
            <charset val="128"/>
          </rPr>
          <t>chiba:
単価調整
オフ白単価の55%
110</t>
        </r>
      </text>
    </comment>
    <comment ref="R645" authorId="3" shapeId="0" xr:uid="{B694881A-317A-4431-A602-7A0A6A12E859}">
      <text>
        <r>
          <rPr>
            <b/>
            <sz val="9"/>
            <color indexed="81"/>
            <rFont val="MS P ゴシック"/>
            <family val="3"/>
            <charset val="128"/>
          </rPr>
          <t>fukumoto:</t>
        </r>
        <r>
          <rPr>
            <sz val="9"/>
            <color indexed="81"/>
            <rFont val="MS P ゴシック"/>
            <family val="3"/>
            <charset val="128"/>
          </rPr>
          <t xml:space="preserve">
オフ白単価</t>
        </r>
      </text>
    </comment>
    <comment ref="R646" authorId="3" shapeId="0" xr:uid="{0A13535C-E18C-49E0-BDD0-A28BBC68CBA3}">
      <text>
        <r>
          <rPr>
            <b/>
            <sz val="9"/>
            <color indexed="81"/>
            <rFont val="MS P ゴシック"/>
            <family val="3"/>
            <charset val="128"/>
          </rPr>
          <t>fukumoto:</t>
        </r>
        <r>
          <rPr>
            <sz val="9"/>
            <color indexed="81"/>
            <rFont val="MS P ゴシック"/>
            <family val="3"/>
            <charset val="128"/>
          </rPr>
          <t xml:space="preserve">
オフ白単価</t>
        </r>
      </text>
    </comment>
    <comment ref="R647" authorId="3" shapeId="0" xr:uid="{355F3A79-985B-491C-82D4-8D879973F970}">
      <text>
        <r>
          <rPr>
            <b/>
            <sz val="9"/>
            <color indexed="81"/>
            <rFont val="MS P ゴシック"/>
            <family val="3"/>
            <charset val="128"/>
          </rPr>
          <t>fukumoto:</t>
        </r>
        <r>
          <rPr>
            <sz val="9"/>
            <color indexed="81"/>
            <rFont val="MS P ゴシック"/>
            <family val="3"/>
            <charset val="128"/>
          </rPr>
          <t xml:space="preserve">
オフ白単価</t>
        </r>
      </text>
    </comment>
    <comment ref="R648" authorId="3" shapeId="0" xr:uid="{042E8AE1-641D-4F98-999D-D9EF8159DC70}">
      <text>
        <r>
          <rPr>
            <b/>
            <sz val="9"/>
            <color indexed="81"/>
            <rFont val="MS P ゴシック"/>
            <family val="3"/>
            <charset val="128"/>
          </rPr>
          <t>fukumoto:</t>
        </r>
        <r>
          <rPr>
            <sz val="9"/>
            <color indexed="81"/>
            <rFont val="MS P ゴシック"/>
            <family val="3"/>
            <charset val="128"/>
          </rPr>
          <t xml:space="preserve">
オフ白単価
</t>
        </r>
      </text>
    </comment>
    <comment ref="R649" authorId="3" shapeId="0" xr:uid="{A8D0FD30-8D18-41FF-B510-A5CE0C90FA7F}">
      <text>
        <r>
          <rPr>
            <b/>
            <sz val="9"/>
            <color indexed="81"/>
            <rFont val="MS P ゴシック"/>
            <family val="3"/>
            <charset val="128"/>
          </rPr>
          <t>fukumoto:</t>
        </r>
        <r>
          <rPr>
            <sz val="9"/>
            <color indexed="81"/>
            <rFont val="MS P ゴシック"/>
            <family val="3"/>
            <charset val="128"/>
          </rPr>
          <t xml:space="preserve">
オフ白単価</t>
        </r>
      </text>
    </comment>
    <comment ref="R650" authorId="3" shapeId="0" xr:uid="{DBBC2208-E704-403F-885C-1DE61D1552A6}">
      <text>
        <r>
          <rPr>
            <b/>
            <sz val="9"/>
            <color indexed="81"/>
            <rFont val="MS P ゴシック"/>
            <family val="3"/>
            <charset val="128"/>
          </rPr>
          <t>fukumoto:</t>
        </r>
        <r>
          <rPr>
            <sz val="9"/>
            <color indexed="81"/>
            <rFont val="MS P ゴシック"/>
            <family val="3"/>
            <charset val="128"/>
          </rPr>
          <t xml:space="preserve">
オフ白単価</t>
        </r>
      </text>
    </comment>
    <comment ref="R651" authorId="3" shapeId="0" xr:uid="{D8D9BE82-F071-4734-B640-DFF99D9D149A}">
      <text>
        <r>
          <rPr>
            <b/>
            <sz val="9"/>
            <color indexed="81"/>
            <rFont val="MS P ゴシック"/>
            <family val="3"/>
            <charset val="128"/>
          </rPr>
          <t>fukumoto:</t>
        </r>
        <r>
          <rPr>
            <sz val="9"/>
            <color indexed="81"/>
            <rFont val="MS P ゴシック"/>
            <family val="3"/>
            <charset val="128"/>
          </rPr>
          <t xml:space="preserve">
オフ白単価
</t>
        </r>
      </text>
    </comment>
    <comment ref="R652" authorId="3" shapeId="0" xr:uid="{9936C972-7F84-464B-9435-707161554753}">
      <text>
        <r>
          <rPr>
            <b/>
            <sz val="9"/>
            <color indexed="81"/>
            <rFont val="MS P ゴシック"/>
            <family val="3"/>
            <charset val="128"/>
          </rPr>
          <t>fukumoto:</t>
        </r>
        <r>
          <rPr>
            <sz val="9"/>
            <color indexed="81"/>
            <rFont val="MS P ゴシック"/>
            <family val="3"/>
            <charset val="128"/>
          </rPr>
          <t xml:space="preserve">
オフ白単価</t>
        </r>
      </text>
    </comment>
    <comment ref="K660" authorId="1" shapeId="0" xr:uid="{7C24531C-7043-40AF-A86A-B52698651BD8}">
      <text>
        <r>
          <rPr>
            <b/>
            <sz val="9"/>
            <color indexed="81"/>
            <rFont val="ＭＳ Ｐゴシック"/>
            <family val="3"/>
            <charset val="128"/>
          </rPr>
          <t>chiba:
単価調整
オフ白単価の40%
110</t>
        </r>
      </text>
    </comment>
    <comment ref="K661" authorId="1" shapeId="0" xr:uid="{0BAC844C-6C72-4010-9F6C-BA28D554387C}">
      <text>
        <r>
          <rPr>
            <b/>
            <sz val="9"/>
            <color indexed="81"/>
            <rFont val="ＭＳ Ｐゴシック"/>
            <family val="3"/>
            <charset val="128"/>
          </rPr>
          <t>chiba:
単価調整
オフ白単価の40%
110</t>
        </r>
      </text>
    </comment>
    <comment ref="K662" authorId="1" shapeId="0" xr:uid="{4E517C17-1114-40D7-8A92-F4C29AB50E5C}">
      <text>
        <r>
          <rPr>
            <b/>
            <sz val="9"/>
            <color indexed="81"/>
            <rFont val="ＭＳ Ｐゴシック"/>
            <family val="3"/>
            <charset val="128"/>
          </rPr>
          <t>chiba:
単価調整
オフ白単価の40%
110</t>
        </r>
      </text>
    </comment>
    <comment ref="K663" authorId="1" shapeId="0" xr:uid="{D7D6199A-1516-43B1-AA13-6A13D23F62F4}">
      <text>
        <r>
          <rPr>
            <b/>
            <sz val="9"/>
            <color indexed="81"/>
            <rFont val="ＭＳ Ｐゴシック"/>
            <family val="3"/>
            <charset val="128"/>
          </rPr>
          <t>chiba:
単価調整
オフ白単価の40%
110</t>
        </r>
      </text>
    </comment>
    <comment ref="K664" authorId="1" shapeId="0" xr:uid="{38954509-2397-4690-97E0-19D2A53B4B5C}">
      <text>
        <r>
          <rPr>
            <b/>
            <sz val="9"/>
            <color indexed="81"/>
            <rFont val="ＭＳ Ｐゴシック"/>
            <family val="3"/>
            <charset val="128"/>
          </rPr>
          <t>chiba:
単価調整
オフ白単価の40%
110</t>
        </r>
      </text>
    </comment>
    <comment ref="K665" authorId="1" shapeId="0" xr:uid="{209367A3-22BF-41A5-B433-E812B258E708}">
      <text>
        <r>
          <rPr>
            <b/>
            <sz val="9"/>
            <color indexed="81"/>
            <rFont val="ＭＳ Ｐゴシック"/>
            <family val="3"/>
            <charset val="128"/>
          </rPr>
          <t>chiba:
単価調整
オフ白単価の40%
110</t>
        </r>
      </text>
    </comment>
    <comment ref="K666" authorId="1" shapeId="0" xr:uid="{611DFC62-D5C7-421F-BCEF-A29C138F71D9}">
      <text>
        <r>
          <rPr>
            <b/>
            <sz val="9"/>
            <color indexed="81"/>
            <rFont val="ＭＳ Ｐゴシック"/>
            <family val="3"/>
            <charset val="128"/>
          </rPr>
          <t>chiba:
単価調整
オフ白単価の40%
110</t>
        </r>
      </text>
    </comment>
    <comment ref="K667" authorId="1" shapeId="0" xr:uid="{C1F4DA29-F704-45F7-A8C7-98C6801047B8}">
      <text>
        <r>
          <rPr>
            <b/>
            <sz val="9"/>
            <color indexed="81"/>
            <rFont val="ＭＳ Ｐゴシック"/>
            <family val="3"/>
            <charset val="128"/>
          </rPr>
          <t>chiba:
単価調整
オフ白単価の40%
110</t>
        </r>
      </text>
    </comment>
    <comment ref="K668" authorId="1" shapeId="0" xr:uid="{5C152D99-E1CC-4718-8D36-6925E82C2598}">
      <text>
        <r>
          <rPr>
            <b/>
            <sz val="9"/>
            <color indexed="81"/>
            <rFont val="ＭＳ Ｐゴシック"/>
            <family val="3"/>
            <charset val="128"/>
          </rPr>
          <t>chiba:
単価調整
オフ白単価の40%
110</t>
        </r>
      </text>
    </comment>
    <comment ref="K669" authorId="1" shapeId="0" xr:uid="{069B1F29-2B71-47E5-8F7E-CF63E8E77650}">
      <text>
        <r>
          <rPr>
            <b/>
            <sz val="9"/>
            <color indexed="81"/>
            <rFont val="ＭＳ Ｐゴシック"/>
            <family val="3"/>
            <charset val="128"/>
          </rPr>
          <t>chiba:
単価調整
オフ白単価の40%
110</t>
        </r>
      </text>
    </comment>
    <comment ref="K670" authorId="1" shapeId="0" xr:uid="{CFE57CAF-5FD1-42C2-A1D4-9B3611BFC6DC}">
      <text>
        <r>
          <rPr>
            <b/>
            <sz val="9"/>
            <color indexed="81"/>
            <rFont val="ＭＳ Ｐゴシック"/>
            <family val="3"/>
            <charset val="128"/>
          </rPr>
          <t>chiba:
単価調整
オフ白単価の40%
110</t>
        </r>
      </text>
    </comment>
    <comment ref="K671" authorId="1" shapeId="0" xr:uid="{4BCCBD8A-702E-4BEA-9062-6081AE75ED5E}">
      <text>
        <r>
          <rPr>
            <b/>
            <sz val="9"/>
            <color indexed="81"/>
            <rFont val="ＭＳ Ｐゴシック"/>
            <family val="3"/>
            <charset val="128"/>
          </rPr>
          <t>chiba:
単価調整
オフ白単価の40%
110</t>
        </r>
      </text>
    </comment>
    <comment ref="K672" authorId="1" shapeId="0" xr:uid="{9C0B5979-D759-4440-908D-487561342C01}">
      <text>
        <r>
          <rPr>
            <b/>
            <sz val="9"/>
            <color indexed="81"/>
            <rFont val="ＭＳ Ｐゴシック"/>
            <family val="3"/>
            <charset val="128"/>
          </rPr>
          <t>chiba:
単価調整
オフ白単価の40%
110</t>
        </r>
      </text>
    </comment>
    <comment ref="K673" authorId="1" shapeId="0" xr:uid="{0A8259F4-8EFB-419D-9B65-4D94D36E64CC}">
      <text>
        <r>
          <rPr>
            <b/>
            <sz val="9"/>
            <color indexed="81"/>
            <rFont val="ＭＳ Ｐゴシック"/>
            <family val="3"/>
            <charset val="128"/>
          </rPr>
          <t>chiba:
単価調整
オフ白単価の40%
110</t>
        </r>
      </text>
    </comment>
    <comment ref="K674" authorId="1" shapeId="0" xr:uid="{4E202069-0019-431A-9401-DE2735ABC351}">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K675" authorId="1" shapeId="0" xr:uid="{2B9E8A1F-C5FF-4A5F-8E53-A21ECB5F17B2}">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K676" authorId="1" shapeId="0" xr:uid="{FD8AA73F-CFE1-467E-8E5C-47EC66C5D42F}">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K677" authorId="1" shapeId="0" xr:uid="{6BE591A1-5F04-4FB3-88D4-D6FC607518C3}">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K678" authorId="1" shapeId="0" xr:uid="{D56ABE56-D85D-426C-9234-D7EE72F774A7}">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K679" authorId="1" shapeId="0" xr:uid="{3DC5AA9C-2556-4549-86F1-7233332C3737}">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80" authorId="1" shapeId="0" xr:uid="{26D6D152-53B0-46CF-A9B7-6AC9986406EE}">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81" authorId="1" shapeId="0" xr:uid="{49B9E049-8639-4763-9A5C-96A21F5EB9A1}">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82" authorId="1" shapeId="0" xr:uid="{B946FC85-667A-40CA-B227-12047DC1767F}">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83" authorId="1" shapeId="0" xr:uid="{94018AD1-5A23-4615-8DC4-1B8AF538E027}">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84" authorId="1" shapeId="0" xr:uid="{525EED46-D4CB-4648-B5AB-4837BC6BE9CE}">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85" authorId="1" shapeId="0" xr:uid="{190E77A6-5F15-425E-8790-BBC18E331A91}">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86" authorId="1" shapeId="0" xr:uid="{6F364C78-ADBB-4EB8-B806-A393EE737B24}">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87" authorId="1" shapeId="0" xr:uid="{4268EFC0-AB67-41E0-B476-4F7DE73D6836}">
      <text>
        <r>
          <rPr>
            <b/>
            <sz val="9"/>
            <color indexed="81"/>
            <rFont val="ＭＳ Ｐゴシック"/>
            <family val="3"/>
            <charset val="128"/>
          </rPr>
          <t>chiba:
単価調整
オフ白単価の40%
110</t>
        </r>
      </text>
    </comment>
    <comment ref="K688" authorId="1" shapeId="0" xr:uid="{616D6FA9-9B24-4A48-86D4-3FF177F6E157}">
      <text>
        <r>
          <rPr>
            <b/>
            <sz val="9"/>
            <color indexed="81"/>
            <rFont val="ＭＳ Ｐゴシック"/>
            <family val="3"/>
            <charset val="128"/>
          </rPr>
          <t>chiba:
単価調整
オフ白単価の40%
110</t>
        </r>
      </text>
    </comment>
    <comment ref="K689" authorId="1" shapeId="0" xr:uid="{37BA78F6-4681-42D7-9B57-491818603370}">
      <text>
        <r>
          <rPr>
            <b/>
            <sz val="9"/>
            <color indexed="81"/>
            <rFont val="ＭＳ Ｐゴシック"/>
            <family val="3"/>
            <charset val="128"/>
          </rPr>
          <t>chiba:
単価調整
オフ白単価の40%
110</t>
        </r>
      </text>
    </comment>
    <comment ref="K690" authorId="1" shapeId="0" xr:uid="{F98B812D-CE28-4154-99DC-1CFF4E7A5C67}">
      <text>
        <r>
          <rPr>
            <b/>
            <sz val="9"/>
            <color indexed="81"/>
            <rFont val="ＭＳ Ｐゴシック"/>
            <family val="3"/>
            <charset val="128"/>
          </rPr>
          <t>chiba:
単価調整
オフ白単価の40%
110</t>
        </r>
      </text>
    </comment>
    <comment ref="K691" authorId="1" shapeId="0" xr:uid="{F7899B29-80F6-4698-B709-961C82979E68}">
      <text>
        <r>
          <rPr>
            <b/>
            <sz val="9"/>
            <color indexed="81"/>
            <rFont val="ＭＳ Ｐゴシック"/>
            <family val="3"/>
            <charset val="128"/>
          </rPr>
          <t>chiba:
単価調整
オフ白単価の40%
110</t>
        </r>
      </text>
    </comment>
    <comment ref="K692" authorId="1" shapeId="0" xr:uid="{685A177F-6E26-47F3-BB8D-247EC467C133}">
      <text>
        <r>
          <rPr>
            <b/>
            <sz val="9"/>
            <color indexed="81"/>
            <rFont val="ＭＳ Ｐゴシック"/>
            <family val="3"/>
            <charset val="128"/>
          </rPr>
          <t>chiba:
単価調整
オフ白単価の40%
110</t>
        </r>
      </text>
    </comment>
    <comment ref="K693" authorId="1" shapeId="0" xr:uid="{7D47ED36-9E05-4B08-97A5-8F44C53EE35F}">
      <text>
        <r>
          <rPr>
            <b/>
            <sz val="9"/>
            <color indexed="81"/>
            <rFont val="ＭＳ Ｐゴシック"/>
            <family val="3"/>
            <charset val="128"/>
          </rPr>
          <t>chiba:
単価調整
オフ白単価の40%
110</t>
        </r>
      </text>
    </comment>
    <comment ref="K694" authorId="1" shapeId="0" xr:uid="{EB8E4617-38B9-4589-A04F-445F1CD86DD4}">
      <text>
        <r>
          <rPr>
            <b/>
            <sz val="9"/>
            <color indexed="81"/>
            <rFont val="ＭＳ Ｐゴシック"/>
            <family val="3"/>
            <charset val="128"/>
          </rPr>
          <t>chiba:
単価調整
オフ白単価の40%
110</t>
        </r>
      </text>
    </comment>
    <comment ref="K695" authorId="1" shapeId="0" xr:uid="{C8A68149-4F8D-49E2-B653-12E6EF7E975B}">
      <text>
        <r>
          <rPr>
            <b/>
            <sz val="9"/>
            <color indexed="81"/>
            <rFont val="ＭＳ Ｐゴシック"/>
            <family val="3"/>
            <charset val="128"/>
          </rPr>
          <t>chiba:
単価調整
オフ白単価の40%
110</t>
        </r>
      </text>
    </comment>
    <comment ref="K696" authorId="1" shapeId="0" xr:uid="{4F292842-DD8D-4802-A006-00CCA2ED767D}">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97" authorId="1" shapeId="0" xr:uid="{8383BA0C-9AFE-44AF-897A-483D9B699697}">
      <text>
        <r>
          <rPr>
            <b/>
            <sz val="9"/>
            <color indexed="81"/>
            <rFont val="MS P ゴシック"/>
            <family val="3"/>
            <charset val="128"/>
          </rPr>
          <t>chiba:</t>
        </r>
        <r>
          <rPr>
            <sz val="9"/>
            <color indexed="81"/>
            <rFont val="MS P ゴシック"/>
            <family val="3"/>
            <charset val="128"/>
          </rPr>
          <t xml:space="preserve">
単価調整
オフ白単価の40%
110
</t>
        </r>
      </text>
    </comment>
    <comment ref="K698" authorId="1" shapeId="0" xr:uid="{40936C93-DB8C-410E-877E-C49B69AF766A}">
      <text>
        <r>
          <rPr>
            <b/>
            <sz val="9"/>
            <color indexed="81"/>
            <rFont val="MS P ゴシック"/>
            <family val="3"/>
            <charset val="128"/>
          </rPr>
          <t>chiba:</t>
        </r>
        <r>
          <rPr>
            <sz val="9"/>
            <color indexed="81"/>
            <rFont val="MS P ゴシック"/>
            <family val="3"/>
            <charset val="128"/>
          </rPr>
          <t xml:space="preserve">
単価調整
オフ白単価の40%
110</t>
        </r>
      </text>
    </comment>
    <comment ref="K699" authorId="1" shapeId="0" xr:uid="{0B52794A-0FF2-4E71-8235-12A1110F001C}">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0" authorId="1" shapeId="0" xr:uid="{D2F98F52-B1F4-442D-AE46-E091CA1AA113}">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1" authorId="1" shapeId="0" xr:uid="{18470D23-D06F-481D-8B95-AA1DB5031AA9}">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2" authorId="1" shapeId="0" xr:uid="{3414F853-9C03-47A0-AB10-AE264D1657B1}">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3" authorId="1" shapeId="0" xr:uid="{F3257EC2-613A-4285-B301-21D853A55E0A}">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4" authorId="1" shapeId="0" xr:uid="{9891F54C-9F99-486D-9891-1F2594E13D1E}">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5" authorId="1" shapeId="0" xr:uid="{1115F3BA-23C0-495C-991D-B9F8F24A2A07}">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6" authorId="1" shapeId="0" xr:uid="{89529E9D-C667-4BD8-A464-FCFEDA9A134E}">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7" authorId="1" shapeId="0" xr:uid="{18B5EC5E-837E-40FF-97B2-EACE713A7012}">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8" authorId="1" shapeId="0" xr:uid="{375F18FE-1C84-401A-8BE0-A0E804F7345D}">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09" authorId="1" shapeId="0" xr:uid="{A90A3BBD-D852-4687-A250-69C29EBCD0BF}">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10" authorId="1" shapeId="0" xr:uid="{E6E6EBB3-FEF9-496D-AEBF-99E732E0517D}">
      <text>
        <r>
          <rPr>
            <b/>
            <sz val="9"/>
            <color indexed="81"/>
            <rFont val="MS P ゴシック"/>
            <family val="3"/>
            <charset val="128"/>
          </rPr>
          <t>chiba:</t>
        </r>
        <r>
          <rPr>
            <sz val="9"/>
            <color indexed="81"/>
            <rFont val="MS P ゴシック"/>
            <family val="3"/>
            <charset val="128"/>
          </rPr>
          <t xml:space="preserve">
単価調整
オフ白単価の40%
110</t>
        </r>
      </text>
    </comment>
    <comment ref="K711" authorId="1" shapeId="0" xr:uid="{3CDE9A1B-9FC0-4AB5-BA47-89626F4A2040}">
      <text>
        <r>
          <rPr>
            <b/>
            <sz val="9"/>
            <color indexed="81"/>
            <rFont val="ＭＳ Ｐゴシック"/>
            <family val="3"/>
            <charset val="128"/>
          </rPr>
          <t>chiba:
単価調整
オフ白単価の40%
110</t>
        </r>
      </text>
    </comment>
    <comment ref="K712" authorId="1" shapeId="0" xr:uid="{4AA5A6A2-E7FC-407C-B8B9-2BF049145E2A}">
      <text>
        <r>
          <rPr>
            <b/>
            <sz val="9"/>
            <color indexed="81"/>
            <rFont val="ＭＳ Ｐゴシック"/>
            <family val="3"/>
            <charset val="128"/>
          </rPr>
          <t>chiba:
単価調整
オフ白単価の40%
110</t>
        </r>
      </text>
    </comment>
    <comment ref="K713" authorId="1" shapeId="0" xr:uid="{7EEC1972-8E8B-425F-BAA8-7459AD2AC604}">
      <text>
        <r>
          <rPr>
            <b/>
            <sz val="9"/>
            <color indexed="81"/>
            <rFont val="ＭＳ Ｐゴシック"/>
            <family val="3"/>
            <charset val="128"/>
          </rPr>
          <t>chiba:
単価調整
オフ白単価の40%
110</t>
        </r>
      </text>
    </comment>
    <comment ref="K714" authorId="1" shapeId="0" xr:uid="{D71D80EC-D5EE-43EE-B1F8-84AE9669A16A}">
      <text>
        <r>
          <rPr>
            <b/>
            <sz val="9"/>
            <color indexed="81"/>
            <rFont val="ＭＳ Ｐゴシック"/>
            <family val="3"/>
            <charset val="128"/>
          </rPr>
          <t>chiba:
単価調整
オフ白単価の40%
110</t>
        </r>
      </text>
    </comment>
    <comment ref="K717" authorId="1" shapeId="0" xr:uid="{B70C2BD2-A283-44AA-BEF4-247CD1E67748}">
      <text>
        <r>
          <rPr>
            <b/>
            <sz val="9"/>
            <color indexed="81"/>
            <rFont val="MS P ゴシック"/>
            <family val="3"/>
            <charset val="128"/>
          </rPr>
          <t>chiba:</t>
        </r>
        <r>
          <rPr>
            <sz val="9"/>
            <color indexed="81"/>
            <rFont val="MS P ゴシック"/>
            <family val="3"/>
            <charset val="128"/>
          </rPr>
          <t xml:space="preserve">
30% 
110</t>
        </r>
      </text>
    </comment>
    <comment ref="K720" authorId="1" shapeId="0" xr:uid="{D26CB6FC-6F7F-4C2F-89CD-1F2D6A3B95BA}">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R720" authorId="1" shapeId="0" xr:uid="{B8BF3B78-9393-4E34-84BE-7D2B4BA613C3}">
      <text>
        <r>
          <rPr>
            <b/>
            <sz val="9"/>
            <color indexed="81"/>
            <rFont val="MS P ゴシック"/>
            <family val="3"/>
            <charset val="128"/>
          </rPr>
          <t>chiba:</t>
        </r>
        <r>
          <rPr>
            <sz val="9"/>
            <color indexed="81"/>
            <rFont val="MS P ゴシック"/>
            <family val="3"/>
            <charset val="128"/>
          </rPr>
          <t xml:space="preserve">
新単価 198</t>
        </r>
      </text>
    </comment>
    <comment ref="E723" authorId="1" shapeId="0" xr:uid="{03641E00-5D36-4AA8-A657-9C19C814A193}">
      <text>
        <r>
          <rPr>
            <b/>
            <sz val="9"/>
            <color indexed="81"/>
            <rFont val="MS P ゴシック"/>
            <family val="3"/>
            <charset val="128"/>
          </rPr>
          <t>chiba:</t>
        </r>
        <r>
          <rPr>
            <sz val="9"/>
            <color indexed="81"/>
            <rFont val="MS P ゴシック"/>
            <family val="3"/>
            <charset val="128"/>
          </rPr>
          <t xml:space="preserve">
KKF7171  D/# K-3</t>
        </r>
      </text>
    </comment>
    <comment ref="K723" authorId="1" shapeId="0" xr:uid="{FD6D780E-CC22-4EB9-A61E-78336E3F647B}">
      <text>
        <r>
          <rPr>
            <b/>
            <sz val="9"/>
            <color indexed="81"/>
            <rFont val="MS P ゴシック"/>
            <family val="3"/>
            <charset val="128"/>
          </rPr>
          <t>chiba:</t>
        </r>
        <r>
          <rPr>
            <sz val="9"/>
            <color indexed="81"/>
            <rFont val="MS P ゴシック"/>
            <family val="3"/>
            <charset val="128"/>
          </rPr>
          <t xml:space="preserve">
20% 
110</t>
        </r>
      </text>
    </comment>
    <comment ref="K727" authorId="0" shapeId="0" xr:uid="{3AA98D97-D659-47D3-8ECF-04BF822474A4}">
      <text>
        <r>
          <rPr>
            <b/>
            <sz val="9"/>
            <color indexed="81"/>
            <rFont val="MS P ゴシック"/>
            <family val="3"/>
            <charset val="128"/>
          </rPr>
          <t>sunfashion:</t>
        </r>
        <r>
          <rPr>
            <sz val="9"/>
            <color indexed="81"/>
            <rFont val="MS P ゴシック"/>
            <family val="3"/>
            <charset val="128"/>
          </rPr>
          <t xml:space="preserve">
25% 
110</t>
        </r>
      </text>
    </comment>
    <comment ref="K728" authorId="1" shapeId="0" xr:uid="{8611532D-C538-4FEC-8E06-601B5B6B2369}">
      <text>
        <r>
          <rPr>
            <b/>
            <sz val="9"/>
            <color indexed="81"/>
            <rFont val="MS P ゴシック"/>
            <family val="3"/>
            <charset val="128"/>
          </rPr>
          <t>chiba:</t>
        </r>
        <r>
          <rPr>
            <sz val="9"/>
            <color indexed="81"/>
            <rFont val="MS P ゴシック"/>
            <family val="3"/>
            <charset val="128"/>
          </rPr>
          <t xml:space="preserve">
25% 
レート 110 
次回より新単価：</t>
        </r>
        <r>
          <rPr>
            <sz val="9"/>
            <color indexed="81"/>
            <rFont val="ＭＳ Ｐゴシック"/>
            <family val="3"/>
            <charset val="128"/>
          </rPr>
          <t>€</t>
        </r>
        <r>
          <rPr>
            <sz val="9"/>
            <color indexed="81"/>
            <rFont val="MS P ゴシック"/>
            <family val="3"/>
            <charset val="128"/>
          </rPr>
          <t>9.82/m</t>
        </r>
      </text>
    </comment>
    <comment ref="R728" authorId="1" shapeId="0" xr:uid="{694640A2-2BBC-4C6B-8CB8-D1D264C075D8}">
      <text>
        <r>
          <rPr>
            <b/>
            <sz val="9"/>
            <color indexed="81"/>
            <rFont val="MS P ゴシック"/>
            <family val="3"/>
            <charset val="128"/>
          </rPr>
          <t>chiba:</t>
        </r>
        <r>
          <rPr>
            <sz val="9"/>
            <color indexed="81"/>
            <rFont val="MS P ゴシック"/>
            <family val="3"/>
            <charset val="128"/>
          </rPr>
          <t xml:space="preserve">
新単価 810</t>
        </r>
      </text>
    </comment>
    <comment ref="K731" authorId="0" shapeId="0" xr:uid="{29D61A13-40A8-4F34-98DB-DB11646F3B99}">
      <text>
        <r>
          <rPr>
            <b/>
            <sz val="9"/>
            <color indexed="81"/>
            <rFont val="MS P ゴシック"/>
            <family val="3"/>
            <charset val="128"/>
          </rPr>
          <t>sunfashion:</t>
        </r>
        <r>
          <rPr>
            <sz val="9"/>
            <color indexed="81"/>
            <rFont val="MS P ゴシック"/>
            <family val="3"/>
            <charset val="128"/>
          </rPr>
          <t xml:space="preserve">
30% 
110</t>
        </r>
      </text>
    </comment>
    <comment ref="K732" authorId="0" shapeId="0" xr:uid="{DA941E07-5BF4-4138-9CFB-BCCFEDA696BF}">
      <text>
        <r>
          <rPr>
            <b/>
            <sz val="9"/>
            <color indexed="81"/>
            <rFont val="MS P ゴシック"/>
            <family val="3"/>
            <charset val="128"/>
          </rPr>
          <t>sunfashion:</t>
        </r>
        <r>
          <rPr>
            <sz val="9"/>
            <color indexed="81"/>
            <rFont val="MS P ゴシック"/>
            <family val="3"/>
            <charset val="128"/>
          </rPr>
          <t xml:space="preserve">
30% 
110</t>
        </r>
      </text>
    </comment>
    <comment ref="K736" authorId="0" shapeId="0" xr:uid="{C97C37FF-DFB0-44CF-8880-7127675DD270}">
      <text>
        <r>
          <rPr>
            <b/>
            <sz val="9"/>
            <color indexed="81"/>
            <rFont val="MS P ゴシック"/>
            <family val="3"/>
            <charset val="128"/>
          </rPr>
          <t>sunfashion:</t>
        </r>
        <r>
          <rPr>
            <sz val="9"/>
            <color indexed="81"/>
            <rFont val="MS P ゴシック"/>
            <family val="3"/>
            <charset val="128"/>
          </rPr>
          <t xml:space="preserve">
30% 
110</t>
        </r>
      </text>
    </comment>
    <comment ref="K737" authorId="0" shapeId="0" xr:uid="{2473E0A0-8841-4066-AB36-6429ADE365ED}">
      <text>
        <r>
          <rPr>
            <b/>
            <sz val="9"/>
            <color indexed="81"/>
            <rFont val="MS P ゴシック"/>
            <family val="3"/>
            <charset val="128"/>
          </rPr>
          <t>sunfashion:</t>
        </r>
        <r>
          <rPr>
            <sz val="9"/>
            <color indexed="81"/>
            <rFont val="MS P ゴシック"/>
            <family val="3"/>
            <charset val="128"/>
          </rPr>
          <t xml:space="preserve">
30% 
110</t>
        </r>
      </text>
    </comment>
    <comment ref="K738" authorId="0" shapeId="0" xr:uid="{1C9FD820-7AAB-4593-82A4-DF8B9EEC11F0}">
      <text>
        <r>
          <rPr>
            <b/>
            <sz val="9"/>
            <color indexed="81"/>
            <rFont val="MS P ゴシック"/>
            <family val="3"/>
            <charset val="128"/>
          </rPr>
          <t>sunfashion:</t>
        </r>
        <r>
          <rPr>
            <sz val="9"/>
            <color indexed="81"/>
            <rFont val="MS P ゴシック"/>
            <family val="3"/>
            <charset val="128"/>
          </rPr>
          <t xml:space="preserve">
30% 
110</t>
        </r>
      </text>
    </comment>
    <comment ref="K739" authorId="0" shapeId="0" xr:uid="{2589BE6D-BD08-4981-9923-873D1DF95000}">
      <text>
        <r>
          <rPr>
            <b/>
            <sz val="9"/>
            <color indexed="81"/>
            <rFont val="MS P ゴシック"/>
            <family val="3"/>
            <charset val="128"/>
          </rPr>
          <t>sunfashion:</t>
        </r>
        <r>
          <rPr>
            <sz val="9"/>
            <color indexed="81"/>
            <rFont val="MS P ゴシック"/>
            <family val="3"/>
            <charset val="128"/>
          </rPr>
          <t xml:space="preserve">
30% 
110</t>
        </r>
      </text>
    </comment>
    <comment ref="K740" authorId="0" shapeId="0" xr:uid="{426A9FBD-00B5-4269-9B0E-010DC26E2C9D}">
      <text>
        <r>
          <rPr>
            <b/>
            <sz val="9"/>
            <color indexed="81"/>
            <rFont val="MS P ゴシック"/>
            <family val="3"/>
            <charset val="128"/>
          </rPr>
          <t>sunfashion:</t>
        </r>
        <r>
          <rPr>
            <sz val="9"/>
            <color indexed="81"/>
            <rFont val="MS P ゴシック"/>
            <family val="3"/>
            <charset val="128"/>
          </rPr>
          <t xml:space="preserve">
30% 
110</t>
        </r>
      </text>
    </comment>
    <comment ref="K741" authorId="0" shapeId="0" xr:uid="{BF0AE906-BF39-4DE8-83AD-7B792FB0A024}">
      <text>
        <r>
          <rPr>
            <b/>
            <sz val="9"/>
            <color indexed="81"/>
            <rFont val="MS P ゴシック"/>
            <family val="3"/>
            <charset val="128"/>
          </rPr>
          <t>sunfashion:</t>
        </r>
        <r>
          <rPr>
            <sz val="9"/>
            <color indexed="81"/>
            <rFont val="MS P ゴシック"/>
            <family val="3"/>
            <charset val="128"/>
          </rPr>
          <t xml:space="preserve">
30% 
110</t>
        </r>
      </text>
    </comment>
    <comment ref="P745" authorId="1" shapeId="0" xr:uid="{FFAA3311-AE33-4063-A423-704A34618607}">
      <text>
        <r>
          <rPr>
            <b/>
            <sz val="9"/>
            <color indexed="81"/>
            <rFont val="MS P ゴシック"/>
            <family val="3"/>
            <charset val="128"/>
          </rPr>
          <t>chiba:</t>
        </r>
        <r>
          <rPr>
            <sz val="9"/>
            <color indexed="81"/>
            <rFont val="MS P ゴシック"/>
            <family val="3"/>
            <charset val="128"/>
          </rPr>
          <t xml:space="preserve">
貿易単価</t>
        </r>
      </text>
    </comment>
    <comment ref="P749" authorId="1" shapeId="0" xr:uid="{5E7DE0CF-90CF-4E9D-B4C8-E09C915B5D5E}">
      <text>
        <r>
          <rPr>
            <b/>
            <sz val="9"/>
            <color indexed="81"/>
            <rFont val="MS P ゴシック"/>
            <family val="3"/>
            <charset val="128"/>
          </rPr>
          <t>chiba:</t>
        </r>
        <r>
          <rPr>
            <sz val="9"/>
            <color indexed="81"/>
            <rFont val="MS P ゴシック"/>
            <family val="3"/>
            <charset val="128"/>
          </rPr>
          <t xml:space="preserve">
社内在庫より</t>
        </r>
      </text>
    </comment>
    <comment ref="K753" authorId="1" shapeId="0" xr:uid="{9DC24139-C87B-4B15-BDD1-FF5A4BBA0D18}">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K754" authorId="1" shapeId="0" xr:uid="{01DD7138-902D-412A-AC3E-53EFCAB62616}">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K755" authorId="1" shapeId="0" xr:uid="{6625743D-8E3C-461A-A16F-81D16E35588E}">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K758" authorId="0" shapeId="0" xr:uid="{D334718F-0E5F-4FB3-B1E8-8C7D1F9C72AF}">
      <text>
        <r>
          <rPr>
            <b/>
            <sz val="9"/>
            <color indexed="81"/>
            <rFont val="MS P ゴシック"/>
            <family val="3"/>
            <charset val="128"/>
          </rPr>
          <t>sunfashion:</t>
        </r>
        <r>
          <rPr>
            <sz val="9"/>
            <color indexed="81"/>
            <rFont val="MS P ゴシック"/>
            <family val="3"/>
            <charset val="128"/>
          </rPr>
          <t xml:space="preserve">
30% 
110</t>
        </r>
      </text>
    </comment>
    <comment ref="K759" authorId="0" shapeId="0" xr:uid="{8AF427FF-8726-43BD-A1C5-3137A3AFAA42}">
      <text>
        <r>
          <rPr>
            <b/>
            <sz val="9"/>
            <color indexed="81"/>
            <rFont val="MS P ゴシック"/>
            <family val="3"/>
            <charset val="128"/>
          </rPr>
          <t>sunfashion:</t>
        </r>
        <r>
          <rPr>
            <sz val="9"/>
            <color indexed="81"/>
            <rFont val="MS P ゴシック"/>
            <family val="3"/>
            <charset val="128"/>
          </rPr>
          <t xml:space="preserve">
30% 
110</t>
        </r>
      </text>
    </comment>
    <comment ref="E763" authorId="1" shapeId="0" xr:uid="{DB413CBE-51B4-4E15-803B-536C045CD2B5}">
      <text>
        <r>
          <rPr>
            <b/>
            <sz val="9"/>
            <color indexed="81"/>
            <rFont val="MS P ゴシック"/>
            <family val="3"/>
            <charset val="128"/>
          </rPr>
          <t>chiba:</t>
        </r>
        <r>
          <rPr>
            <sz val="9"/>
            <color indexed="81"/>
            <rFont val="MS P ゴシック"/>
            <family val="3"/>
            <charset val="128"/>
          </rPr>
          <t xml:space="preserve">
KKF9225  D/# 1</t>
        </r>
      </text>
    </comment>
    <comment ref="K763" authorId="1" shapeId="0" xr:uid="{7206A9E2-E730-4832-9C69-C2C016744595}">
      <text>
        <r>
          <rPr>
            <b/>
            <sz val="9"/>
            <color indexed="81"/>
            <rFont val="MS P ゴシック"/>
            <family val="3"/>
            <charset val="128"/>
          </rPr>
          <t>chiba:</t>
        </r>
        <r>
          <rPr>
            <sz val="9"/>
            <color indexed="81"/>
            <rFont val="MS P ゴシック"/>
            <family val="3"/>
            <charset val="128"/>
          </rPr>
          <t xml:space="preserve">
20% 
110</t>
        </r>
      </text>
    </comment>
    <comment ref="E764" authorId="1" shapeId="0" xr:uid="{F60B6331-0D4F-4915-912E-5684477DD199}">
      <text>
        <r>
          <rPr>
            <b/>
            <sz val="9"/>
            <color indexed="81"/>
            <rFont val="MS P ゴシック"/>
            <family val="3"/>
            <charset val="128"/>
          </rPr>
          <t>chiba:</t>
        </r>
        <r>
          <rPr>
            <sz val="9"/>
            <color indexed="81"/>
            <rFont val="MS P ゴシック"/>
            <family val="3"/>
            <charset val="128"/>
          </rPr>
          <t xml:space="preserve">
KKF9225  D/# 1</t>
        </r>
      </text>
    </comment>
    <comment ref="K764" authorId="1" shapeId="0" xr:uid="{F3EC812A-60CD-40DB-A299-30D6999B5425}">
      <text>
        <r>
          <rPr>
            <b/>
            <sz val="9"/>
            <color indexed="81"/>
            <rFont val="MS P ゴシック"/>
            <family val="3"/>
            <charset val="128"/>
          </rPr>
          <t>chiba:</t>
        </r>
        <r>
          <rPr>
            <sz val="9"/>
            <color indexed="81"/>
            <rFont val="MS P ゴシック"/>
            <family val="3"/>
            <charset val="128"/>
          </rPr>
          <t xml:space="preserve">
20% 
110</t>
        </r>
      </text>
    </comment>
    <comment ref="K769" authorId="0" shapeId="0" xr:uid="{3624A8AB-3E31-4233-8C0D-34E28A03AFF1}">
      <text>
        <r>
          <rPr>
            <b/>
            <sz val="9"/>
            <color indexed="81"/>
            <rFont val="MS P ゴシック"/>
            <family val="3"/>
            <charset val="128"/>
          </rPr>
          <t>sunfashion:</t>
        </r>
        <r>
          <rPr>
            <sz val="9"/>
            <color indexed="81"/>
            <rFont val="MS P ゴシック"/>
            <family val="3"/>
            <charset val="128"/>
          </rPr>
          <t xml:space="preserve">
30% 
110</t>
        </r>
      </text>
    </comment>
    <comment ref="K770" authorId="0" shapeId="0" xr:uid="{CDD1EFE9-BA25-456D-BBDE-9CB4987D7043}">
      <text>
        <r>
          <rPr>
            <b/>
            <sz val="9"/>
            <color indexed="81"/>
            <rFont val="MS P ゴシック"/>
            <family val="3"/>
            <charset val="128"/>
          </rPr>
          <t>sunfashion:</t>
        </r>
        <r>
          <rPr>
            <sz val="9"/>
            <color indexed="81"/>
            <rFont val="MS P ゴシック"/>
            <family val="3"/>
            <charset val="128"/>
          </rPr>
          <t xml:space="preserve">
30% 
110</t>
        </r>
      </text>
    </comment>
    <comment ref="K771" authorId="0" shapeId="0" xr:uid="{7B1656A3-0509-4E39-B9A7-EABD1DB20A44}">
      <text>
        <r>
          <rPr>
            <b/>
            <sz val="9"/>
            <color indexed="81"/>
            <rFont val="MS P ゴシック"/>
            <family val="3"/>
            <charset val="128"/>
          </rPr>
          <t>sunfashion:</t>
        </r>
        <r>
          <rPr>
            <sz val="9"/>
            <color indexed="81"/>
            <rFont val="MS P ゴシック"/>
            <family val="3"/>
            <charset val="128"/>
          </rPr>
          <t xml:space="preserve">
30% 
110</t>
        </r>
      </text>
    </comment>
    <comment ref="K772" authorId="0" shapeId="0" xr:uid="{9CF55841-7628-4772-B8B7-EBB59DCF6C95}">
      <text>
        <r>
          <rPr>
            <b/>
            <sz val="9"/>
            <color indexed="81"/>
            <rFont val="MS P ゴシック"/>
            <family val="3"/>
            <charset val="128"/>
          </rPr>
          <t>sunfashion:</t>
        </r>
        <r>
          <rPr>
            <sz val="9"/>
            <color indexed="81"/>
            <rFont val="MS P ゴシック"/>
            <family val="3"/>
            <charset val="128"/>
          </rPr>
          <t xml:space="preserve">
30% 
110</t>
        </r>
      </text>
    </comment>
    <comment ref="E776" authorId="1" shapeId="0" xr:uid="{4EEED64B-3EE8-4B59-89C3-01811378A3C5}">
      <text>
        <r>
          <rPr>
            <b/>
            <sz val="9"/>
            <color indexed="81"/>
            <rFont val="MS P ゴシック"/>
            <family val="3"/>
            <charset val="128"/>
          </rPr>
          <t>chiba:</t>
        </r>
        <r>
          <rPr>
            <sz val="9"/>
            <color indexed="81"/>
            <rFont val="MS P ゴシック"/>
            <family val="3"/>
            <charset val="128"/>
          </rPr>
          <t xml:space="preserve">
KKF9225  D/# 1</t>
        </r>
      </text>
    </comment>
    <comment ref="K776" authorId="1" shapeId="0" xr:uid="{5FB93D9B-23F9-4913-A6C5-206CC3036376}">
      <text>
        <r>
          <rPr>
            <b/>
            <sz val="9"/>
            <color indexed="81"/>
            <rFont val="MS P ゴシック"/>
            <family val="3"/>
            <charset val="128"/>
          </rPr>
          <t>chiba:</t>
        </r>
        <r>
          <rPr>
            <sz val="9"/>
            <color indexed="81"/>
            <rFont val="MS P ゴシック"/>
            <family val="3"/>
            <charset val="128"/>
          </rPr>
          <t xml:space="preserve">
20% 
110</t>
        </r>
      </text>
    </comment>
    <comment ref="E777" authorId="1" shapeId="0" xr:uid="{30B81A70-D916-4FF7-B5C6-83B910503E24}">
      <text>
        <r>
          <rPr>
            <b/>
            <sz val="9"/>
            <color indexed="81"/>
            <rFont val="MS P ゴシック"/>
            <family val="3"/>
            <charset val="128"/>
          </rPr>
          <t>chiba:</t>
        </r>
        <r>
          <rPr>
            <sz val="9"/>
            <color indexed="81"/>
            <rFont val="MS P ゴシック"/>
            <family val="3"/>
            <charset val="128"/>
          </rPr>
          <t xml:space="preserve">
KKF9225  D/# 1</t>
        </r>
      </text>
    </comment>
    <comment ref="K777" authorId="1" shapeId="0" xr:uid="{9C61C9DC-3300-49D9-8B29-723F81248CDE}">
      <text>
        <r>
          <rPr>
            <b/>
            <sz val="9"/>
            <color indexed="81"/>
            <rFont val="MS P ゴシック"/>
            <family val="3"/>
            <charset val="128"/>
          </rPr>
          <t>chiba:</t>
        </r>
        <r>
          <rPr>
            <sz val="9"/>
            <color indexed="81"/>
            <rFont val="MS P ゴシック"/>
            <family val="3"/>
            <charset val="128"/>
          </rPr>
          <t xml:space="preserve">
20% 
110</t>
        </r>
      </text>
    </comment>
    <comment ref="K781" authorId="1" shapeId="0" xr:uid="{0B1A6BC8-0606-4E4E-9E48-8871B146F4C1}">
      <text>
        <r>
          <rPr>
            <b/>
            <sz val="9"/>
            <color indexed="81"/>
            <rFont val="MS P ゴシック"/>
            <family val="3"/>
            <charset val="128"/>
          </rPr>
          <t>chiba:</t>
        </r>
        <r>
          <rPr>
            <sz val="9"/>
            <color indexed="81"/>
            <rFont val="MS P ゴシック"/>
            <family val="3"/>
            <charset val="128"/>
          </rPr>
          <t xml:space="preserve">
40% 
110</t>
        </r>
      </text>
    </comment>
    <comment ref="K782" authorId="1" shapeId="0" xr:uid="{4DB61584-A8AA-4B71-972E-1C7EA0337BA9}">
      <text>
        <r>
          <rPr>
            <b/>
            <sz val="9"/>
            <color indexed="81"/>
            <rFont val="MS P ゴシック"/>
            <family val="3"/>
            <charset val="128"/>
          </rPr>
          <t>chiba:</t>
        </r>
        <r>
          <rPr>
            <sz val="9"/>
            <color indexed="81"/>
            <rFont val="MS P ゴシック"/>
            <family val="3"/>
            <charset val="128"/>
          </rPr>
          <t xml:space="preserve">
40% 
110</t>
        </r>
      </text>
    </comment>
    <comment ref="K786" authorId="0" shapeId="0" xr:uid="{EFBAF845-347A-4C11-81D5-AA2A3A8A6E24}">
      <text>
        <r>
          <rPr>
            <b/>
            <sz val="9"/>
            <color indexed="81"/>
            <rFont val="MS P ゴシック"/>
            <family val="3"/>
            <charset val="128"/>
          </rPr>
          <t>sunfashion:</t>
        </r>
        <r>
          <rPr>
            <sz val="9"/>
            <color indexed="81"/>
            <rFont val="MS P ゴシック"/>
            <family val="3"/>
            <charset val="128"/>
          </rPr>
          <t xml:space="preserve">
30% 
110</t>
        </r>
      </text>
    </comment>
    <comment ref="K791" authorId="0" shapeId="0" xr:uid="{49862860-499B-4CA3-9AB5-FE3DAEEAC96A}">
      <text>
        <r>
          <rPr>
            <b/>
            <sz val="9"/>
            <color indexed="81"/>
            <rFont val="MS P ゴシック"/>
            <family val="3"/>
            <charset val="128"/>
          </rPr>
          <t>sunfashion:</t>
        </r>
        <r>
          <rPr>
            <sz val="9"/>
            <color indexed="81"/>
            <rFont val="MS P ゴシック"/>
            <family val="3"/>
            <charset val="128"/>
          </rPr>
          <t xml:space="preserve">
30% 
110</t>
        </r>
      </text>
    </comment>
    <comment ref="K792" authorId="0" shapeId="0" xr:uid="{3AB7EFFB-B595-4A29-8D79-33E70924A2A6}">
      <text>
        <r>
          <rPr>
            <b/>
            <sz val="9"/>
            <color indexed="81"/>
            <rFont val="MS P ゴシック"/>
            <family val="3"/>
            <charset val="128"/>
          </rPr>
          <t>sunfashion:</t>
        </r>
        <r>
          <rPr>
            <sz val="9"/>
            <color indexed="81"/>
            <rFont val="MS P ゴシック"/>
            <family val="3"/>
            <charset val="128"/>
          </rPr>
          <t xml:space="preserve">
30% 
110</t>
        </r>
      </text>
    </comment>
    <comment ref="K802" authorId="1" shapeId="0" xr:uid="{B3CFB99C-750E-4738-A663-EEED15F84043}">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K804" authorId="1" shapeId="0" xr:uid="{4C2ACCFC-969C-47CE-A0D7-64776D988B60}">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K807" authorId="0" shapeId="0" xr:uid="{9E252EDA-6B86-410C-A9E0-A6FE52082FE9}">
      <text>
        <r>
          <rPr>
            <b/>
            <sz val="9"/>
            <color indexed="81"/>
            <rFont val="MS P ゴシック"/>
            <family val="3"/>
            <charset val="128"/>
          </rPr>
          <t>sunfashion:</t>
        </r>
        <r>
          <rPr>
            <sz val="9"/>
            <color indexed="81"/>
            <rFont val="MS P ゴシック"/>
            <family val="3"/>
            <charset val="128"/>
          </rPr>
          <t xml:space="preserve">
25% 
110</t>
        </r>
      </text>
    </comment>
    <comment ref="K811" authorId="0" shapeId="0" xr:uid="{083B55E2-149B-4F90-AB23-FC3EDA077018}">
      <text>
        <r>
          <rPr>
            <b/>
            <sz val="9"/>
            <color indexed="81"/>
            <rFont val="MS P ゴシック"/>
            <family val="3"/>
            <charset val="128"/>
          </rPr>
          <t>sunfashion:</t>
        </r>
        <r>
          <rPr>
            <sz val="9"/>
            <color indexed="81"/>
            <rFont val="MS P ゴシック"/>
            <family val="3"/>
            <charset val="128"/>
          </rPr>
          <t xml:space="preserve">
30% 
110</t>
        </r>
      </text>
    </comment>
    <comment ref="K812" authorId="0" shapeId="0" xr:uid="{48E15C05-647E-4C0E-9E7B-39D22FAE035A}">
      <text>
        <r>
          <rPr>
            <b/>
            <sz val="9"/>
            <color indexed="81"/>
            <rFont val="MS P ゴシック"/>
            <family val="3"/>
            <charset val="128"/>
          </rPr>
          <t>sunfashion:</t>
        </r>
        <r>
          <rPr>
            <sz val="9"/>
            <color indexed="81"/>
            <rFont val="MS P ゴシック"/>
            <family val="3"/>
            <charset val="128"/>
          </rPr>
          <t xml:space="preserve">
30% 
110</t>
        </r>
      </text>
    </comment>
    <comment ref="K813" authorId="0" shapeId="0" xr:uid="{9C5DCBB4-6D2A-44DD-BDDE-C60BD1136909}">
      <text>
        <r>
          <rPr>
            <b/>
            <sz val="9"/>
            <color indexed="81"/>
            <rFont val="MS P ゴシック"/>
            <family val="3"/>
            <charset val="128"/>
          </rPr>
          <t>sunfashion:</t>
        </r>
        <r>
          <rPr>
            <sz val="9"/>
            <color indexed="81"/>
            <rFont val="MS P ゴシック"/>
            <family val="3"/>
            <charset val="128"/>
          </rPr>
          <t xml:space="preserve">
30% 
110</t>
        </r>
      </text>
    </comment>
    <comment ref="K814" authorId="0" shapeId="0" xr:uid="{6AFD23BB-D28F-4B24-A12E-288543765425}">
      <text>
        <r>
          <rPr>
            <b/>
            <sz val="9"/>
            <color indexed="81"/>
            <rFont val="MS P ゴシック"/>
            <family val="3"/>
            <charset val="128"/>
          </rPr>
          <t>sunfashion:</t>
        </r>
        <r>
          <rPr>
            <sz val="9"/>
            <color indexed="81"/>
            <rFont val="MS P ゴシック"/>
            <family val="3"/>
            <charset val="128"/>
          </rPr>
          <t xml:space="preserve">
20% 
110</t>
        </r>
      </text>
    </comment>
    <comment ref="K819" authorId="0" shapeId="0" xr:uid="{F18F57D4-061F-4B7D-ABF2-1DD6F1A472AD}">
      <text>
        <r>
          <rPr>
            <b/>
            <sz val="9"/>
            <color indexed="81"/>
            <rFont val="MS P ゴシック"/>
            <family val="3"/>
            <charset val="128"/>
          </rPr>
          <t>sunfashion:</t>
        </r>
        <r>
          <rPr>
            <sz val="9"/>
            <color indexed="81"/>
            <rFont val="MS P ゴシック"/>
            <family val="3"/>
            <charset val="128"/>
          </rPr>
          <t xml:space="preserve">
40% 
レート110</t>
        </r>
      </text>
    </comment>
    <comment ref="K820" authorId="0" shapeId="0" xr:uid="{F54F0949-E1A2-409E-B790-11D350347E96}">
      <text>
        <r>
          <rPr>
            <b/>
            <sz val="9"/>
            <color indexed="81"/>
            <rFont val="MS P ゴシック"/>
            <family val="3"/>
            <charset val="128"/>
          </rPr>
          <t>sunfashion:</t>
        </r>
        <r>
          <rPr>
            <sz val="9"/>
            <color indexed="81"/>
            <rFont val="MS P ゴシック"/>
            <family val="3"/>
            <charset val="128"/>
          </rPr>
          <t xml:space="preserve">
40% 
レート110</t>
        </r>
      </text>
    </comment>
    <comment ref="E824" authorId="0" shapeId="0" xr:uid="{5317B8A7-BF3D-484D-A49E-39738A4F3E3C}">
      <text>
        <r>
          <rPr>
            <b/>
            <sz val="9"/>
            <color indexed="81"/>
            <rFont val="MS P ゴシック"/>
            <family val="3"/>
            <charset val="128"/>
          </rPr>
          <t>sunfashion:</t>
        </r>
        <r>
          <rPr>
            <sz val="9"/>
            <color indexed="81"/>
            <rFont val="MS P ゴシック"/>
            <family val="3"/>
            <charset val="128"/>
          </rPr>
          <t xml:space="preserve">
PI 2947</t>
        </r>
      </text>
    </comment>
    <comment ref="K830" authorId="0" shapeId="0" xr:uid="{F17FD174-BF0F-4686-AE4C-222044AEFF9C}">
      <text>
        <r>
          <rPr>
            <b/>
            <sz val="9"/>
            <color indexed="81"/>
            <rFont val="MS P ゴシック"/>
            <family val="3"/>
            <charset val="128"/>
          </rPr>
          <t>sunfashion:</t>
        </r>
        <r>
          <rPr>
            <sz val="9"/>
            <color indexed="81"/>
            <rFont val="MS P ゴシック"/>
            <family val="3"/>
            <charset val="128"/>
          </rPr>
          <t xml:space="preserve">
30% 
110</t>
        </r>
      </text>
    </comment>
    <comment ref="E834" authorId="1" shapeId="0" xr:uid="{4415EECC-8615-4A8F-A8A7-EFD5BA158E6C}">
      <text>
        <r>
          <rPr>
            <b/>
            <sz val="9"/>
            <color indexed="81"/>
            <rFont val="MS P ゴシック"/>
            <family val="3"/>
            <charset val="128"/>
          </rPr>
          <t>chiba:</t>
        </r>
        <r>
          <rPr>
            <sz val="9"/>
            <color indexed="81"/>
            <rFont val="MS P ゴシック"/>
            <family val="3"/>
            <charset val="128"/>
          </rPr>
          <t xml:space="preserve">
KKF9225  D/# 1</t>
        </r>
      </text>
    </comment>
    <comment ref="K834" authorId="1" shapeId="0" xr:uid="{C17104AD-3940-4743-9BB6-CC7FB3BCD60A}">
      <text>
        <r>
          <rPr>
            <b/>
            <sz val="9"/>
            <color indexed="81"/>
            <rFont val="MS P ゴシック"/>
            <family val="3"/>
            <charset val="128"/>
          </rPr>
          <t>chiba:</t>
        </r>
        <r>
          <rPr>
            <sz val="9"/>
            <color indexed="81"/>
            <rFont val="MS P ゴシック"/>
            <family val="3"/>
            <charset val="128"/>
          </rPr>
          <t xml:space="preserve">
20% 
110</t>
        </r>
      </text>
    </comment>
    <comment ref="E838" authorId="0" shapeId="0" xr:uid="{3EEE0616-9199-47FD-934F-2D1E395E87D9}">
      <text>
        <r>
          <rPr>
            <b/>
            <sz val="9"/>
            <color indexed="81"/>
            <rFont val="MS P ゴシック"/>
            <family val="3"/>
            <charset val="128"/>
          </rPr>
          <t>sunfashion:</t>
        </r>
        <r>
          <rPr>
            <sz val="9"/>
            <color indexed="81"/>
            <rFont val="MS P ゴシック"/>
            <family val="3"/>
            <charset val="128"/>
          </rPr>
          <t xml:space="preserve">
PI 2974</t>
        </r>
      </text>
    </comment>
    <comment ref="K843" authorId="0" shapeId="0" xr:uid="{8360263E-0888-472F-8815-E81D6516F56E}">
      <text>
        <r>
          <rPr>
            <b/>
            <sz val="9"/>
            <color indexed="81"/>
            <rFont val="MS P ゴシック"/>
            <family val="3"/>
            <charset val="128"/>
          </rPr>
          <t>sunfashion:</t>
        </r>
        <r>
          <rPr>
            <sz val="9"/>
            <color indexed="81"/>
            <rFont val="MS P ゴシック"/>
            <family val="3"/>
            <charset val="128"/>
          </rPr>
          <t xml:space="preserve">
30% 
110</t>
        </r>
      </text>
    </comment>
    <comment ref="E846" authorId="0" shapeId="0" xr:uid="{E25AABF2-FF59-47EE-8F9B-142A9B41A7B3}">
      <text>
        <r>
          <rPr>
            <b/>
            <sz val="9"/>
            <color indexed="81"/>
            <rFont val="MS P ゴシック"/>
            <family val="3"/>
            <charset val="128"/>
          </rPr>
          <t>sunfashion:</t>
        </r>
        <r>
          <rPr>
            <sz val="9"/>
            <color indexed="81"/>
            <rFont val="MS P ゴシック"/>
            <family val="3"/>
            <charset val="128"/>
          </rPr>
          <t xml:space="preserve">
PI 2982
</t>
        </r>
      </text>
    </comment>
    <comment ref="K851" authorId="0" shapeId="0" xr:uid="{D72EF062-BF67-4BCB-BB70-5D4B70DC7BFB}">
      <text>
        <r>
          <rPr>
            <b/>
            <sz val="9"/>
            <color indexed="81"/>
            <rFont val="MS P ゴシック"/>
            <family val="3"/>
            <charset val="128"/>
          </rPr>
          <t>sunfashion:</t>
        </r>
        <r>
          <rPr>
            <sz val="9"/>
            <color indexed="81"/>
            <rFont val="MS P ゴシック"/>
            <family val="3"/>
            <charset val="128"/>
          </rPr>
          <t xml:space="preserve">
30% 
110</t>
        </r>
      </text>
    </comment>
    <comment ref="K852" authorId="0" shapeId="0" xr:uid="{3A7AB744-D3E1-428F-B4C5-E5C19F1EB477}">
      <text>
        <r>
          <rPr>
            <b/>
            <sz val="9"/>
            <color indexed="81"/>
            <rFont val="MS P ゴシック"/>
            <family val="3"/>
            <charset val="128"/>
          </rPr>
          <t>sunfashion:</t>
        </r>
        <r>
          <rPr>
            <sz val="9"/>
            <color indexed="81"/>
            <rFont val="MS P ゴシック"/>
            <family val="3"/>
            <charset val="128"/>
          </rPr>
          <t xml:space="preserve">
30% 
110</t>
        </r>
      </text>
    </comment>
    <comment ref="K853" authorId="0" shapeId="0" xr:uid="{C2AB7127-593F-460C-A122-DE94E5B04F8C}">
      <text>
        <r>
          <rPr>
            <b/>
            <sz val="9"/>
            <color indexed="81"/>
            <rFont val="MS P ゴシック"/>
            <family val="3"/>
            <charset val="128"/>
          </rPr>
          <t>sunfashion:</t>
        </r>
        <r>
          <rPr>
            <sz val="9"/>
            <color indexed="81"/>
            <rFont val="MS P ゴシック"/>
            <family val="3"/>
            <charset val="128"/>
          </rPr>
          <t xml:space="preserve">
30% 
110</t>
        </r>
      </text>
    </comment>
    <comment ref="K854" authorId="0" shapeId="0" xr:uid="{0D8820AA-1562-4C56-BE2E-6A39D948C00C}">
      <text>
        <r>
          <rPr>
            <b/>
            <sz val="9"/>
            <color indexed="81"/>
            <rFont val="MS P ゴシック"/>
            <family val="3"/>
            <charset val="128"/>
          </rPr>
          <t>sunfashion:</t>
        </r>
        <r>
          <rPr>
            <sz val="9"/>
            <color indexed="81"/>
            <rFont val="MS P ゴシック"/>
            <family val="3"/>
            <charset val="128"/>
          </rPr>
          <t xml:space="preserve">
30% 
110</t>
        </r>
      </text>
    </comment>
    <comment ref="K856" authorId="0" shapeId="0" xr:uid="{3BADF878-FC3A-4C0B-829F-57DF3F83773C}">
      <text>
        <r>
          <rPr>
            <b/>
            <sz val="9"/>
            <color indexed="81"/>
            <rFont val="MS P ゴシック"/>
            <family val="3"/>
            <charset val="128"/>
          </rPr>
          <t>sunfashion:</t>
        </r>
        <r>
          <rPr>
            <sz val="9"/>
            <color indexed="81"/>
            <rFont val="MS P ゴシック"/>
            <family val="3"/>
            <charset val="128"/>
          </rPr>
          <t xml:space="preserve">
30% 
110</t>
        </r>
      </text>
    </comment>
    <comment ref="K857" authorId="0" shapeId="0" xr:uid="{90FFAE86-6E85-4DB8-B71C-3ABE9AA8F2A2}">
      <text>
        <r>
          <rPr>
            <b/>
            <sz val="9"/>
            <color indexed="81"/>
            <rFont val="MS P ゴシック"/>
            <family val="3"/>
            <charset val="128"/>
          </rPr>
          <t>sunfashion:</t>
        </r>
        <r>
          <rPr>
            <sz val="9"/>
            <color indexed="81"/>
            <rFont val="MS P ゴシック"/>
            <family val="3"/>
            <charset val="128"/>
          </rPr>
          <t xml:space="preserve">
30% 
110</t>
        </r>
      </text>
    </comment>
    <comment ref="K861" authorId="0" shapeId="0" xr:uid="{9023C459-3ED8-42CD-85CB-111BC818FA06}">
      <text>
        <r>
          <rPr>
            <b/>
            <sz val="9"/>
            <color indexed="81"/>
            <rFont val="MS P ゴシック"/>
            <family val="3"/>
            <charset val="128"/>
          </rPr>
          <t>sunfashion:</t>
        </r>
        <r>
          <rPr>
            <sz val="9"/>
            <color indexed="81"/>
            <rFont val="MS P ゴシック"/>
            <family val="3"/>
            <charset val="128"/>
          </rPr>
          <t xml:space="preserve">
30% 
110</t>
        </r>
      </text>
    </comment>
    <comment ref="K862" authorId="0" shapeId="0" xr:uid="{535E90C9-3FA3-4166-8F5F-AA7AF215B2EE}">
      <text>
        <r>
          <rPr>
            <b/>
            <sz val="9"/>
            <color indexed="81"/>
            <rFont val="MS P ゴシック"/>
            <family val="3"/>
            <charset val="128"/>
          </rPr>
          <t>sunfashion:</t>
        </r>
        <r>
          <rPr>
            <sz val="9"/>
            <color indexed="81"/>
            <rFont val="MS P ゴシック"/>
            <family val="3"/>
            <charset val="128"/>
          </rPr>
          <t xml:space="preserve">
30% 
110</t>
        </r>
      </text>
    </comment>
    <comment ref="K863" authorId="0" shapeId="0" xr:uid="{A2963409-F1D8-4BC0-BAD2-83E3C4819DDD}">
      <text>
        <r>
          <rPr>
            <b/>
            <sz val="9"/>
            <color indexed="81"/>
            <rFont val="MS P ゴシック"/>
            <family val="3"/>
            <charset val="128"/>
          </rPr>
          <t>sunfashion:</t>
        </r>
        <r>
          <rPr>
            <sz val="9"/>
            <color indexed="81"/>
            <rFont val="MS P ゴシック"/>
            <family val="3"/>
            <charset val="128"/>
          </rPr>
          <t xml:space="preserve">
30% 
110</t>
        </r>
      </text>
    </comment>
    <comment ref="K864" authorId="0" shapeId="0" xr:uid="{E15D306D-D41A-4018-ACD5-6C0F74C17400}">
      <text>
        <r>
          <rPr>
            <b/>
            <sz val="9"/>
            <color indexed="81"/>
            <rFont val="MS P ゴシック"/>
            <family val="3"/>
            <charset val="128"/>
          </rPr>
          <t>sunfashion:</t>
        </r>
        <r>
          <rPr>
            <sz val="9"/>
            <color indexed="81"/>
            <rFont val="MS P ゴシック"/>
            <family val="3"/>
            <charset val="128"/>
          </rPr>
          <t xml:space="preserve">
30% 
110</t>
        </r>
      </text>
    </comment>
    <comment ref="K865" authorId="0" shapeId="0" xr:uid="{8CC02A76-7BC0-4448-80BA-8A5F88294495}">
      <text>
        <r>
          <rPr>
            <b/>
            <sz val="9"/>
            <color indexed="81"/>
            <rFont val="MS P ゴシック"/>
            <family val="3"/>
            <charset val="128"/>
          </rPr>
          <t>sunfashion:</t>
        </r>
        <r>
          <rPr>
            <sz val="9"/>
            <color indexed="81"/>
            <rFont val="MS P ゴシック"/>
            <family val="3"/>
            <charset val="128"/>
          </rPr>
          <t xml:space="preserve">
30% 
110</t>
        </r>
      </text>
    </comment>
    <comment ref="K866" authorId="0" shapeId="0" xr:uid="{7AB7EC58-12EA-4197-9758-32629B6F412D}">
      <text>
        <r>
          <rPr>
            <b/>
            <sz val="9"/>
            <color indexed="81"/>
            <rFont val="MS P ゴシック"/>
            <family val="3"/>
            <charset val="128"/>
          </rPr>
          <t>sunfashion:</t>
        </r>
        <r>
          <rPr>
            <sz val="9"/>
            <color indexed="81"/>
            <rFont val="MS P ゴシック"/>
            <family val="3"/>
            <charset val="128"/>
          </rPr>
          <t xml:space="preserve">
30% 
110</t>
        </r>
      </text>
    </comment>
    <comment ref="K867" authorId="0" shapeId="0" xr:uid="{9A51A8B4-B62A-40FF-8C8F-691533239154}">
      <text>
        <r>
          <rPr>
            <b/>
            <sz val="9"/>
            <color indexed="81"/>
            <rFont val="MS P ゴシック"/>
            <family val="3"/>
            <charset val="128"/>
          </rPr>
          <t>sunfashion:</t>
        </r>
        <r>
          <rPr>
            <sz val="9"/>
            <color indexed="81"/>
            <rFont val="MS P ゴシック"/>
            <family val="3"/>
            <charset val="128"/>
          </rPr>
          <t xml:space="preserve">
30% 
110</t>
        </r>
      </text>
    </comment>
    <comment ref="K868" authorId="0" shapeId="0" xr:uid="{93EEB333-BA6D-4DC6-8FFA-302EAD35135B}">
      <text>
        <r>
          <rPr>
            <b/>
            <sz val="9"/>
            <color indexed="81"/>
            <rFont val="MS P ゴシック"/>
            <family val="3"/>
            <charset val="128"/>
          </rPr>
          <t>sunfashion:</t>
        </r>
        <r>
          <rPr>
            <sz val="9"/>
            <color indexed="81"/>
            <rFont val="MS P ゴシック"/>
            <family val="3"/>
            <charset val="128"/>
          </rPr>
          <t xml:space="preserve">
30% 
110</t>
        </r>
      </text>
    </comment>
    <comment ref="K869" authorId="0" shapeId="0" xr:uid="{9649DB66-DF26-4D82-A771-C680EE3CAB18}">
      <text>
        <r>
          <rPr>
            <b/>
            <sz val="9"/>
            <color indexed="81"/>
            <rFont val="MS P ゴシック"/>
            <family val="3"/>
            <charset val="128"/>
          </rPr>
          <t>sunfashion:</t>
        </r>
        <r>
          <rPr>
            <sz val="9"/>
            <color indexed="81"/>
            <rFont val="MS P ゴシック"/>
            <family val="3"/>
            <charset val="128"/>
          </rPr>
          <t xml:space="preserve">
30% 
110</t>
        </r>
      </text>
    </comment>
    <comment ref="K870" authorId="0" shapeId="0" xr:uid="{E2DAD1EB-6940-4A49-9324-035AECDFAF41}">
      <text>
        <r>
          <rPr>
            <b/>
            <sz val="9"/>
            <color indexed="81"/>
            <rFont val="MS P ゴシック"/>
            <family val="3"/>
            <charset val="128"/>
          </rPr>
          <t>sunfashion:</t>
        </r>
        <r>
          <rPr>
            <sz val="9"/>
            <color indexed="81"/>
            <rFont val="MS P ゴシック"/>
            <family val="3"/>
            <charset val="128"/>
          </rPr>
          <t xml:space="preserve">
30% 
110</t>
        </r>
      </text>
    </comment>
    <comment ref="K871" authorId="0" shapeId="0" xr:uid="{41DD9936-924B-4F9A-8F6D-26947FE429F2}">
      <text>
        <r>
          <rPr>
            <b/>
            <sz val="9"/>
            <color indexed="81"/>
            <rFont val="MS P ゴシック"/>
            <family val="3"/>
            <charset val="128"/>
          </rPr>
          <t>sunfashion:</t>
        </r>
        <r>
          <rPr>
            <sz val="9"/>
            <color indexed="81"/>
            <rFont val="MS P ゴシック"/>
            <family val="3"/>
            <charset val="128"/>
          </rPr>
          <t xml:space="preserve">
30% 
110</t>
        </r>
      </text>
    </comment>
    <comment ref="K882" authorId="0" shapeId="0" xr:uid="{110CADA9-12C8-4858-A8B2-B00449C5F7AF}">
      <text>
        <r>
          <rPr>
            <b/>
            <sz val="9"/>
            <color indexed="81"/>
            <rFont val="MS P ゴシック"/>
            <family val="3"/>
            <charset val="128"/>
          </rPr>
          <t>sunfashion:</t>
        </r>
        <r>
          <rPr>
            <sz val="9"/>
            <color indexed="81"/>
            <rFont val="MS P ゴシック"/>
            <family val="3"/>
            <charset val="128"/>
          </rPr>
          <t xml:space="preserve">
40% 
レート110</t>
        </r>
      </text>
    </comment>
    <comment ref="K883" authorId="0" shapeId="0" xr:uid="{06309C94-AF17-458D-A60F-2D32F1BA7D8C}">
      <text>
        <r>
          <rPr>
            <b/>
            <sz val="9"/>
            <color indexed="81"/>
            <rFont val="MS P ゴシック"/>
            <family val="3"/>
            <charset val="128"/>
          </rPr>
          <t>sunfashion:</t>
        </r>
        <r>
          <rPr>
            <sz val="9"/>
            <color indexed="81"/>
            <rFont val="MS P ゴシック"/>
            <family val="3"/>
            <charset val="128"/>
          </rPr>
          <t xml:space="preserve">
40% 
レート110</t>
        </r>
      </text>
    </comment>
    <comment ref="K887" authorId="0" shapeId="0" xr:uid="{D23EA276-9608-49C6-A90F-C03FC4ABC9BF}">
      <text>
        <r>
          <rPr>
            <b/>
            <sz val="9"/>
            <color indexed="81"/>
            <rFont val="MS P ゴシック"/>
            <family val="3"/>
            <charset val="128"/>
          </rPr>
          <t>sunfashion:</t>
        </r>
        <r>
          <rPr>
            <sz val="9"/>
            <color indexed="81"/>
            <rFont val="MS P ゴシック"/>
            <family val="3"/>
            <charset val="128"/>
          </rPr>
          <t xml:space="preserve">
20%
110</t>
        </r>
      </text>
    </comment>
    <comment ref="K889" authorId="0" shapeId="0" xr:uid="{4F00ADF0-BDCF-4F25-9B70-3190856FA045}">
      <text>
        <r>
          <rPr>
            <b/>
            <sz val="9"/>
            <color indexed="81"/>
            <rFont val="MS P ゴシック"/>
            <family val="3"/>
            <charset val="128"/>
          </rPr>
          <t>sunfashion:</t>
        </r>
        <r>
          <rPr>
            <sz val="9"/>
            <color indexed="81"/>
            <rFont val="MS P ゴシック"/>
            <family val="3"/>
            <charset val="128"/>
          </rPr>
          <t xml:space="preserve">
30%
110
</t>
        </r>
      </text>
    </comment>
    <comment ref="K890" authorId="0" shapeId="0" xr:uid="{B989CA3C-795F-4B4B-B320-AFA8502C32BB}">
      <text>
        <r>
          <rPr>
            <b/>
            <sz val="9"/>
            <color indexed="81"/>
            <rFont val="MS P ゴシック"/>
            <family val="3"/>
            <charset val="128"/>
          </rPr>
          <t>sunfashion:</t>
        </r>
        <r>
          <rPr>
            <sz val="9"/>
            <color indexed="81"/>
            <rFont val="MS P ゴシック"/>
            <family val="3"/>
            <charset val="128"/>
          </rPr>
          <t xml:space="preserve">
30%
110
</t>
        </r>
      </text>
    </comment>
    <comment ref="K891" authorId="0" shapeId="0" xr:uid="{7E13D1D7-5F0C-4A71-AA12-54586C0BF06C}">
      <text>
        <r>
          <rPr>
            <b/>
            <sz val="9"/>
            <color indexed="81"/>
            <rFont val="MS P ゴシック"/>
            <family val="3"/>
            <charset val="128"/>
          </rPr>
          <t>sunfashion:</t>
        </r>
        <r>
          <rPr>
            <sz val="9"/>
            <color indexed="81"/>
            <rFont val="MS P ゴシック"/>
            <family val="3"/>
            <charset val="128"/>
          </rPr>
          <t xml:space="preserve">
30%
110
</t>
        </r>
      </text>
    </comment>
    <comment ref="K892" authorId="0" shapeId="0" xr:uid="{0E44C514-95E5-4D7B-BC63-30DED80ED9DC}">
      <text>
        <r>
          <rPr>
            <b/>
            <sz val="9"/>
            <color indexed="81"/>
            <rFont val="MS P ゴシック"/>
            <family val="3"/>
            <charset val="128"/>
          </rPr>
          <t>sunfashion:</t>
        </r>
        <r>
          <rPr>
            <sz val="9"/>
            <color indexed="81"/>
            <rFont val="MS P ゴシック"/>
            <family val="3"/>
            <charset val="128"/>
          </rPr>
          <t xml:space="preserve">
30%
110
</t>
        </r>
      </text>
    </comment>
    <comment ref="K893" authorId="0" shapeId="0" xr:uid="{C1809875-0883-4942-93A9-60095C130CCA}">
      <text>
        <r>
          <rPr>
            <b/>
            <sz val="9"/>
            <color indexed="81"/>
            <rFont val="MS P ゴシック"/>
            <family val="3"/>
            <charset val="128"/>
          </rPr>
          <t>sunfashion:</t>
        </r>
        <r>
          <rPr>
            <sz val="9"/>
            <color indexed="81"/>
            <rFont val="MS P ゴシック"/>
            <family val="3"/>
            <charset val="128"/>
          </rPr>
          <t xml:space="preserve">
30%
110
</t>
        </r>
      </text>
    </comment>
    <comment ref="K894" authorId="0" shapeId="0" xr:uid="{23771489-BBAD-421C-B092-6ADA027FDDD2}">
      <text>
        <r>
          <rPr>
            <b/>
            <sz val="9"/>
            <color indexed="81"/>
            <rFont val="MS P ゴシック"/>
            <family val="3"/>
            <charset val="128"/>
          </rPr>
          <t>sunfashion:</t>
        </r>
        <r>
          <rPr>
            <sz val="9"/>
            <color indexed="81"/>
            <rFont val="MS P ゴシック"/>
            <family val="3"/>
            <charset val="128"/>
          </rPr>
          <t xml:space="preserve">
30%
110
</t>
        </r>
      </text>
    </comment>
    <comment ref="K895" authorId="0" shapeId="0" xr:uid="{2B23CF02-3F92-4E30-9424-3C03ED7D0661}">
      <text>
        <r>
          <rPr>
            <b/>
            <sz val="9"/>
            <color indexed="81"/>
            <rFont val="MS P ゴシック"/>
            <family val="3"/>
            <charset val="128"/>
          </rPr>
          <t>sunfashion:</t>
        </r>
        <r>
          <rPr>
            <sz val="9"/>
            <color indexed="81"/>
            <rFont val="MS P ゴシック"/>
            <family val="3"/>
            <charset val="128"/>
          </rPr>
          <t xml:space="preserve">
30%
110
</t>
        </r>
      </text>
    </comment>
    <comment ref="K896" authorId="0" shapeId="0" xr:uid="{EB991E7E-89FA-48FA-A84C-D1D291256B98}">
      <text>
        <r>
          <rPr>
            <b/>
            <sz val="9"/>
            <color indexed="81"/>
            <rFont val="MS P ゴシック"/>
            <family val="3"/>
            <charset val="128"/>
          </rPr>
          <t>sunfashion:</t>
        </r>
        <r>
          <rPr>
            <sz val="9"/>
            <color indexed="81"/>
            <rFont val="MS P ゴシック"/>
            <family val="3"/>
            <charset val="128"/>
          </rPr>
          <t xml:space="preserve">
30%
110
</t>
        </r>
      </text>
    </comment>
    <comment ref="K897" authorId="0" shapeId="0" xr:uid="{224496C7-0C6D-499A-B8EA-ADC5AC7FC36D}">
      <text>
        <r>
          <rPr>
            <b/>
            <sz val="9"/>
            <color indexed="81"/>
            <rFont val="MS P ゴシック"/>
            <family val="3"/>
            <charset val="128"/>
          </rPr>
          <t>sunfashion:</t>
        </r>
        <r>
          <rPr>
            <sz val="9"/>
            <color indexed="81"/>
            <rFont val="MS P ゴシック"/>
            <family val="3"/>
            <charset val="128"/>
          </rPr>
          <t xml:space="preserve">
30%
110
</t>
        </r>
      </text>
    </comment>
    <comment ref="K898" authorId="0" shapeId="0" xr:uid="{10A03317-2874-4540-A94D-2A9F99EDCE83}">
      <text>
        <r>
          <rPr>
            <b/>
            <sz val="9"/>
            <color indexed="81"/>
            <rFont val="MS P ゴシック"/>
            <family val="3"/>
            <charset val="128"/>
          </rPr>
          <t>sunfashion:</t>
        </r>
        <r>
          <rPr>
            <sz val="9"/>
            <color indexed="81"/>
            <rFont val="MS P ゴシック"/>
            <family val="3"/>
            <charset val="128"/>
          </rPr>
          <t xml:space="preserve">
30%
110
</t>
        </r>
      </text>
    </comment>
    <comment ref="K901" authorId="0" shapeId="0" xr:uid="{D0BDE95D-65DA-4BC6-BB92-BAAB05FA1617}">
      <text>
        <r>
          <rPr>
            <b/>
            <sz val="9"/>
            <color indexed="81"/>
            <rFont val="MS P ゴシック"/>
            <family val="3"/>
            <charset val="128"/>
          </rPr>
          <t>sunfashion:</t>
        </r>
        <r>
          <rPr>
            <sz val="9"/>
            <color indexed="81"/>
            <rFont val="MS P ゴシック"/>
            <family val="3"/>
            <charset val="128"/>
          </rPr>
          <t xml:space="preserve">
30%
110
</t>
        </r>
      </text>
    </comment>
    <comment ref="K909" authorId="0" shapeId="0" xr:uid="{8DEB1408-C541-4369-827A-4C73A1845A5B}">
      <text>
        <r>
          <rPr>
            <b/>
            <sz val="9"/>
            <color indexed="81"/>
            <rFont val="MS P ゴシック"/>
            <family val="3"/>
            <charset val="128"/>
          </rPr>
          <t>sunfashion:</t>
        </r>
        <r>
          <rPr>
            <sz val="9"/>
            <color indexed="81"/>
            <rFont val="MS P ゴシック"/>
            <family val="3"/>
            <charset val="128"/>
          </rPr>
          <t xml:space="preserve">
30%
110
</t>
        </r>
      </text>
    </comment>
    <comment ref="K919" authorId="0" shapeId="0" xr:uid="{25178180-D4B4-427B-9720-575C04F75BF9}">
      <text>
        <r>
          <rPr>
            <b/>
            <sz val="9"/>
            <color indexed="81"/>
            <rFont val="MS P ゴシック"/>
            <family val="3"/>
            <charset val="128"/>
          </rPr>
          <t>sunfashion:</t>
        </r>
        <r>
          <rPr>
            <sz val="9"/>
            <color indexed="81"/>
            <rFont val="MS P ゴシック"/>
            <family val="3"/>
            <charset val="128"/>
          </rPr>
          <t xml:space="preserve">
30%
110
</t>
        </r>
      </text>
    </comment>
    <comment ref="K923" authorId="0" shapeId="0" xr:uid="{88EA98E3-F2FE-4430-B004-CDC1464D2D0B}">
      <text>
        <r>
          <rPr>
            <b/>
            <sz val="9"/>
            <color indexed="81"/>
            <rFont val="MS P ゴシック"/>
            <family val="3"/>
            <charset val="128"/>
          </rPr>
          <t>sunfashion:</t>
        </r>
        <r>
          <rPr>
            <sz val="9"/>
            <color indexed="81"/>
            <rFont val="MS P ゴシック"/>
            <family val="3"/>
            <charset val="128"/>
          </rPr>
          <t xml:space="preserve">
20%
110</t>
        </r>
      </text>
    </comment>
    <comment ref="E928" authorId="1" shapeId="0" xr:uid="{D27D410B-215F-40A6-9A70-769FB0522D13}">
      <text>
        <r>
          <rPr>
            <b/>
            <sz val="9"/>
            <color indexed="81"/>
            <rFont val="MS P ゴシック"/>
            <family val="3"/>
            <charset val="128"/>
          </rPr>
          <t>chiba:</t>
        </r>
        <r>
          <rPr>
            <sz val="9"/>
            <color indexed="81"/>
            <rFont val="MS P ゴシック"/>
            <family val="3"/>
            <charset val="128"/>
          </rPr>
          <t xml:space="preserve">
INV# 3209 使用</t>
        </r>
      </text>
    </comment>
    <comment ref="K928" authorId="0" shapeId="0" xr:uid="{F66D809C-8FAF-414B-8972-8CF7A4FD1297}">
      <text>
        <r>
          <rPr>
            <b/>
            <sz val="9"/>
            <color indexed="81"/>
            <rFont val="MS P ゴシック"/>
            <family val="3"/>
            <charset val="128"/>
          </rPr>
          <t>sunfashion:</t>
        </r>
        <r>
          <rPr>
            <sz val="9"/>
            <color indexed="81"/>
            <rFont val="MS P ゴシック"/>
            <family val="3"/>
            <charset val="128"/>
          </rPr>
          <t xml:space="preserve">
30%
110
</t>
        </r>
      </text>
    </comment>
    <comment ref="E932" authorId="1" shapeId="0" xr:uid="{1897979A-5872-4532-8095-35A9B38F89EF}">
      <text>
        <r>
          <rPr>
            <b/>
            <sz val="9"/>
            <color indexed="81"/>
            <rFont val="MS P ゴシック"/>
            <family val="3"/>
            <charset val="128"/>
          </rPr>
          <t>chiba:</t>
        </r>
        <r>
          <rPr>
            <sz val="9"/>
            <color indexed="81"/>
            <rFont val="MS P ゴシック"/>
            <family val="3"/>
            <charset val="128"/>
          </rPr>
          <t xml:space="preserve">
社内在庫より出荷</t>
        </r>
      </text>
    </comment>
    <comment ref="K932" authorId="0" shapeId="0" xr:uid="{EE9EAEAD-98EB-445B-8EA4-8B0E0A2478F1}">
      <text>
        <r>
          <rPr>
            <b/>
            <sz val="9"/>
            <color indexed="81"/>
            <rFont val="MS P ゴシック"/>
            <family val="3"/>
            <charset val="128"/>
          </rPr>
          <t>sunfashion:</t>
        </r>
        <r>
          <rPr>
            <sz val="9"/>
            <color indexed="81"/>
            <rFont val="MS P ゴシック"/>
            <family val="3"/>
            <charset val="128"/>
          </rPr>
          <t xml:space="preserve">
40% 
レート110</t>
        </r>
      </text>
    </comment>
    <comment ref="P932" authorId="1" shapeId="0" xr:uid="{C4AD1ADF-CD45-44F9-9ADD-AEE8B8815BC9}">
      <text>
        <r>
          <rPr>
            <b/>
            <sz val="9"/>
            <color indexed="81"/>
            <rFont val="MS P ゴシック"/>
            <family val="3"/>
            <charset val="128"/>
          </rPr>
          <t>chiba:</t>
        </r>
        <r>
          <rPr>
            <sz val="9"/>
            <color indexed="81"/>
            <rFont val="MS P ゴシック"/>
            <family val="3"/>
            <charset val="128"/>
          </rPr>
          <t xml:space="preserve">
社内在庫単価</t>
        </r>
      </text>
    </comment>
    <comment ref="E933" authorId="1" shapeId="0" xr:uid="{FFB6CF4D-8F7B-4A3E-979B-B52CDAE325B8}">
      <text>
        <r>
          <rPr>
            <b/>
            <sz val="9"/>
            <color indexed="81"/>
            <rFont val="MS P ゴシック"/>
            <family val="3"/>
            <charset val="128"/>
          </rPr>
          <t>chiba:</t>
        </r>
        <r>
          <rPr>
            <sz val="9"/>
            <color indexed="81"/>
            <rFont val="MS P ゴシック"/>
            <family val="3"/>
            <charset val="128"/>
          </rPr>
          <t xml:space="preserve">
社内在庫より出荷</t>
        </r>
      </text>
    </comment>
    <comment ref="K933" authorId="0" shapeId="0" xr:uid="{6DA8A856-9D35-4E97-BB55-70C45AB9FDFF}">
      <text>
        <r>
          <rPr>
            <b/>
            <sz val="9"/>
            <color indexed="81"/>
            <rFont val="MS P ゴシック"/>
            <family val="3"/>
            <charset val="128"/>
          </rPr>
          <t>sunfashion:</t>
        </r>
        <r>
          <rPr>
            <sz val="9"/>
            <color indexed="81"/>
            <rFont val="MS P ゴシック"/>
            <family val="3"/>
            <charset val="128"/>
          </rPr>
          <t xml:space="preserve">
40% 
レート110</t>
        </r>
      </text>
    </comment>
    <comment ref="E934" authorId="1" shapeId="0" xr:uid="{0E2C4726-4438-4DD3-856D-BF246E9440B3}">
      <text>
        <r>
          <rPr>
            <b/>
            <sz val="9"/>
            <color indexed="81"/>
            <rFont val="MS P ゴシック"/>
            <family val="3"/>
            <charset val="128"/>
          </rPr>
          <t>chiba:</t>
        </r>
        <r>
          <rPr>
            <sz val="9"/>
            <color indexed="81"/>
            <rFont val="MS P ゴシック"/>
            <family val="3"/>
            <charset val="128"/>
          </rPr>
          <t xml:space="preserve">
社内在庫より出荷</t>
        </r>
      </text>
    </comment>
    <comment ref="K934" authorId="0" shapeId="0" xr:uid="{4422CAE6-0E53-49E4-A580-ABD49395ADB1}">
      <text>
        <r>
          <rPr>
            <b/>
            <sz val="9"/>
            <color indexed="81"/>
            <rFont val="MS P ゴシック"/>
            <family val="3"/>
            <charset val="128"/>
          </rPr>
          <t>sunfashion:</t>
        </r>
        <r>
          <rPr>
            <sz val="9"/>
            <color indexed="81"/>
            <rFont val="MS P ゴシック"/>
            <family val="3"/>
            <charset val="128"/>
          </rPr>
          <t xml:space="preserve">
40% 
レート110</t>
        </r>
      </text>
    </comment>
    <comment ref="P934" authorId="1" shapeId="0" xr:uid="{3C77DC85-AE60-48DA-AFE8-06D27A60C070}">
      <text>
        <r>
          <rPr>
            <b/>
            <sz val="9"/>
            <color indexed="81"/>
            <rFont val="MS P ゴシック"/>
            <family val="3"/>
            <charset val="128"/>
          </rPr>
          <t>chiba:</t>
        </r>
        <r>
          <rPr>
            <sz val="9"/>
            <color indexed="81"/>
            <rFont val="MS P ゴシック"/>
            <family val="3"/>
            <charset val="128"/>
          </rPr>
          <t xml:space="preserve">
社内在庫単価</t>
        </r>
      </text>
    </comment>
    <comment ref="E937" authorId="0" shapeId="0" xr:uid="{01231BAA-325F-4D7D-8D17-E1DDA470E7BC}">
      <text>
        <r>
          <rPr>
            <b/>
            <sz val="9"/>
            <color indexed="81"/>
            <rFont val="MS P ゴシック"/>
            <family val="3"/>
            <charset val="128"/>
          </rPr>
          <t>sunfashion:</t>
        </r>
        <r>
          <rPr>
            <sz val="9"/>
            <color indexed="81"/>
            <rFont val="MS P ゴシック"/>
            <family val="3"/>
            <charset val="128"/>
          </rPr>
          <t xml:space="preserve">
無償サンプルの運賃</t>
        </r>
      </text>
    </comment>
    <comment ref="K939" authorId="1" shapeId="0" xr:uid="{4090661A-E92E-478F-98D0-3C5642263669}">
      <text>
        <r>
          <rPr>
            <b/>
            <sz val="9"/>
            <color indexed="81"/>
            <rFont val="MS P ゴシック"/>
            <family val="3"/>
            <charset val="128"/>
          </rPr>
          <t>chiba:</t>
        </r>
        <r>
          <rPr>
            <sz val="9"/>
            <color indexed="81"/>
            <rFont val="MS P ゴシック"/>
            <family val="3"/>
            <charset val="128"/>
          </rPr>
          <t xml:space="preserve">
25% 
レート 110</t>
        </r>
      </text>
    </comment>
    <comment ref="E942" authorId="0" shapeId="0" xr:uid="{C9C5BC16-81B0-4B96-9C88-109DBE8541B7}">
      <text>
        <r>
          <rPr>
            <b/>
            <sz val="9"/>
            <color indexed="81"/>
            <rFont val="MS P ゴシック"/>
            <family val="3"/>
            <charset val="128"/>
          </rPr>
          <t>sunfashion:</t>
        </r>
        <r>
          <rPr>
            <sz val="9"/>
            <color indexed="81"/>
            <rFont val="MS P ゴシック"/>
            <family val="3"/>
            <charset val="128"/>
          </rPr>
          <t xml:space="preserve">
無償サンプルの運賃</t>
        </r>
      </text>
    </comment>
    <comment ref="K944" authorId="0" shapeId="0" xr:uid="{9E647C96-230E-4026-B287-ADC35FC5FF6F}">
      <text>
        <r>
          <rPr>
            <b/>
            <sz val="9"/>
            <color indexed="81"/>
            <rFont val="MS P ゴシック"/>
            <family val="3"/>
            <charset val="128"/>
          </rPr>
          <t>sunfashion:</t>
        </r>
        <r>
          <rPr>
            <sz val="9"/>
            <color indexed="81"/>
            <rFont val="MS P ゴシック"/>
            <family val="3"/>
            <charset val="128"/>
          </rPr>
          <t xml:space="preserve">
30%
110
</t>
        </r>
      </text>
    </comment>
    <comment ref="K948" authorId="0" shapeId="0" xr:uid="{83F9788D-4EB6-4E81-B61A-A70391426301}">
      <text>
        <r>
          <rPr>
            <b/>
            <sz val="9"/>
            <color indexed="81"/>
            <rFont val="MS P ゴシック"/>
            <family val="3"/>
            <charset val="128"/>
          </rPr>
          <t>sunfashion:</t>
        </r>
        <r>
          <rPr>
            <sz val="9"/>
            <color indexed="81"/>
            <rFont val="MS P ゴシック"/>
            <family val="3"/>
            <charset val="128"/>
          </rPr>
          <t xml:space="preserve">
30%
110
</t>
        </r>
      </text>
    </comment>
    <comment ref="K949" authorId="0" shapeId="0" xr:uid="{51997040-79CC-4681-AE87-B03D55AEB0D1}">
      <text>
        <r>
          <rPr>
            <b/>
            <sz val="9"/>
            <color indexed="81"/>
            <rFont val="MS P ゴシック"/>
            <family val="3"/>
            <charset val="128"/>
          </rPr>
          <t>sunfashion:</t>
        </r>
        <r>
          <rPr>
            <sz val="9"/>
            <color indexed="81"/>
            <rFont val="MS P ゴシック"/>
            <family val="3"/>
            <charset val="128"/>
          </rPr>
          <t xml:space="preserve">
30%
110
</t>
        </r>
      </text>
    </comment>
    <comment ref="K950" authorId="0" shapeId="0" xr:uid="{2D5FE363-C9BE-4DF9-A85A-3C422C3E0B5E}">
      <text>
        <r>
          <rPr>
            <b/>
            <sz val="9"/>
            <color indexed="81"/>
            <rFont val="MS P ゴシック"/>
            <family val="3"/>
            <charset val="128"/>
          </rPr>
          <t>sunfashion:</t>
        </r>
        <r>
          <rPr>
            <sz val="9"/>
            <color indexed="81"/>
            <rFont val="MS P ゴシック"/>
            <family val="3"/>
            <charset val="128"/>
          </rPr>
          <t xml:space="preserve">
30%
110
</t>
        </r>
      </text>
    </comment>
    <comment ref="K954" authorId="0" shapeId="0" xr:uid="{A1D65438-9CE9-42B2-AED4-F3F9B65EF483}">
      <text>
        <r>
          <rPr>
            <b/>
            <sz val="9"/>
            <color indexed="81"/>
            <rFont val="MS P ゴシック"/>
            <family val="3"/>
            <charset val="128"/>
          </rPr>
          <t>sunfashion:</t>
        </r>
        <r>
          <rPr>
            <sz val="9"/>
            <color indexed="81"/>
            <rFont val="MS P ゴシック"/>
            <family val="3"/>
            <charset val="128"/>
          </rPr>
          <t xml:space="preserve">
40% 
レート110</t>
        </r>
      </text>
    </comment>
    <comment ref="E958" authorId="0" shapeId="0" xr:uid="{F2327B62-3951-4BDD-8DFD-83FBE2D529E5}">
      <text>
        <r>
          <rPr>
            <b/>
            <sz val="9"/>
            <color indexed="81"/>
            <rFont val="MS P ゴシック"/>
            <family val="3"/>
            <charset val="128"/>
          </rPr>
          <t>sunfashion:</t>
        </r>
        <r>
          <rPr>
            <sz val="9"/>
            <color indexed="81"/>
            <rFont val="MS P ゴシック"/>
            <family val="3"/>
            <charset val="128"/>
          </rPr>
          <t xml:space="preserve">
INV # 3481</t>
        </r>
      </text>
    </comment>
    <comment ref="K958" authorId="0" shapeId="0" xr:uid="{CFE93CAF-C71B-4459-B9E1-E9B19F5C52F0}">
      <text>
        <r>
          <rPr>
            <b/>
            <sz val="9"/>
            <color indexed="81"/>
            <rFont val="MS P ゴシック"/>
            <family val="3"/>
            <charset val="128"/>
          </rPr>
          <t>sunfashion:</t>
        </r>
        <r>
          <rPr>
            <sz val="9"/>
            <color indexed="81"/>
            <rFont val="MS P ゴシック"/>
            <family val="3"/>
            <charset val="128"/>
          </rPr>
          <t xml:space="preserve">
30%
110
</t>
        </r>
      </text>
    </comment>
    <comment ref="K959" authorId="0" shapeId="0" xr:uid="{A48DBC34-63BD-4319-B8AC-14D9A45ACF02}">
      <text>
        <r>
          <rPr>
            <b/>
            <sz val="9"/>
            <color indexed="81"/>
            <rFont val="MS P ゴシック"/>
            <family val="3"/>
            <charset val="128"/>
          </rPr>
          <t>sunfashion:</t>
        </r>
        <r>
          <rPr>
            <sz val="9"/>
            <color indexed="81"/>
            <rFont val="MS P ゴシック"/>
            <family val="3"/>
            <charset val="128"/>
          </rPr>
          <t xml:space="preserve">
30%
110
</t>
        </r>
      </text>
    </comment>
    <comment ref="K961" authorId="1" shapeId="0" xr:uid="{04A2795D-921A-49A1-A21C-BEBBC22AAC89}">
      <text>
        <r>
          <rPr>
            <b/>
            <sz val="9"/>
            <color indexed="81"/>
            <rFont val="MS P ゴシック"/>
            <family val="3"/>
            <charset val="128"/>
          </rPr>
          <t>chiba:</t>
        </r>
        <r>
          <rPr>
            <sz val="9"/>
            <color indexed="81"/>
            <rFont val="MS P ゴシック"/>
            <family val="3"/>
            <charset val="128"/>
          </rPr>
          <t xml:space="preserve">
20% 
110
</t>
        </r>
      </text>
    </comment>
    <comment ref="K962" authorId="1" shapeId="0" xr:uid="{B5C71CB8-386A-400D-B34D-9E50E2233232}">
      <text>
        <r>
          <rPr>
            <b/>
            <sz val="9"/>
            <color indexed="81"/>
            <rFont val="MS P ゴシック"/>
            <family val="3"/>
            <charset val="128"/>
          </rPr>
          <t>chiba:</t>
        </r>
        <r>
          <rPr>
            <sz val="9"/>
            <color indexed="81"/>
            <rFont val="MS P ゴシック"/>
            <family val="3"/>
            <charset val="128"/>
          </rPr>
          <t xml:space="preserve">
20% 
110
</t>
        </r>
      </text>
    </comment>
    <comment ref="K963" authorId="1" shapeId="0" xr:uid="{ED72FB32-8D55-48B1-8DD0-87534A937A3B}">
      <text>
        <r>
          <rPr>
            <b/>
            <sz val="9"/>
            <color indexed="81"/>
            <rFont val="MS P ゴシック"/>
            <family val="3"/>
            <charset val="128"/>
          </rPr>
          <t>chiba:</t>
        </r>
        <r>
          <rPr>
            <sz val="9"/>
            <color indexed="81"/>
            <rFont val="MS P ゴシック"/>
            <family val="3"/>
            <charset val="128"/>
          </rPr>
          <t xml:space="preserve">
20% 
110
</t>
        </r>
      </text>
    </comment>
    <comment ref="K964" authorId="1" shapeId="0" xr:uid="{624F0B4B-4171-4BFB-A10D-F2B28368333D}">
      <text>
        <r>
          <rPr>
            <b/>
            <sz val="9"/>
            <color indexed="81"/>
            <rFont val="MS P ゴシック"/>
            <family val="3"/>
            <charset val="128"/>
          </rPr>
          <t>chiba:</t>
        </r>
        <r>
          <rPr>
            <sz val="9"/>
            <color indexed="81"/>
            <rFont val="MS P ゴシック"/>
            <family val="3"/>
            <charset val="128"/>
          </rPr>
          <t xml:space="preserve">
請求無し</t>
        </r>
      </text>
    </comment>
    <comment ref="K967" authorId="1" shapeId="0" xr:uid="{0638674B-5AD1-4A6A-B099-0024DD0EF48D}">
      <text>
        <r>
          <rPr>
            <b/>
            <sz val="9"/>
            <color indexed="81"/>
            <rFont val="MS P ゴシック"/>
            <family val="3"/>
            <charset val="128"/>
          </rPr>
          <t>chiba:</t>
        </r>
        <r>
          <rPr>
            <sz val="9"/>
            <color indexed="81"/>
            <rFont val="MS P ゴシック"/>
            <family val="3"/>
            <charset val="128"/>
          </rPr>
          <t xml:space="preserve">
25% 
レート 110</t>
        </r>
      </text>
    </comment>
    <comment ref="K971" authorId="1" shapeId="0" xr:uid="{868DDACD-E76D-4D84-B0F3-AE3471474383}">
      <text>
        <r>
          <rPr>
            <b/>
            <sz val="9"/>
            <color indexed="81"/>
            <rFont val="MS P ゴシック"/>
            <family val="3"/>
            <charset val="128"/>
          </rPr>
          <t>chiba:</t>
        </r>
        <r>
          <rPr>
            <sz val="9"/>
            <color indexed="81"/>
            <rFont val="MS P ゴシック"/>
            <family val="3"/>
            <charset val="128"/>
          </rPr>
          <t xml:space="preserve">
25% 
レート 110 
次回より€ 1.58</t>
        </r>
      </text>
    </comment>
    <comment ref="P971" authorId="1" shapeId="0" xr:uid="{DA89FED8-881B-42AF-97C9-B901948DD058}">
      <text>
        <r>
          <rPr>
            <b/>
            <sz val="9"/>
            <color indexed="81"/>
            <rFont val="MS P ゴシック"/>
            <family val="3"/>
            <charset val="128"/>
          </rPr>
          <t>chiba:</t>
        </r>
        <r>
          <rPr>
            <sz val="9"/>
            <color indexed="81"/>
            <rFont val="MS P ゴシック"/>
            <family val="3"/>
            <charset val="128"/>
          </rPr>
          <t xml:space="preserve">
次回より130
</t>
        </r>
      </text>
    </comment>
    <comment ref="K973" authorId="1" shapeId="0" xr:uid="{AE27FDC3-5FC0-43A6-883C-3847DBAAB585}">
      <text>
        <r>
          <rPr>
            <b/>
            <sz val="9"/>
            <color indexed="81"/>
            <rFont val="MS P ゴシック"/>
            <family val="3"/>
            <charset val="128"/>
          </rPr>
          <t>chiba:</t>
        </r>
        <r>
          <rPr>
            <sz val="9"/>
            <color indexed="81"/>
            <rFont val="MS P ゴシック"/>
            <family val="3"/>
            <charset val="128"/>
          </rPr>
          <t xml:space="preserve">
25% 
レート 110 
次回より€ 1.58</t>
        </r>
      </text>
    </comment>
    <comment ref="P973" authorId="1" shapeId="0" xr:uid="{DA84E32B-45BA-4F78-954A-0B53E3DE9970}">
      <text>
        <r>
          <rPr>
            <b/>
            <sz val="9"/>
            <color indexed="81"/>
            <rFont val="MS P ゴシック"/>
            <family val="3"/>
            <charset val="128"/>
          </rPr>
          <t>chiba:</t>
        </r>
        <r>
          <rPr>
            <sz val="9"/>
            <color indexed="81"/>
            <rFont val="MS P ゴシック"/>
            <family val="3"/>
            <charset val="128"/>
          </rPr>
          <t xml:space="preserve">
次回より130
</t>
        </r>
      </text>
    </comment>
    <comment ref="K977" authorId="1" shapeId="0" xr:uid="{84B2B82E-7FDA-421F-B388-A81E48A0274B}">
      <text>
        <r>
          <rPr>
            <b/>
            <sz val="9"/>
            <color indexed="81"/>
            <rFont val="MS P ゴシック"/>
            <family val="3"/>
            <charset val="128"/>
          </rPr>
          <t>chiba:</t>
        </r>
        <r>
          <rPr>
            <sz val="9"/>
            <color indexed="81"/>
            <rFont val="MS P ゴシック"/>
            <family val="3"/>
            <charset val="128"/>
          </rPr>
          <t xml:space="preserve">
次回からUSD 15 </t>
        </r>
      </text>
    </comment>
    <comment ref="K981" authorId="0" shapeId="0" xr:uid="{022064CE-2029-4318-8E94-E384DCE1DB6C}">
      <text>
        <r>
          <rPr>
            <b/>
            <sz val="9"/>
            <color indexed="81"/>
            <rFont val="MS P ゴシック"/>
            <family val="3"/>
            <charset val="128"/>
          </rPr>
          <t>sunfashion:</t>
        </r>
        <r>
          <rPr>
            <sz val="9"/>
            <color indexed="81"/>
            <rFont val="MS P ゴシック"/>
            <family val="3"/>
            <charset val="128"/>
          </rPr>
          <t xml:space="preserve">
40% 
レート110</t>
        </r>
      </text>
    </comment>
    <comment ref="K982" authorId="0" shapeId="0" xr:uid="{F0E0FAFC-9575-4A67-B6E1-B4C7F018A1D7}">
      <text>
        <r>
          <rPr>
            <b/>
            <sz val="9"/>
            <color indexed="81"/>
            <rFont val="MS P ゴシック"/>
            <family val="3"/>
            <charset val="128"/>
          </rPr>
          <t>sunfashion:</t>
        </r>
        <r>
          <rPr>
            <sz val="9"/>
            <color indexed="81"/>
            <rFont val="MS P ゴシック"/>
            <family val="3"/>
            <charset val="128"/>
          </rPr>
          <t xml:space="preserve">
40% 
レート110</t>
        </r>
      </text>
    </comment>
    <comment ref="K983" authorId="0" shapeId="0" xr:uid="{EB90E5A6-D1F3-49F5-9C60-3B5A64C6D5A4}">
      <text>
        <r>
          <rPr>
            <b/>
            <sz val="9"/>
            <color indexed="81"/>
            <rFont val="MS P ゴシック"/>
            <family val="3"/>
            <charset val="128"/>
          </rPr>
          <t>sunfashion:</t>
        </r>
        <r>
          <rPr>
            <sz val="9"/>
            <color indexed="81"/>
            <rFont val="MS P ゴシック"/>
            <family val="3"/>
            <charset val="128"/>
          </rPr>
          <t xml:space="preserve">
40% 
レート110</t>
        </r>
      </text>
    </comment>
    <comment ref="K985" authorId="0" shapeId="0" xr:uid="{F2B2FA21-B281-4170-9893-056593E5BAF8}">
      <text>
        <r>
          <rPr>
            <b/>
            <sz val="9"/>
            <color indexed="81"/>
            <rFont val="MS P ゴシック"/>
            <family val="3"/>
            <charset val="128"/>
          </rPr>
          <t>sunfashion:</t>
        </r>
        <r>
          <rPr>
            <sz val="9"/>
            <color indexed="81"/>
            <rFont val="MS P ゴシック"/>
            <family val="3"/>
            <charset val="128"/>
          </rPr>
          <t xml:space="preserve">
50% 
レート110</t>
        </r>
      </text>
    </comment>
    <comment ref="K986" authorId="0" shapeId="0" xr:uid="{D2F7ECBD-6D7A-4ABD-A0FF-028BDCF96880}">
      <text>
        <r>
          <rPr>
            <b/>
            <sz val="9"/>
            <color indexed="81"/>
            <rFont val="MS P ゴシック"/>
            <family val="3"/>
            <charset val="128"/>
          </rPr>
          <t>sunfashion:</t>
        </r>
        <r>
          <rPr>
            <sz val="9"/>
            <color indexed="81"/>
            <rFont val="MS P ゴシック"/>
            <family val="3"/>
            <charset val="128"/>
          </rPr>
          <t xml:space="preserve">
50% 
レート110</t>
        </r>
      </text>
    </comment>
    <comment ref="K987" authorId="0" shapeId="0" xr:uid="{76EB2020-ECD1-42AA-983F-D8741086C30D}">
      <text>
        <r>
          <rPr>
            <b/>
            <sz val="9"/>
            <color indexed="81"/>
            <rFont val="MS P ゴシック"/>
            <family val="3"/>
            <charset val="128"/>
          </rPr>
          <t>sunfashion:</t>
        </r>
        <r>
          <rPr>
            <sz val="9"/>
            <color indexed="81"/>
            <rFont val="MS P ゴシック"/>
            <family val="3"/>
            <charset val="128"/>
          </rPr>
          <t xml:space="preserve">
50% 
レート110</t>
        </r>
      </text>
    </comment>
    <comment ref="K988" authorId="0" shapeId="0" xr:uid="{9796FF38-F034-41CD-A53F-92F33DF896B1}">
      <text>
        <r>
          <rPr>
            <b/>
            <sz val="9"/>
            <color indexed="81"/>
            <rFont val="MS P ゴシック"/>
            <family val="3"/>
            <charset val="128"/>
          </rPr>
          <t>sunfashion:</t>
        </r>
        <r>
          <rPr>
            <sz val="9"/>
            <color indexed="81"/>
            <rFont val="MS P ゴシック"/>
            <family val="3"/>
            <charset val="128"/>
          </rPr>
          <t xml:space="preserve">
50% 
レート110</t>
        </r>
      </text>
    </comment>
    <comment ref="K989" authorId="0" shapeId="0" xr:uid="{E23694D2-37DA-4686-88FD-CD75841C15E6}">
      <text>
        <r>
          <rPr>
            <b/>
            <sz val="9"/>
            <color indexed="81"/>
            <rFont val="MS P ゴシック"/>
            <family val="3"/>
            <charset val="128"/>
          </rPr>
          <t>sunfashion:</t>
        </r>
        <r>
          <rPr>
            <sz val="9"/>
            <color indexed="81"/>
            <rFont val="MS P ゴシック"/>
            <family val="3"/>
            <charset val="128"/>
          </rPr>
          <t xml:space="preserve">
50% 
レート110</t>
        </r>
      </text>
    </comment>
    <comment ref="K990" authorId="0" shapeId="0" xr:uid="{CF666CB0-C95D-4712-8C9C-61E7D1B81626}">
      <text>
        <r>
          <rPr>
            <b/>
            <sz val="9"/>
            <color indexed="81"/>
            <rFont val="MS P ゴシック"/>
            <family val="3"/>
            <charset val="128"/>
          </rPr>
          <t>sunfashion:</t>
        </r>
        <r>
          <rPr>
            <sz val="9"/>
            <color indexed="81"/>
            <rFont val="MS P ゴシック"/>
            <family val="3"/>
            <charset val="128"/>
          </rPr>
          <t xml:space="preserve">
50% 
レート110</t>
        </r>
      </text>
    </comment>
    <comment ref="K994" authorId="1" shapeId="0" xr:uid="{E506B545-4B55-4CB3-838F-1B800F1AA8C1}">
      <text>
        <r>
          <rPr>
            <b/>
            <sz val="9"/>
            <color indexed="81"/>
            <rFont val="MS P ゴシック"/>
            <family val="3"/>
            <charset val="128"/>
          </rPr>
          <t>chiba:</t>
        </r>
        <r>
          <rPr>
            <sz val="9"/>
            <color indexed="81"/>
            <rFont val="MS P ゴシック"/>
            <family val="3"/>
            <charset val="128"/>
          </rPr>
          <t xml:space="preserve">
30%
90
</t>
        </r>
      </text>
    </comment>
    <comment ref="K998" authorId="0" shapeId="0" xr:uid="{F38E83D0-4053-49BD-B203-9EE2340EFAB8}">
      <text>
        <r>
          <rPr>
            <b/>
            <sz val="9"/>
            <color indexed="81"/>
            <rFont val="MS P ゴシック"/>
            <family val="3"/>
            <charset val="128"/>
          </rPr>
          <t>sunfashion:</t>
        </r>
        <r>
          <rPr>
            <sz val="9"/>
            <color indexed="81"/>
            <rFont val="MS P ゴシック"/>
            <family val="3"/>
            <charset val="128"/>
          </rPr>
          <t xml:space="preserve">
30% 
110</t>
        </r>
      </text>
    </comment>
    <comment ref="E1002" authorId="0" shapeId="0" xr:uid="{51162F3A-6A85-4228-91D9-CB820B04581A}">
      <text>
        <r>
          <rPr>
            <b/>
            <sz val="9"/>
            <color indexed="81"/>
            <rFont val="MS P ゴシック"/>
            <family val="3"/>
            <charset val="128"/>
          </rPr>
          <t>sunfashion:</t>
        </r>
        <r>
          <rPr>
            <sz val="9"/>
            <color indexed="81"/>
            <rFont val="MS P ゴシック"/>
            <family val="3"/>
            <charset val="128"/>
          </rPr>
          <t xml:space="preserve">
INV# 3482</t>
        </r>
      </text>
    </comment>
    <comment ref="P1002" authorId="0" shapeId="0" xr:uid="{DAF4F4FF-AE68-4488-ACAA-C08C5D07174E}">
      <text>
        <r>
          <rPr>
            <b/>
            <sz val="9"/>
            <color indexed="81"/>
            <rFont val="MS P ゴシック"/>
            <family val="3"/>
            <charset val="128"/>
          </rPr>
          <t>sunfashion:</t>
        </r>
        <r>
          <rPr>
            <sz val="9"/>
            <color indexed="81"/>
            <rFont val="MS P ゴシック"/>
            <family val="3"/>
            <charset val="128"/>
          </rPr>
          <t xml:space="preserve">
( 11月より、現 155)</t>
        </r>
      </text>
    </comment>
    <comment ref="Q1002" authorId="0" shapeId="0" xr:uid="{55A4221C-5109-41D5-89C7-9CDE3FB71395}">
      <text>
        <r>
          <rPr>
            <b/>
            <sz val="9"/>
            <color indexed="81"/>
            <rFont val="MS P ゴシック"/>
            <family val="3"/>
            <charset val="128"/>
          </rPr>
          <t>sunfashion:</t>
        </r>
        <r>
          <rPr>
            <sz val="9"/>
            <color indexed="81"/>
            <rFont val="MS P ゴシック"/>
            <family val="3"/>
            <charset val="128"/>
          </rPr>
          <t xml:space="preserve">
社内サンプル反よりカット</t>
        </r>
      </text>
    </comment>
    <comment ref="P1003" authorId="0" shapeId="0" xr:uid="{ACE333BB-98D6-4E84-B949-A05414215615}">
      <text>
        <r>
          <rPr>
            <b/>
            <sz val="9"/>
            <color indexed="81"/>
            <rFont val="MS P ゴシック"/>
            <family val="3"/>
            <charset val="128"/>
          </rPr>
          <t>sunfashion:</t>
        </r>
        <r>
          <rPr>
            <sz val="9"/>
            <color indexed="81"/>
            <rFont val="MS P ゴシック"/>
            <family val="3"/>
            <charset val="128"/>
          </rPr>
          <t xml:space="preserve">
( 11月より、現 155)</t>
        </r>
      </text>
    </comment>
    <comment ref="Q1003" authorId="0" shapeId="0" xr:uid="{F7A8EE47-408C-4996-861B-DBD5C6C398A7}">
      <text>
        <r>
          <rPr>
            <b/>
            <sz val="9"/>
            <color indexed="81"/>
            <rFont val="MS P ゴシック"/>
            <family val="3"/>
            <charset val="128"/>
          </rPr>
          <t>sunfashion:</t>
        </r>
        <r>
          <rPr>
            <sz val="9"/>
            <color indexed="81"/>
            <rFont val="MS P ゴシック"/>
            <family val="3"/>
            <charset val="128"/>
          </rPr>
          <t xml:space="preserve">
社内サンプル反よりカット</t>
        </r>
      </text>
    </comment>
    <comment ref="P1007" authorId="0" shapeId="0" xr:uid="{411A604D-A5B0-420E-9C6D-7DB0650CF9C5}">
      <text>
        <r>
          <rPr>
            <b/>
            <sz val="9"/>
            <color indexed="81"/>
            <rFont val="MS P ゴシック"/>
            <family val="3"/>
            <charset val="128"/>
          </rPr>
          <t>sunfashion:</t>
        </r>
        <r>
          <rPr>
            <sz val="9"/>
            <color indexed="81"/>
            <rFont val="MS P ゴシック"/>
            <family val="3"/>
            <charset val="128"/>
          </rPr>
          <t xml:space="preserve">
 (10月より、194)</t>
        </r>
      </text>
    </comment>
    <comment ref="P1008" authorId="0" shapeId="0" xr:uid="{37D4C336-2F38-4740-B8D1-5859D8665543}">
      <text>
        <r>
          <rPr>
            <b/>
            <sz val="9"/>
            <color indexed="81"/>
            <rFont val="MS P ゴシック"/>
            <family val="3"/>
            <charset val="128"/>
          </rPr>
          <t>sunfashion:</t>
        </r>
        <r>
          <rPr>
            <sz val="9"/>
            <color indexed="81"/>
            <rFont val="MS P ゴシック"/>
            <family val="3"/>
            <charset val="128"/>
          </rPr>
          <t xml:space="preserve">
(10月より、56)</t>
        </r>
      </text>
    </comment>
    <comment ref="P1009" authorId="0" shapeId="0" xr:uid="{A621B3BA-BE86-43CD-A4EB-CF70BA62360C}">
      <text>
        <r>
          <rPr>
            <b/>
            <sz val="9"/>
            <color indexed="81"/>
            <rFont val="MS P ゴシック"/>
            <family val="3"/>
            <charset val="128"/>
          </rPr>
          <t>sunfashion:</t>
        </r>
        <r>
          <rPr>
            <sz val="9"/>
            <color indexed="81"/>
            <rFont val="MS P ゴシック"/>
            <family val="3"/>
            <charset val="128"/>
          </rPr>
          <t xml:space="preserve">
(10月より、22)</t>
        </r>
      </text>
    </comment>
    <comment ref="P1010" authorId="0" shapeId="0" xr:uid="{68E2D968-E220-4335-8CBB-7B0CA42F4ED3}">
      <text>
        <r>
          <rPr>
            <b/>
            <sz val="9"/>
            <color indexed="81"/>
            <rFont val="MS P ゴシック"/>
            <family val="3"/>
            <charset val="128"/>
          </rPr>
          <t>sunfashion:</t>
        </r>
        <r>
          <rPr>
            <sz val="9"/>
            <color indexed="81"/>
            <rFont val="MS P ゴシック"/>
            <family val="3"/>
            <charset val="128"/>
          </rPr>
          <t xml:space="preserve">
(10月より、50)</t>
        </r>
      </text>
    </comment>
    <comment ref="E1024" authorId="0" shapeId="0" xr:uid="{637C74EF-4490-4311-A7C9-B15834B27B42}">
      <text>
        <r>
          <rPr>
            <b/>
            <sz val="9"/>
            <color indexed="81"/>
            <rFont val="MS P ゴシック"/>
            <family val="3"/>
            <charset val="128"/>
          </rPr>
          <t>sunfashion:</t>
        </r>
        <r>
          <rPr>
            <sz val="9"/>
            <color indexed="81"/>
            <rFont val="MS P ゴシック"/>
            <family val="3"/>
            <charset val="128"/>
          </rPr>
          <t xml:space="preserve">
Future quality may be slightly different due to the machine change  </t>
        </r>
      </text>
    </comment>
    <comment ref="E1025" authorId="0" shapeId="0" xr:uid="{25477839-A440-4085-97F8-0ACEF69C2202}">
      <text>
        <r>
          <rPr>
            <b/>
            <sz val="9"/>
            <color indexed="81"/>
            <rFont val="MS P ゴシック"/>
            <family val="3"/>
            <charset val="128"/>
          </rPr>
          <t>sunfashion:</t>
        </r>
        <r>
          <rPr>
            <sz val="9"/>
            <color indexed="81"/>
            <rFont val="MS P ゴシック"/>
            <family val="3"/>
            <charset val="128"/>
          </rPr>
          <t xml:space="preserve">
Future quality may be slightly different due to the machine change  </t>
        </r>
      </text>
    </comment>
    <comment ref="E1026" authorId="0" shapeId="0" xr:uid="{C2AF7BE9-931C-40BC-8957-A26F15EC8F82}">
      <text>
        <r>
          <rPr>
            <b/>
            <sz val="9"/>
            <color indexed="81"/>
            <rFont val="MS P ゴシック"/>
            <family val="3"/>
            <charset val="128"/>
          </rPr>
          <t>sunfashion:</t>
        </r>
        <r>
          <rPr>
            <sz val="9"/>
            <color indexed="81"/>
            <rFont val="MS P ゴシック"/>
            <family val="3"/>
            <charset val="128"/>
          </rPr>
          <t xml:space="preserve">
Future quality may be slightly different due to the machine change  </t>
        </r>
      </text>
    </comment>
    <comment ref="E1028" authorId="0" shapeId="0" xr:uid="{A06D4DAD-1A6B-4511-B17D-E42FEC0BDD8A}">
      <text>
        <r>
          <rPr>
            <b/>
            <sz val="9"/>
            <color indexed="81"/>
            <rFont val="MS P ゴシック"/>
            <family val="3"/>
            <charset val="128"/>
          </rPr>
          <t>sunfashion:</t>
        </r>
        <r>
          <rPr>
            <sz val="9"/>
            <color indexed="81"/>
            <rFont val="MS P ゴシック"/>
            <family val="3"/>
            <charset val="128"/>
          </rPr>
          <t xml:space="preserve">
Dye Min. 300m/col-</t>
        </r>
      </text>
    </comment>
    <comment ref="Q1028" authorId="0" shapeId="0" xr:uid="{DCCB21BB-4C19-4279-ACF8-5E2934EE51C2}">
      <text>
        <r>
          <rPr>
            <b/>
            <sz val="9"/>
            <color indexed="81"/>
            <rFont val="MS P ゴシック"/>
            <family val="3"/>
            <charset val="128"/>
          </rPr>
          <t>sunfashion:社内在庫より出荷</t>
        </r>
      </text>
    </comment>
    <comment ref="E1029" authorId="0" shapeId="0" xr:uid="{A6B7E4B2-0AD1-4F65-9759-607B6C4007B8}">
      <text>
        <r>
          <rPr>
            <b/>
            <sz val="9"/>
            <color indexed="81"/>
            <rFont val="MS P ゴシック"/>
            <family val="3"/>
            <charset val="128"/>
          </rPr>
          <t>sunfashion:</t>
        </r>
        <r>
          <rPr>
            <sz val="9"/>
            <color indexed="81"/>
            <rFont val="MS P ゴシック"/>
            <family val="3"/>
            <charset val="128"/>
          </rPr>
          <t xml:space="preserve">
Dye Min. 300m/col-</t>
        </r>
      </text>
    </comment>
    <comment ref="Q1029" authorId="0" shapeId="0" xr:uid="{337D17E9-4FAF-45AB-AEB4-E794F81DCEE0}">
      <text>
        <r>
          <rPr>
            <b/>
            <sz val="9"/>
            <color indexed="81"/>
            <rFont val="MS P ゴシック"/>
            <family val="3"/>
            <charset val="128"/>
          </rPr>
          <t>sunfashion:社内在庫より出荷</t>
        </r>
      </text>
    </comment>
    <comment ref="E1030" authorId="0" shapeId="0" xr:uid="{3874699E-5CF1-4D83-92E0-E9FEF859D8B2}">
      <text>
        <r>
          <rPr>
            <b/>
            <sz val="9"/>
            <color indexed="81"/>
            <rFont val="MS P ゴシック"/>
            <family val="3"/>
            <charset val="128"/>
          </rPr>
          <t>sunfashion:</t>
        </r>
        <r>
          <rPr>
            <sz val="9"/>
            <color indexed="81"/>
            <rFont val="MS P ゴシック"/>
            <family val="3"/>
            <charset val="128"/>
          </rPr>
          <t xml:space="preserve">
Dye Min. 300m/col-</t>
        </r>
      </text>
    </comment>
    <comment ref="Q1030" authorId="0" shapeId="0" xr:uid="{52366C78-B719-420C-8A80-99A56CD1D459}">
      <text>
        <r>
          <rPr>
            <b/>
            <sz val="9"/>
            <color indexed="81"/>
            <rFont val="MS P ゴシック"/>
            <family val="3"/>
            <charset val="128"/>
          </rPr>
          <t>sunfashion:社内在庫より出荷</t>
        </r>
      </text>
    </comment>
    <comment ref="E1031" authorId="0" shapeId="0" xr:uid="{DDCFCEB2-C35C-4C14-A5A9-C2CB4698ED8C}">
      <text>
        <r>
          <rPr>
            <b/>
            <sz val="9"/>
            <color indexed="81"/>
            <rFont val="MS P ゴシック"/>
            <family val="3"/>
            <charset val="128"/>
          </rPr>
          <t>sunfashion:</t>
        </r>
        <r>
          <rPr>
            <sz val="9"/>
            <color indexed="81"/>
            <rFont val="MS P ゴシック"/>
            <family val="3"/>
            <charset val="128"/>
          </rPr>
          <t xml:space="preserve">
Dye Min. 300m/col-</t>
        </r>
      </text>
    </comment>
    <comment ref="Q1031" authorId="0" shapeId="0" xr:uid="{B16F1A09-52BB-47C7-B456-B3AE196CFE74}">
      <text>
        <r>
          <rPr>
            <b/>
            <sz val="9"/>
            <color indexed="81"/>
            <rFont val="MS P ゴシック"/>
            <family val="3"/>
            <charset val="128"/>
          </rPr>
          <t>sunfashion:社内在庫より出荷</t>
        </r>
      </text>
    </comment>
    <comment ref="E1032" authorId="0" shapeId="0" xr:uid="{334C8567-843E-42E8-B0ED-981576A5ED04}">
      <text>
        <r>
          <rPr>
            <b/>
            <sz val="9"/>
            <color indexed="81"/>
            <rFont val="MS P ゴシック"/>
            <family val="3"/>
            <charset val="128"/>
          </rPr>
          <t>sunfashion:</t>
        </r>
        <r>
          <rPr>
            <sz val="9"/>
            <color indexed="81"/>
            <rFont val="MS P ゴシック"/>
            <family val="3"/>
            <charset val="128"/>
          </rPr>
          <t xml:space="preserve">
Dye Min. 300m/col-</t>
        </r>
      </text>
    </comment>
    <comment ref="Q1032" authorId="0" shapeId="0" xr:uid="{2AAAE2C1-71C1-48B5-AB0C-7AAFE1A9F545}">
      <text>
        <r>
          <rPr>
            <b/>
            <sz val="9"/>
            <color indexed="81"/>
            <rFont val="MS P ゴシック"/>
            <family val="3"/>
            <charset val="128"/>
          </rPr>
          <t>sunfashion:社内在庫より出荷</t>
        </r>
      </text>
    </comment>
    <comment ref="E1033" authorId="0" shapeId="0" xr:uid="{D0ED04DE-2B2C-4892-B9BA-F7ADCB1FFC4F}">
      <text>
        <r>
          <rPr>
            <b/>
            <sz val="9"/>
            <color indexed="81"/>
            <rFont val="MS P ゴシック"/>
            <family val="3"/>
            <charset val="128"/>
          </rPr>
          <t>sunfashion:</t>
        </r>
        <r>
          <rPr>
            <sz val="9"/>
            <color indexed="81"/>
            <rFont val="MS P ゴシック"/>
            <family val="3"/>
            <charset val="128"/>
          </rPr>
          <t xml:space="preserve">
Dye Min. 300m/col-</t>
        </r>
      </text>
    </comment>
    <comment ref="Q1033" authorId="0" shapeId="0" xr:uid="{20AD14D1-F7B1-46F5-9F40-CB883B592A72}">
      <text>
        <r>
          <rPr>
            <b/>
            <sz val="9"/>
            <color indexed="81"/>
            <rFont val="MS P ゴシック"/>
            <family val="3"/>
            <charset val="128"/>
          </rPr>
          <t>sunfashion:社内在庫より出荷</t>
        </r>
      </text>
    </comment>
    <comment ref="E1034" authorId="0" shapeId="0" xr:uid="{7DB4555B-027C-4D70-A23D-D76B01CFB58B}">
      <text>
        <r>
          <rPr>
            <b/>
            <sz val="9"/>
            <color indexed="81"/>
            <rFont val="MS P ゴシック"/>
            <family val="3"/>
            <charset val="128"/>
          </rPr>
          <t>sunfashion:</t>
        </r>
        <r>
          <rPr>
            <sz val="9"/>
            <color indexed="81"/>
            <rFont val="MS P ゴシック"/>
            <family val="3"/>
            <charset val="128"/>
          </rPr>
          <t xml:space="preserve">
Dye Min. 300m/col-</t>
        </r>
      </text>
    </comment>
    <comment ref="Q1034" authorId="0" shapeId="0" xr:uid="{FF3666D3-48EB-4DB5-AE55-E821D683B557}">
      <text>
        <r>
          <rPr>
            <b/>
            <sz val="9"/>
            <color indexed="81"/>
            <rFont val="MS P ゴシック"/>
            <family val="3"/>
            <charset val="128"/>
          </rPr>
          <t>sunfashion:社内在庫より出荷</t>
        </r>
      </text>
    </comment>
    <comment ref="E1035" authorId="0" shapeId="0" xr:uid="{CE8AAB00-DB8A-41ED-ACEF-B916CC36F449}">
      <text>
        <r>
          <rPr>
            <b/>
            <sz val="9"/>
            <color indexed="81"/>
            <rFont val="MS P ゴシック"/>
            <family val="3"/>
            <charset val="128"/>
          </rPr>
          <t>sunfashion:</t>
        </r>
        <r>
          <rPr>
            <sz val="9"/>
            <color indexed="81"/>
            <rFont val="MS P ゴシック"/>
            <family val="3"/>
            <charset val="128"/>
          </rPr>
          <t xml:space="preserve">
Dye Min. 300m/col-</t>
        </r>
      </text>
    </comment>
    <comment ref="Q1035" authorId="0" shapeId="0" xr:uid="{50EEF7E1-53AD-4C23-9516-F979BABDBFA7}">
      <text>
        <r>
          <rPr>
            <b/>
            <sz val="9"/>
            <color indexed="81"/>
            <rFont val="MS P ゴシック"/>
            <family val="3"/>
            <charset val="128"/>
          </rPr>
          <t>sunfashion:社内在庫より出荷</t>
        </r>
      </text>
    </comment>
    <comment ref="E1036" authorId="0" shapeId="0" xr:uid="{23272154-830B-410C-8383-CF83E824D465}">
      <text>
        <r>
          <rPr>
            <b/>
            <sz val="9"/>
            <color indexed="81"/>
            <rFont val="MS P ゴシック"/>
            <family val="3"/>
            <charset val="128"/>
          </rPr>
          <t>sunfashion:</t>
        </r>
        <r>
          <rPr>
            <sz val="9"/>
            <color indexed="81"/>
            <rFont val="MS P ゴシック"/>
            <family val="3"/>
            <charset val="128"/>
          </rPr>
          <t xml:space="preserve">
Dye Min. 300m/col-</t>
        </r>
      </text>
    </comment>
    <comment ref="Q1036" authorId="0" shapeId="0" xr:uid="{1AD68C54-C4B7-4228-B289-E344C7A0CF67}">
      <text>
        <r>
          <rPr>
            <b/>
            <sz val="9"/>
            <color indexed="81"/>
            <rFont val="MS P ゴシック"/>
            <family val="3"/>
            <charset val="128"/>
          </rPr>
          <t>sunfashion:社内在庫より出荷</t>
        </r>
      </text>
    </comment>
    <comment ref="Q1037" authorId="0" shapeId="0" xr:uid="{F35DA22F-F516-43F0-8FFD-F50637B3BEC4}">
      <text>
        <r>
          <rPr>
            <b/>
            <sz val="9"/>
            <color indexed="81"/>
            <rFont val="MS P ゴシック"/>
            <family val="3"/>
            <charset val="128"/>
          </rPr>
          <t>sunfashion:</t>
        </r>
        <r>
          <rPr>
            <sz val="9"/>
            <color indexed="81"/>
            <rFont val="MS P ゴシック"/>
            <family val="3"/>
            <charset val="128"/>
          </rPr>
          <t xml:space="preserve">
無償サンプル
</t>
        </r>
      </text>
    </comment>
    <comment ref="Q1038" authorId="0" shapeId="0" xr:uid="{424771C0-D428-4B93-AADB-330B49F23349}">
      <text>
        <r>
          <rPr>
            <b/>
            <sz val="9"/>
            <color indexed="81"/>
            <rFont val="MS P ゴシック"/>
            <family val="3"/>
            <charset val="128"/>
          </rPr>
          <t>sunfashion:</t>
        </r>
        <r>
          <rPr>
            <sz val="9"/>
            <color indexed="81"/>
            <rFont val="MS P ゴシック"/>
            <family val="3"/>
            <charset val="128"/>
          </rPr>
          <t xml:space="preserve">
無償サンプル
</t>
        </r>
      </text>
    </comment>
    <comment ref="K1042" authorId="1" shapeId="0" xr:uid="{29DC03A9-666D-42D0-A3C2-53978B5D14B4}">
      <text>
        <r>
          <rPr>
            <b/>
            <sz val="9"/>
            <color indexed="81"/>
            <rFont val="MS P ゴシック"/>
            <family val="3"/>
            <charset val="128"/>
          </rPr>
          <t>chiba:</t>
        </r>
        <r>
          <rPr>
            <sz val="9"/>
            <color indexed="81"/>
            <rFont val="MS P ゴシック"/>
            <family val="3"/>
            <charset val="128"/>
          </rPr>
          <t xml:space="preserve">
特別C&amp;F China  単価
27%
90
</t>
        </r>
      </text>
    </comment>
    <comment ref="K1046" authorId="1" shapeId="0" xr:uid="{1FC3663B-EB34-4891-A322-A11F624B6469}">
      <text>
        <r>
          <rPr>
            <b/>
            <sz val="9"/>
            <color indexed="81"/>
            <rFont val="MS P ゴシック"/>
            <family val="3"/>
            <charset val="128"/>
          </rPr>
          <t>chiba:</t>
        </r>
        <r>
          <rPr>
            <sz val="9"/>
            <color indexed="81"/>
            <rFont val="MS P ゴシック"/>
            <family val="3"/>
            <charset val="128"/>
          </rPr>
          <t xml:space="preserve">
特別CIF China  
EXW (27% / 90 )USD2.06/m
</t>
        </r>
      </text>
    </comment>
    <comment ref="P1046" authorId="1" shapeId="0" xr:uid="{BEB65D1C-166E-41FD-8BAF-B8811D17940D}">
      <text>
        <r>
          <rPr>
            <b/>
            <sz val="9"/>
            <color indexed="81"/>
            <rFont val="MS P ゴシック"/>
            <family val="3"/>
            <charset val="128"/>
          </rPr>
          <t>chiba:
通常139/m</t>
        </r>
        <r>
          <rPr>
            <sz val="9"/>
            <color indexed="81"/>
            <rFont val="MS P ゴシック"/>
            <family val="3"/>
            <charset val="128"/>
          </rPr>
          <t xml:space="preserve">
5000m 以上 特価135/m</t>
        </r>
      </text>
    </comment>
    <comment ref="K1051" authorId="1" shapeId="0" xr:uid="{6C79D88E-6798-4BA3-978C-B6AB630E2D46}">
      <text>
        <r>
          <rPr>
            <b/>
            <sz val="9"/>
            <color indexed="81"/>
            <rFont val="MS P ゴシック"/>
            <family val="3"/>
            <charset val="128"/>
          </rPr>
          <t>chiba:</t>
        </r>
        <r>
          <rPr>
            <sz val="9"/>
            <color indexed="81"/>
            <rFont val="MS P ゴシック"/>
            <family val="3"/>
            <charset val="128"/>
          </rPr>
          <t xml:space="preserve">
特別CIF China  
EXW (27% / 90 )USD2.06/m
</t>
        </r>
      </text>
    </comment>
    <comment ref="P1051" authorId="1" shapeId="0" xr:uid="{A80C0FBB-9B7F-433C-8D24-60190296D97F}">
      <text>
        <r>
          <rPr>
            <b/>
            <sz val="9"/>
            <color indexed="81"/>
            <rFont val="MS P ゴシック"/>
            <family val="3"/>
            <charset val="128"/>
          </rPr>
          <t>chiba:
通常139/m</t>
        </r>
        <r>
          <rPr>
            <sz val="9"/>
            <color indexed="81"/>
            <rFont val="MS P ゴシック"/>
            <family val="3"/>
            <charset val="128"/>
          </rPr>
          <t xml:space="preserve">
5000m 以上 特価135/m</t>
        </r>
      </text>
    </comment>
    <comment ref="E1055" authorId="0" shapeId="0" xr:uid="{9D775A05-E04B-4825-86A8-498D9AC2CF70}">
      <text>
        <r>
          <rPr>
            <b/>
            <sz val="9"/>
            <color indexed="81"/>
            <rFont val="MS P ゴシック"/>
            <family val="3"/>
            <charset val="128"/>
          </rPr>
          <t>sunfashion:</t>
        </r>
        <r>
          <rPr>
            <sz val="9"/>
            <color indexed="81"/>
            <rFont val="MS P ゴシック"/>
            <family val="3"/>
            <charset val="128"/>
          </rPr>
          <t xml:space="preserve">
無償サンプルの運賃</t>
        </r>
      </text>
    </comment>
    <comment ref="K1057" authorId="0" shapeId="0" xr:uid="{DDAF38D4-BB6E-400D-89D7-FA38B5E56B91}">
      <text>
        <r>
          <rPr>
            <b/>
            <sz val="9"/>
            <color indexed="81"/>
            <rFont val="MS P ゴシック"/>
            <family val="3"/>
            <charset val="128"/>
          </rPr>
          <t>sunfashion:</t>
        </r>
        <r>
          <rPr>
            <sz val="9"/>
            <color indexed="81"/>
            <rFont val="MS P ゴシック"/>
            <family val="3"/>
            <charset val="128"/>
          </rPr>
          <t xml:space="preserve">
30%
110
</t>
        </r>
      </text>
    </comment>
    <comment ref="K1061" authorId="1" shapeId="0" xr:uid="{33DB434A-623D-4D88-BBFD-E098A71F05F1}">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K1065" authorId="0" shapeId="0" xr:uid="{17175010-2A96-471B-9FFA-46CE23946497}">
      <text>
        <r>
          <rPr>
            <b/>
            <sz val="9"/>
            <color indexed="81"/>
            <rFont val="MS P ゴシック"/>
            <family val="3"/>
            <charset val="128"/>
          </rPr>
          <t>sunfashion:</t>
        </r>
        <r>
          <rPr>
            <sz val="9"/>
            <color indexed="81"/>
            <rFont val="MS P ゴシック"/>
            <family val="3"/>
            <charset val="128"/>
          </rPr>
          <t xml:space="preserve">
25% 
110</t>
        </r>
      </text>
    </comment>
    <comment ref="K1069" authorId="1" shapeId="0" xr:uid="{5334151C-BC25-4271-8FA1-946D19AAE51F}">
      <text>
        <r>
          <rPr>
            <b/>
            <sz val="9"/>
            <color indexed="81"/>
            <rFont val="MS P ゴシック"/>
            <family val="3"/>
            <charset val="128"/>
          </rPr>
          <t>chiba:</t>
        </r>
        <r>
          <rPr>
            <sz val="9"/>
            <color indexed="81"/>
            <rFont val="MS P ゴシック"/>
            <family val="3"/>
            <charset val="128"/>
          </rPr>
          <t xml:space="preserve">
40% 
110</t>
        </r>
      </text>
    </comment>
    <comment ref="P1069" authorId="0" shapeId="0" xr:uid="{900D9C44-4776-4FED-A589-DA8CD4E9F715}">
      <text>
        <r>
          <rPr>
            <b/>
            <sz val="9"/>
            <color indexed="81"/>
            <rFont val="MS P ゴシック"/>
            <family val="3"/>
            <charset val="128"/>
          </rPr>
          <t>sunfashion:</t>
        </r>
        <r>
          <rPr>
            <sz val="9"/>
            <color indexed="81"/>
            <rFont val="MS P ゴシック"/>
            <family val="3"/>
            <charset val="128"/>
          </rPr>
          <t xml:space="preserve">
キバタ単価
</t>
        </r>
      </text>
    </comment>
    <comment ref="K1073" authorId="0" shapeId="0" xr:uid="{57ED97E3-96A3-496C-BCD3-0BB08E5BB7F6}">
      <text>
        <r>
          <rPr>
            <b/>
            <sz val="9"/>
            <color indexed="81"/>
            <rFont val="MS P ゴシック"/>
            <family val="3"/>
            <charset val="128"/>
          </rPr>
          <t xml:space="preserve">sunfashion:
以前の染色込単価使用
約50% 
110 </t>
        </r>
      </text>
    </comment>
    <comment ref="K1077" authorId="1" shapeId="0" xr:uid="{70ED95E5-2BBB-4B6F-968B-A7DB32500A08}">
      <text>
        <r>
          <rPr>
            <b/>
            <sz val="9"/>
            <color indexed="81"/>
            <rFont val="MS P ゴシック"/>
            <family val="3"/>
            <charset val="128"/>
          </rPr>
          <t>chiba:</t>
        </r>
        <r>
          <rPr>
            <sz val="9"/>
            <color indexed="81"/>
            <rFont val="MS P ゴシック"/>
            <family val="3"/>
            <charset val="128"/>
          </rPr>
          <t xml:space="preserve">
30%
110</t>
        </r>
      </text>
    </comment>
    <comment ref="K1081" authorId="1" shapeId="0" xr:uid="{F206A173-7437-45BE-8229-61E4732D06CC}">
      <text>
        <r>
          <rPr>
            <b/>
            <sz val="9"/>
            <color indexed="81"/>
            <rFont val="MS P ゴシック"/>
            <family val="3"/>
            <charset val="128"/>
          </rPr>
          <t>chiba:</t>
        </r>
        <r>
          <rPr>
            <sz val="9"/>
            <color indexed="81"/>
            <rFont val="MS P ゴシック"/>
            <family val="3"/>
            <charset val="128"/>
          </rPr>
          <t xml:space="preserve">
40% 
110</t>
        </r>
      </text>
    </comment>
    <comment ref="K1082" authorId="1" shapeId="0" xr:uid="{8C1EDA98-4426-46D9-A10F-8E61456EE894}">
      <text>
        <r>
          <rPr>
            <b/>
            <sz val="9"/>
            <color indexed="81"/>
            <rFont val="MS P ゴシック"/>
            <family val="3"/>
            <charset val="128"/>
          </rPr>
          <t>chiba:</t>
        </r>
        <r>
          <rPr>
            <sz val="9"/>
            <color indexed="81"/>
            <rFont val="MS P ゴシック"/>
            <family val="3"/>
            <charset val="128"/>
          </rPr>
          <t xml:space="preserve">
40% 
110</t>
        </r>
      </text>
    </comment>
    <comment ref="K1084" authorId="1" shapeId="0" xr:uid="{E3878441-EAB5-42A1-A697-BAB814C2EBD0}">
      <text>
        <r>
          <rPr>
            <b/>
            <sz val="9"/>
            <color indexed="81"/>
            <rFont val="MS P ゴシック"/>
            <family val="3"/>
            <charset val="128"/>
          </rPr>
          <t>chiba:</t>
        </r>
        <r>
          <rPr>
            <sz val="9"/>
            <color indexed="81"/>
            <rFont val="MS P ゴシック"/>
            <family val="3"/>
            <charset val="128"/>
          </rPr>
          <t xml:space="preserve">
30% 
110</t>
        </r>
      </text>
    </comment>
    <comment ref="K1088" authorId="0" shapeId="0" xr:uid="{314368A4-FF27-4054-B5C7-2E99140C093D}">
      <text>
        <r>
          <rPr>
            <b/>
            <sz val="9"/>
            <color indexed="81"/>
            <rFont val="MS P ゴシック"/>
            <family val="3"/>
            <charset val="128"/>
          </rPr>
          <t>sunfashion:</t>
        </r>
        <r>
          <rPr>
            <sz val="9"/>
            <color indexed="81"/>
            <rFont val="MS P ゴシック"/>
            <family val="3"/>
            <charset val="128"/>
          </rPr>
          <t xml:space="preserve">
約30 % 
110</t>
        </r>
      </text>
    </comment>
    <comment ref="K1092" authorId="1" shapeId="0" xr:uid="{91E90BDE-17A8-4121-B420-5DCBC106B129}">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K1093" authorId="0" shapeId="0" xr:uid="{1ECEBEB3-6A12-4817-AB9A-0DE6A4074FA0}">
      <text>
        <r>
          <rPr>
            <b/>
            <sz val="9"/>
            <color indexed="81"/>
            <rFont val="MS P ゴシック"/>
            <family val="3"/>
            <charset val="128"/>
          </rPr>
          <t>sunfashion:</t>
        </r>
        <r>
          <rPr>
            <sz val="9"/>
            <color indexed="81"/>
            <rFont val="MS P ゴシック"/>
            <family val="3"/>
            <charset val="128"/>
          </rPr>
          <t xml:space="preserve">
約40 % 
110</t>
        </r>
      </text>
    </comment>
    <comment ref="K1095" authorId="0" shapeId="0" xr:uid="{F17A07A3-22DE-4F58-A3FA-2B6B42D83A22}">
      <text>
        <r>
          <rPr>
            <b/>
            <sz val="9"/>
            <color indexed="81"/>
            <rFont val="MS P ゴシック"/>
            <family val="3"/>
            <charset val="128"/>
          </rPr>
          <t>sunfashion:</t>
        </r>
        <r>
          <rPr>
            <sz val="9"/>
            <color indexed="81"/>
            <rFont val="MS P ゴシック"/>
            <family val="3"/>
            <charset val="128"/>
          </rPr>
          <t xml:space="preserve">
25% 
110</t>
        </r>
      </text>
    </comment>
    <comment ref="K1096" authorId="0" shapeId="0" xr:uid="{9EAB1203-2523-4448-A4F4-29361F194180}">
      <text>
        <r>
          <rPr>
            <b/>
            <sz val="9"/>
            <color indexed="81"/>
            <rFont val="MS P ゴシック"/>
            <family val="3"/>
            <charset val="128"/>
          </rPr>
          <t>sunfashion:</t>
        </r>
        <r>
          <rPr>
            <sz val="9"/>
            <color indexed="81"/>
            <rFont val="MS P ゴシック"/>
            <family val="3"/>
            <charset val="128"/>
          </rPr>
          <t xml:space="preserve">
約30 % 
110</t>
        </r>
      </text>
    </comment>
    <comment ref="K1099" authorId="0" shapeId="0" xr:uid="{18CBF733-B972-4C1C-B4F7-ABF23AA4E646}">
      <text>
        <r>
          <rPr>
            <b/>
            <sz val="9"/>
            <color indexed="81"/>
            <rFont val="MS P ゴシック"/>
            <family val="3"/>
            <charset val="128"/>
          </rPr>
          <t>sunfashion:</t>
        </r>
        <r>
          <rPr>
            <sz val="9"/>
            <color indexed="81"/>
            <rFont val="MS P ゴシック"/>
            <family val="3"/>
            <charset val="128"/>
          </rPr>
          <t xml:space="preserve">
30% 
110</t>
        </r>
      </text>
    </comment>
    <comment ref="K1103" authorId="0" shapeId="0" xr:uid="{33900A6B-8C7B-44FC-AF6F-4C6FDCEF296F}">
      <text>
        <r>
          <rPr>
            <b/>
            <sz val="9"/>
            <color indexed="81"/>
            <rFont val="MS P ゴシック"/>
            <family val="3"/>
            <charset val="128"/>
          </rPr>
          <t>sunfashion:</t>
        </r>
        <r>
          <rPr>
            <sz val="9"/>
            <color indexed="81"/>
            <rFont val="MS P ゴシック"/>
            <family val="3"/>
            <charset val="128"/>
          </rPr>
          <t xml:space="preserve">
25% 
110</t>
        </r>
      </text>
    </comment>
    <comment ref="K1105" authorId="0" shapeId="0" xr:uid="{A31A44C2-6655-4402-939C-015E1B7E4C60}">
      <text>
        <r>
          <rPr>
            <b/>
            <sz val="9"/>
            <color indexed="81"/>
            <rFont val="MS P ゴシック"/>
            <family val="3"/>
            <charset val="128"/>
          </rPr>
          <t>sunfashion:</t>
        </r>
        <r>
          <rPr>
            <sz val="9"/>
            <color indexed="81"/>
            <rFont val="MS P ゴシック"/>
            <family val="3"/>
            <charset val="128"/>
          </rPr>
          <t xml:space="preserve">
25% 
110</t>
        </r>
      </text>
    </comment>
    <comment ref="K1108" authorId="1" shapeId="0" xr:uid="{B0FB6617-7558-4068-BBC3-E3A1CFE10275}">
      <text>
        <r>
          <rPr>
            <b/>
            <sz val="9"/>
            <color indexed="81"/>
            <rFont val="MS P ゴシック"/>
            <family val="3"/>
            <charset val="128"/>
          </rPr>
          <t>chiba:</t>
        </r>
        <r>
          <rPr>
            <sz val="9"/>
            <color indexed="81"/>
            <rFont val="MS P ゴシック"/>
            <family val="3"/>
            <charset val="128"/>
          </rPr>
          <t xml:space="preserve">
40% 
110</t>
        </r>
      </text>
    </comment>
    <comment ref="K1110" authorId="1" shapeId="0" xr:uid="{CBCFB80C-DC44-446A-8511-4102C5F2506A}">
      <text>
        <r>
          <rPr>
            <b/>
            <sz val="9"/>
            <color indexed="81"/>
            <rFont val="MS P ゴシック"/>
            <family val="3"/>
            <charset val="128"/>
          </rPr>
          <t>chiba:</t>
        </r>
        <r>
          <rPr>
            <sz val="9"/>
            <color indexed="81"/>
            <rFont val="MS P ゴシック"/>
            <family val="3"/>
            <charset val="128"/>
          </rPr>
          <t xml:space="preserve">
40% 
110
キナリ単価</t>
        </r>
      </text>
    </comment>
    <comment ref="P1110" authorId="1" shapeId="0" xr:uid="{D6573627-B767-4F75-82DC-C74C6DF13914}">
      <text>
        <r>
          <rPr>
            <b/>
            <sz val="9"/>
            <color indexed="81"/>
            <rFont val="MS P ゴシック"/>
            <family val="3"/>
            <charset val="128"/>
          </rPr>
          <t>chiba:</t>
        </r>
        <r>
          <rPr>
            <sz val="9"/>
            <color indexed="81"/>
            <rFont val="MS P ゴシック"/>
            <family val="3"/>
            <charset val="128"/>
          </rPr>
          <t xml:space="preserve">
キナリ単価</t>
        </r>
      </text>
    </comment>
    <comment ref="K1114" authorId="0" shapeId="0" xr:uid="{6DF10F58-C21D-4A76-9B44-49A1F5C7E5D4}">
      <text>
        <r>
          <rPr>
            <b/>
            <sz val="9"/>
            <color indexed="81"/>
            <rFont val="MS P ゴシック"/>
            <family val="3"/>
            <charset val="128"/>
          </rPr>
          <t>sunfashion:</t>
        </r>
        <r>
          <rPr>
            <sz val="9"/>
            <color indexed="81"/>
            <rFont val="MS P ゴシック"/>
            <family val="3"/>
            <charset val="128"/>
          </rPr>
          <t xml:space="preserve">
約40 % 
110</t>
        </r>
      </text>
    </comment>
    <comment ref="K1118" authorId="1" shapeId="0" xr:uid="{915EB9A3-B346-430D-890B-938BCD4064F8}">
      <text>
        <r>
          <rPr>
            <b/>
            <sz val="9"/>
            <color indexed="81"/>
            <rFont val="MS P ゴシック"/>
            <family val="3"/>
            <charset val="128"/>
          </rPr>
          <t>chiba:</t>
        </r>
        <r>
          <rPr>
            <sz val="9"/>
            <color indexed="81"/>
            <rFont val="MS P ゴシック"/>
            <family val="3"/>
            <charset val="128"/>
          </rPr>
          <t xml:space="preserve">
40% 
110</t>
        </r>
      </text>
    </comment>
    <comment ref="K1120" authorId="1" shapeId="0" xr:uid="{1E1C04A4-13DA-4350-9772-3ADD70C51D53}">
      <text>
        <r>
          <rPr>
            <b/>
            <sz val="9"/>
            <color indexed="81"/>
            <rFont val="MS P ゴシック"/>
            <family val="3"/>
            <charset val="128"/>
          </rPr>
          <t>chiba:</t>
        </r>
        <r>
          <rPr>
            <sz val="9"/>
            <color indexed="81"/>
            <rFont val="MS P ゴシック"/>
            <family val="3"/>
            <charset val="128"/>
          </rPr>
          <t xml:space="preserve">
40% 
110</t>
        </r>
      </text>
    </comment>
    <comment ref="E1124" authorId="1" shapeId="0" xr:uid="{FBBE7E2B-D0AA-4063-AF40-80B57ABA61F3}">
      <text>
        <r>
          <rPr>
            <b/>
            <sz val="9"/>
            <color indexed="81"/>
            <rFont val="MS P ゴシック"/>
            <family val="3"/>
            <charset val="128"/>
          </rPr>
          <t>chiba:</t>
        </r>
        <r>
          <rPr>
            <sz val="9"/>
            <color indexed="81"/>
            <rFont val="MS P ゴシック"/>
            <family val="3"/>
            <charset val="128"/>
          </rPr>
          <t xml:space="preserve">
Frame　伝票と一緒</t>
        </r>
      </text>
    </comment>
    <comment ref="K1124" authorId="0" shapeId="0" xr:uid="{E044F227-CA0F-45BC-88EB-8569EF25DC42}">
      <text>
        <r>
          <rPr>
            <b/>
            <sz val="9"/>
            <color indexed="81"/>
            <rFont val="MS P ゴシック"/>
            <family val="3"/>
            <charset val="128"/>
          </rPr>
          <t>sunfashion:</t>
        </r>
        <r>
          <rPr>
            <sz val="9"/>
            <color indexed="81"/>
            <rFont val="MS P ゴシック"/>
            <family val="3"/>
            <charset val="128"/>
          </rPr>
          <t xml:space="preserve">
30%
110
</t>
        </r>
      </text>
    </comment>
    <comment ref="K1128" authorId="0" shapeId="0" xr:uid="{79FC1539-1075-456F-94EA-877EE1CE2287}">
      <text>
        <r>
          <rPr>
            <b/>
            <sz val="9"/>
            <color indexed="81"/>
            <rFont val="MS P ゴシック"/>
            <family val="3"/>
            <charset val="128"/>
          </rPr>
          <t>sunfashion:</t>
        </r>
        <r>
          <rPr>
            <sz val="9"/>
            <color indexed="81"/>
            <rFont val="MS P ゴシック"/>
            <family val="3"/>
            <charset val="128"/>
          </rPr>
          <t xml:space="preserve">
30%
110
</t>
        </r>
      </text>
    </comment>
    <comment ref="K1129" authorId="0" shapeId="0" xr:uid="{0C98A50F-5A30-4032-8D63-1545E82D1CAA}">
      <text>
        <r>
          <rPr>
            <b/>
            <sz val="9"/>
            <color indexed="81"/>
            <rFont val="MS P ゴシック"/>
            <family val="3"/>
            <charset val="128"/>
          </rPr>
          <t>sunfashion:</t>
        </r>
        <r>
          <rPr>
            <sz val="9"/>
            <color indexed="81"/>
            <rFont val="MS P ゴシック"/>
            <family val="3"/>
            <charset val="128"/>
          </rPr>
          <t xml:space="preserve">
30%
110
</t>
        </r>
      </text>
    </comment>
    <comment ref="K1133" authorId="0" shapeId="0" xr:uid="{AC267CAA-1D1C-4B7D-80C3-89772C5D6D92}">
      <text>
        <r>
          <rPr>
            <b/>
            <sz val="9"/>
            <color indexed="81"/>
            <rFont val="MS P ゴシック"/>
            <family val="3"/>
            <charset val="128"/>
          </rPr>
          <t>sunfashion:</t>
        </r>
        <r>
          <rPr>
            <sz val="9"/>
            <color indexed="81"/>
            <rFont val="MS P ゴシック"/>
            <family val="3"/>
            <charset val="128"/>
          </rPr>
          <t xml:space="preserve">
30%
110
</t>
        </r>
      </text>
    </comment>
    <comment ref="K1137" authorId="1" shapeId="0" xr:uid="{B899BF66-284F-4B7D-B79D-336AB98B450B}">
      <text>
        <r>
          <rPr>
            <b/>
            <sz val="9"/>
            <color indexed="81"/>
            <rFont val="MS P ゴシック"/>
            <family val="3"/>
            <charset val="128"/>
          </rPr>
          <t>chiba:</t>
        </r>
        <r>
          <rPr>
            <sz val="9"/>
            <color indexed="81"/>
            <rFont val="MS P ゴシック"/>
            <family val="3"/>
            <charset val="128"/>
          </rPr>
          <t xml:space="preserve">
40% 
110</t>
        </r>
      </text>
    </comment>
    <comment ref="K1138" authorId="1" shapeId="0" xr:uid="{2D73B9E4-2484-4350-A2C6-AC9D2C2B47DE}">
      <text>
        <r>
          <rPr>
            <b/>
            <sz val="9"/>
            <color indexed="81"/>
            <rFont val="MS P ゴシック"/>
            <family val="3"/>
            <charset val="128"/>
          </rPr>
          <t>chiba:</t>
        </r>
        <r>
          <rPr>
            <sz val="9"/>
            <color indexed="81"/>
            <rFont val="MS P ゴシック"/>
            <family val="3"/>
            <charset val="128"/>
          </rPr>
          <t xml:space="preserve">
40% 
110</t>
        </r>
      </text>
    </comment>
    <comment ref="K1139" authorId="1" shapeId="0" xr:uid="{20745B4E-A307-40FC-B41E-113279E2424E}">
      <text>
        <r>
          <rPr>
            <b/>
            <sz val="9"/>
            <color indexed="81"/>
            <rFont val="MS P ゴシック"/>
            <family val="3"/>
            <charset val="128"/>
          </rPr>
          <t>chiba:</t>
        </r>
        <r>
          <rPr>
            <sz val="9"/>
            <color indexed="81"/>
            <rFont val="MS P ゴシック"/>
            <family val="3"/>
            <charset val="128"/>
          </rPr>
          <t xml:space="preserve">
40% 
110</t>
        </r>
      </text>
    </comment>
    <comment ref="K1143" authorId="0" shapeId="0" xr:uid="{B9337A57-3FA3-4AE7-86E9-6968BC41C7CA}">
      <text>
        <r>
          <rPr>
            <b/>
            <sz val="9"/>
            <color indexed="81"/>
            <rFont val="MS P ゴシック"/>
            <family val="3"/>
            <charset val="128"/>
          </rPr>
          <t>sunfashion:</t>
        </r>
        <r>
          <rPr>
            <sz val="9"/>
            <color indexed="81"/>
            <rFont val="MS P ゴシック"/>
            <family val="3"/>
            <charset val="128"/>
          </rPr>
          <t xml:space="preserve">
以前単価のまま対応
110</t>
        </r>
      </text>
    </comment>
    <comment ref="K1147" authorId="1" shapeId="0" xr:uid="{503DAF49-CFD4-4FA5-A98F-94EA9A5CB991}">
      <text>
        <r>
          <rPr>
            <b/>
            <sz val="9"/>
            <color indexed="81"/>
            <rFont val="MS P ゴシック"/>
            <family val="3"/>
            <charset val="128"/>
          </rPr>
          <t>chiba:</t>
        </r>
        <r>
          <rPr>
            <sz val="9"/>
            <color indexed="81"/>
            <rFont val="MS P ゴシック"/>
            <family val="3"/>
            <charset val="128"/>
          </rPr>
          <t xml:space="preserve">
40% 
110</t>
        </r>
      </text>
    </comment>
    <comment ref="K1148" authorId="1" shapeId="0" xr:uid="{38917744-E235-40EB-97E3-C80DFC1ABE30}">
      <text>
        <r>
          <rPr>
            <b/>
            <sz val="9"/>
            <color indexed="81"/>
            <rFont val="MS P ゴシック"/>
            <family val="3"/>
            <charset val="128"/>
          </rPr>
          <t>chiba:</t>
        </r>
        <r>
          <rPr>
            <sz val="9"/>
            <color indexed="81"/>
            <rFont val="MS P ゴシック"/>
            <family val="3"/>
            <charset val="128"/>
          </rPr>
          <t xml:space="preserve">
40% 
110</t>
        </r>
      </text>
    </comment>
    <comment ref="K1152" authorId="0" shapeId="0" xr:uid="{A29B567B-FB8E-4DA0-90BD-F53CECF802DE}">
      <text>
        <r>
          <rPr>
            <b/>
            <sz val="9"/>
            <color indexed="81"/>
            <rFont val="MS P ゴシック"/>
            <family val="3"/>
            <charset val="128"/>
          </rPr>
          <t>sunfashion:</t>
        </r>
        <r>
          <rPr>
            <sz val="9"/>
            <color indexed="81"/>
            <rFont val="MS P ゴシック"/>
            <family val="3"/>
            <charset val="128"/>
          </rPr>
          <t xml:space="preserve">
25% 
110</t>
        </r>
      </text>
    </comment>
    <comment ref="K1156" authorId="0" shapeId="0" xr:uid="{67D65D9C-EDE2-43B3-8024-913B24AA9A64}">
      <text>
        <r>
          <rPr>
            <b/>
            <sz val="9"/>
            <color indexed="81"/>
            <rFont val="MS P ゴシック"/>
            <family val="3"/>
            <charset val="128"/>
          </rPr>
          <t>sunfashion:</t>
        </r>
        <r>
          <rPr>
            <sz val="9"/>
            <color indexed="81"/>
            <rFont val="MS P ゴシック"/>
            <family val="3"/>
            <charset val="128"/>
          </rPr>
          <t xml:space="preserve">
47%（max border  ÷0.53) 
レート125
</t>
        </r>
      </text>
    </comment>
    <comment ref="K1157" authorId="0" shapeId="0" xr:uid="{A5481A5A-EFA2-4558-9166-FC682437A631}">
      <text>
        <r>
          <rPr>
            <b/>
            <sz val="9"/>
            <color indexed="81"/>
            <rFont val="MS P ゴシック"/>
            <family val="3"/>
            <charset val="128"/>
          </rPr>
          <t>sunfashion:</t>
        </r>
        <r>
          <rPr>
            <sz val="9"/>
            <color indexed="81"/>
            <rFont val="MS P ゴシック"/>
            <family val="3"/>
            <charset val="128"/>
          </rPr>
          <t xml:space="preserve">
47%（max border  ÷0.53) 
レート125
</t>
        </r>
      </text>
    </comment>
    <comment ref="K1158" authorId="0" shapeId="0" xr:uid="{D6C1C91D-9872-4A1D-B8A9-6BB5AA33EF5B}">
      <text>
        <r>
          <rPr>
            <b/>
            <sz val="9"/>
            <color indexed="81"/>
            <rFont val="MS P ゴシック"/>
            <family val="3"/>
            <charset val="128"/>
          </rPr>
          <t>sunfashion:</t>
        </r>
        <r>
          <rPr>
            <sz val="9"/>
            <color indexed="81"/>
            <rFont val="MS P ゴシック"/>
            <family val="3"/>
            <charset val="128"/>
          </rPr>
          <t xml:space="preserve">
47%（max border  ÷0.53) 
レート125
</t>
        </r>
      </text>
    </comment>
    <comment ref="K1159" authorId="0" shapeId="0" xr:uid="{330AC666-4FEB-4E09-941D-DAA36E18D1A0}">
      <text>
        <r>
          <rPr>
            <b/>
            <sz val="9"/>
            <color indexed="81"/>
            <rFont val="MS P ゴシック"/>
            <family val="3"/>
            <charset val="128"/>
          </rPr>
          <t>sunfashion:</t>
        </r>
        <r>
          <rPr>
            <sz val="9"/>
            <color indexed="81"/>
            <rFont val="MS P ゴシック"/>
            <family val="3"/>
            <charset val="128"/>
          </rPr>
          <t xml:space="preserve">
47%（max border  ÷0.53) 
レート125
</t>
        </r>
      </text>
    </comment>
    <comment ref="K1163" authorId="0" shapeId="0" xr:uid="{B73267E3-7749-4468-A291-0D4B1E96E708}">
      <text>
        <r>
          <rPr>
            <b/>
            <sz val="9"/>
            <color indexed="81"/>
            <rFont val="MS P ゴシック"/>
            <family val="3"/>
            <charset val="128"/>
          </rPr>
          <t>sunfashion:</t>
        </r>
        <r>
          <rPr>
            <sz val="9"/>
            <color indexed="81"/>
            <rFont val="MS P ゴシック"/>
            <family val="3"/>
            <charset val="128"/>
          </rPr>
          <t xml:space="preserve">
47%（max border  ÷0.53) 
レート125
</t>
        </r>
      </text>
    </comment>
    <comment ref="K1164" authorId="0" shapeId="0" xr:uid="{C16942B1-5CB0-4DF0-8EA1-BF07CD1DCC83}">
      <text>
        <r>
          <rPr>
            <b/>
            <sz val="9"/>
            <color indexed="81"/>
            <rFont val="MS P ゴシック"/>
            <family val="3"/>
            <charset val="128"/>
          </rPr>
          <t>sunfashion:</t>
        </r>
        <r>
          <rPr>
            <sz val="9"/>
            <color indexed="81"/>
            <rFont val="MS P ゴシック"/>
            <family val="3"/>
            <charset val="128"/>
          </rPr>
          <t xml:space="preserve">
47%（max border  ÷0.53) 
レート125
</t>
        </r>
      </text>
    </comment>
    <comment ref="K1168" authorId="0" shapeId="0" xr:uid="{A4AAA428-4CA0-4BB4-8BF6-A5D911AC8B7A}">
      <text>
        <r>
          <rPr>
            <b/>
            <sz val="9"/>
            <color indexed="81"/>
            <rFont val="MS P ゴシック"/>
            <family val="3"/>
            <charset val="128"/>
          </rPr>
          <t>sunfashion:</t>
        </r>
        <r>
          <rPr>
            <sz val="9"/>
            <color indexed="81"/>
            <rFont val="MS P ゴシック"/>
            <family val="3"/>
            <charset val="128"/>
          </rPr>
          <t xml:space="preserve">
30% 
125</t>
        </r>
      </text>
    </comment>
    <comment ref="K1169" authorId="0" shapeId="0" xr:uid="{2ADE5756-625F-430A-9F24-AE031D49210D}">
      <text>
        <r>
          <rPr>
            <b/>
            <sz val="9"/>
            <color indexed="81"/>
            <rFont val="MS P ゴシック"/>
            <family val="3"/>
            <charset val="128"/>
          </rPr>
          <t>sunfashion:</t>
        </r>
        <r>
          <rPr>
            <sz val="9"/>
            <color indexed="81"/>
            <rFont val="MS P ゴシック"/>
            <family val="3"/>
            <charset val="128"/>
          </rPr>
          <t xml:space="preserve">
30% 
125</t>
        </r>
      </text>
    </comment>
    <comment ref="K1170" authorId="0" shapeId="0" xr:uid="{4BDF1A9D-CCD5-4F95-9288-58BBDDC6C24B}">
      <text>
        <r>
          <rPr>
            <b/>
            <sz val="9"/>
            <color indexed="81"/>
            <rFont val="MS P ゴシック"/>
            <family val="3"/>
            <charset val="128"/>
          </rPr>
          <t>sunfashion:</t>
        </r>
        <r>
          <rPr>
            <sz val="9"/>
            <color indexed="81"/>
            <rFont val="MS P ゴシック"/>
            <family val="3"/>
            <charset val="128"/>
          </rPr>
          <t xml:space="preserve">
30% 
125</t>
        </r>
      </text>
    </comment>
    <comment ref="K1174" authorId="0" shapeId="0" xr:uid="{80B58B93-5DFE-4E72-8BD7-6A90CB00C43F}">
      <text>
        <r>
          <rPr>
            <b/>
            <sz val="9"/>
            <color indexed="81"/>
            <rFont val="MS P ゴシック"/>
            <family val="3"/>
            <charset val="128"/>
          </rPr>
          <t>sunfashion:</t>
        </r>
        <r>
          <rPr>
            <sz val="9"/>
            <color indexed="81"/>
            <rFont val="MS P ゴシック"/>
            <family val="3"/>
            <charset val="128"/>
          </rPr>
          <t xml:space="preserve">
34% （÷ 0.66) 
125円</t>
        </r>
      </text>
    </comment>
    <comment ref="K1175" authorId="0" shapeId="0" xr:uid="{A2EF58C7-A529-4179-B000-CB0BBA3E2739}">
      <text>
        <r>
          <rPr>
            <b/>
            <sz val="9"/>
            <color indexed="81"/>
            <rFont val="MS P ゴシック"/>
            <family val="3"/>
            <charset val="128"/>
          </rPr>
          <t>sunfashion:</t>
        </r>
        <r>
          <rPr>
            <sz val="9"/>
            <color indexed="81"/>
            <rFont val="MS P ゴシック"/>
            <family val="3"/>
            <charset val="128"/>
          </rPr>
          <t xml:space="preserve">
30% 
125</t>
        </r>
      </text>
    </comment>
    <comment ref="K1176" authorId="0" shapeId="0" xr:uid="{8F97DAF7-7DB2-49F8-834A-DB5EBBEE512B}">
      <text>
        <r>
          <rPr>
            <b/>
            <sz val="9"/>
            <color indexed="81"/>
            <rFont val="MS P ゴシック"/>
            <family val="3"/>
            <charset val="128"/>
          </rPr>
          <t>sunfashion:</t>
        </r>
        <r>
          <rPr>
            <sz val="9"/>
            <color indexed="81"/>
            <rFont val="MS P ゴシック"/>
            <family val="3"/>
            <charset val="128"/>
          </rPr>
          <t xml:space="preserve">
34% （÷ 0.66) 
125円</t>
        </r>
      </text>
    </comment>
    <comment ref="K1180" authorId="0" shapeId="0" xr:uid="{AB6F05B5-2A1C-4101-9CE1-0BEF9B0A2E87}">
      <text>
        <r>
          <rPr>
            <b/>
            <sz val="9"/>
            <color indexed="81"/>
            <rFont val="MS P ゴシック"/>
            <family val="3"/>
            <charset val="128"/>
          </rPr>
          <t>sunfashion:</t>
        </r>
        <r>
          <rPr>
            <sz val="9"/>
            <color indexed="81"/>
            <rFont val="MS P ゴシック"/>
            <family val="3"/>
            <charset val="128"/>
          </rPr>
          <t xml:space="preserve">
47%（max border  ÷0.53) 
レート125
</t>
        </r>
      </text>
    </comment>
    <comment ref="K1181" authorId="0" shapeId="0" xr:uid="{9A27A49C-64C4-4CDB-8595-D5C203DEE6D7}">
      <text>
        <r>
          <rPr>
            <b/>
            <sz val="9"/>
            <color indexed="81"/>
            <rFont val="MS P ゴシック"/>
            <family val="3"/>
            <charset val="128"/>
          </rPr>
          <t>sunfashion:</t>
        </r>
        <r>
          <rPr>
            <sz val="9"/>
            <color indexed="81"/>
            <rFont val="MS P ゴシック"/>
            <family val="3"/>
            <charset val="128"/>
          </rPr>
          <t xml:space="preserve">
47%（max border  ÷0.53) 
レート125
</t>
        </r>
      </text>
    </comment>
    <comment ref="K1182" authorId="0" shapeId="0" xr:uid="{485402ED-8F13-4D12-B443-200E4CF97315}">
      <text>
        <r>
          <rPr>
            <b/>
            <sz val="9"/>
            <color indexed="81"/>
            <rFont val="MS P ゴシック"/>
            <family val="3"/>
            <charset val="128"/>
          </rPr>
          <t>sunfashion:</t>
        </r>
        <r>
          <rPr>
            <sz val="9"/>
            <color indexed="81"/>
            <rFont val="MS P ゴシック"/>
            <family val="3"/>
            <charset val="128"/>
          </rPr>
          <t xml:space="preserve">
47%（max border  ÷0.53) 
レート125
</t>
        </r>
      </text>
    </comment>
    <comment ref="E1185" authorId="0" shapeId="0" xr:uid="{F3D4A329-272C-4F49-8B22-DDD8E8959F89}">
      <text>
        <r>
          <rPr>
            <b/>
            <sz val="9"/>
            <color indexed="81"/>
            <rFont val="MS P ゴシック"/>
            <family val="3"/>
            <charset val="128"/>
          </rPr>
          <t>sunfashion:</t>
        </r>
        <r>
          <rPr>
            <sz val="9"/>
            <color indexed="81"/>
            <rFont val="MS P ゴシック"/>
            <family val="3"/>
            <charset val="128"/>
          </rPr>
          <t xml:space="preserve">
無償サンプルの運賃</t>
        </r>
      </text>
    </comment>
    <comment ref="K1187" authorId="0" shapeId="0" xr:uid="{13DC1352-C1EA-42DB-8C57-8AB4C2CEEC9B}">
      <text>
        <r>
          <rPr>
            <b/>
            <sz val="9"/>
            <color indexed="81"/>
            <rFont val="MS P ゴシック"/>
            <family val="3"/>
            <charset val="128"/>
          </rPr>
          <t>sunfashion:</t>
        </r>
        <r>
          <rPr>
            <sz val="9"/>
            <color indexed="81"/>
            <rFont val="MS P ゴシック"/>
            <family val="3"/>
            <charset val="128"/>
          </rPr>
          <t xml:space="preserve">
20% 
125</t>
        </r>
      </text>
    </comment>
    <comment ref="P1187" authorId="0" shapeId="0" xr:uid="{1D50405F-BBC1-418E-949B-B2CFFBBBA482}">
      <text>
        <r>
          <rPr>
            <b/>
            <sz val="9"/>
            <color indexed="81"/>
            <rFont val="MS P ゴシック"/>
            <family val="3"/>
            <charset val="128"/>
          </rPr>
          <t>sunfashion:</t>
        </r>
        <r>
          <rPr>
            <sz val="9"/>
            <color indexed="81"/>
            <rFont val="MS P ゴシック"/>
            <family val="3"/>
            <charset val="128"/>
          </rPr>
          <t xml:space="preserve">
今回カット代300円サービス・次回から発生
</t>
        </r>
      </text>
    </comment>
    <comment ref="K1191" authorId="0" shapeId="0" xr:uid="{CA453467-D069-4B3F-BB42-8AF60CE12861}">
      <text>
        <r>
          <rPr>
            <b/>
            <sz val="9"/>
            <color indexed="81"/>
            <rFont val="MS P ゴシック"/>
            <family val="3"/>
            <charset val="128"/>
          </rPr>
          <t>sunfashion:</t>
        </r>
        <r>
          <rPr>
            <sz val="9"/>
            <color indexed="81"/>
            <rFont val="MS P ゴシック"/>
            <family val="3"/>
            <charset val="128"/>
          </rPr>
          <t xml:space="preserve">
20% 
125</t>
        </r>
      </text>
    </comment>
    <comment ref="K1195" authorId="0" shapeId="0" xr:uid="{689A2488-B203-4636-97CA-06AEC7CA7C8D}">
      <text>
        <r>
          <rPr>
            <b/>
            <sz val="9"/>
            <color indexed="81"/>
            <rFont val="MS P ゴシック"/>
            <family val="3"/>
            <charset val="128"/>
          </rPr>
          <t>sunfashion:</t>
        </r>
        <r>
          <rPr>
            <sz val="9"/>
            <color indexed="81"/>
            <rFont val="MS P ゴシック"/>
            <family val="3"/>
            <charset val="128"/>
          </rPr>
          <t xml:space="preserve">
20% 
125</t>
        </r>
      </text>
    </comment>
    <comment ref="P1195" authorId="1" shapeId="0" xr:uid="{01B0606D-94CF-43C4-BD18-60D9FFC72642}">
      <text>
        <r>
          <rPr>
            <b/>
            <sz val="9"/>
            <color indexed="81"/>
            <rFont val="MS P ゴシック"/>
            <family val="3"/>
            <charset val="128"/>
          </rPr>
          <t>chiba:</t>
        </r>
        <r>
          <rPr>
            <sz val="9"/>
            <color indexed="81"/>
            <rFont val="MS P ゴシック"/>
            <family val="3"/>
            <charset val="128"/>
          </rPr>
          <t xml:space="preserve">
染色小口代 + 300円/m</t>
        </r>
      </text>
    </comment>
    <comment ref="K1196" authorId="0" shapeId="0" xr:uid="{80B94351-CB7D-4099-AE36-83991578F403}">
      <text>
        <r>
          <rPr>
            <b/>
            <sz val="9"/>
            <color indexed="81"/>
            <rFont val="MS P ゴシック"/>
            <family val="3"/>
            <charset val="128"/>
          </rPr>
          <t>sunfashion:</t>
        </r>
        <r>
          <rPr>
            <sz val="9"/>
            <color indexed="81"/>
            <rFont val="MS P ゴシック"/>
            <family val="3"/>
            <charset val="128"/>
          </rPr>
          <t xml:space="preserve">
20% 
125</t>
        </r>
      </text>
    </comment>
    <comment ref="P1196" authorId="1" shapeId="0" xr:uid="{F9C2A1B4-2BFF-4512-BC4D-7E2FBA10F725}">
      <text>
        <r>
          <rPr>
            <b/>
            <sz val="9"/>
            <color indexed="81"/>
            <rFont val="MS P ゴシック"/>
            <family val="3"/>
            <charset val="128"/>
          </rPr>
          <t>chiba:</t>
        </r>
        <r>
          <rPr>
            <sz val="9"/>
            <color indexed="81"/>
            <rFont val="MS P ゴシック"/>
            <family val="3"/>
            <charset val="128"/>
          </rPr>
          <t xml:space="preserve">
染色小口代 + 300円/m</t>
        </r>
      </text>
    </comment>
    <comment ref="K1197" authorId="0" shapeId="0" xr:uid="{6C57999E-1990-4AC2-A082-F9D04DFFC75B}">
      <text>
        <r>
          <rPr>
            <b/>
            <sz val="9"/>
            <color indexed="81"/>
            <rFont val="MS P ゴシック"/>
            <family val="3"/>
            <charset val="128"/>
          </rPr>
          <t>sunfashion:</t>
        </r>
        <r>
          <rPr>
            <sz val="9"/>
            <color indexed="81"/>
            <rFont val="MS P ゴシック"/>
            <family val="3"/>
            <charset val="128"/>
          </rPr>
          <t xml:space="preserve">
20% 
125</t>
        </r>
      </text>
    </comment>
    <comment ref="P1197" authorId="1" shapeId="0" xr:uid="{ED3E7338-7ED6-4811-9363-DF94D4D782D2}">
      <text>
        <r>
          <rPr>
            <b/>
            <sz val="9"/>
            <color indexed="81"/>
            <rFont val="MS P ゴシック"/>
            <family val="3"/>
            <charset val="128"/>
          </rPr>
          <t>chiba:</t>
        </r>
        <r>
          <rPr>
            <sz val="9"/>
            <color indexed="81"/>
            <rFont val="MS P ゴシック"/>
            <family val="3"/>
            <charset val="128"/>
          </rPr>
          <t xml:space="preserve">
染色小口代 + 300円/m</t>
        </r>
      </text>
    </comment>
    <comment ref="E1199" authorId="0" shapeId="0" xr:uid="{EC99F220-8478-4A7E-AD89-F8773967DD8F}">
      <text>
        <r>
          <rPr>
            <b/>
            <sz val="9"/>
            <color indexed="81"/>
            <rFont val="MS P ゴシック"/>
            <family val="3"/>
            <charset val="128"/>
          </rPr>
          <t>sunfashion:</t>
        </r>
        <r>
          <rPr>
            <sz val="9"/>
            <color indexed="81"/>
            <rFont val="MS P ゴシック"/>
            <family val="3"/>
            <charset val="128"/>
          </rPr>
          <t xml:space="preserve">
無償サンプルの運賃</t>
        </r>
      </text>
    </comment>
    <comment ref="E1200" authorId="0" shapeId="0" xr:uid="{822DB126-1FDE-4EED-B69D-224AC2EFF41C}">
      <text>
        <r>
          <rPr>
            <b/>
            <sz val="9"/>
            <color indexed="81"/>
            <rFont val="MS P ゴシック"/>
            <family val="3"/>
            <charset val="128"/>
          </rPr>
          <t>sunfashion:</t>
        </r>
        <r>
          <rPr>
            <sz val="9"/>
            <color indexed="81"/>
            <rFont val="MS P ゴシック"/>
            <family val="3"/>
            <charset val="128"/>
          </rPr>
          <t xml:space="preserve">
無償サンプルの運賃</t>
        </r>
      </text>
    </comment>
    <comment ref="E1202" authorId="1" shapeId="0" xr:uid="{EEF7BA28-BBC3-4BB0-99C3-DA57F085D169}">
      <text>
        <r>
          <rPr>
            <b/>
            <sz val="9"/>
            <color indexed="81"/>
            <rFont val="MS P ゴシック"/>
            <family val="3"/>
            <charset val="128"/>
          </rPr>
          <t>chiba:</t>
        </r>
        <r>
          <rPr>
            <sz val="9"/>
            <color indexed="81"/>
            <rFont val="MS P ゴシック"/>
            <family val="3"/>
            <charset val="128"/>
          </rPr>
          <t xml:space="preserve">
KKF7203CT-W</t>
        </r>
      </text>
    </comment>
    <comment ref="K1202" authorId="0" shapeId="0" xr:uid="{E96CB9E6-B864-4068-A05A-119387F83FD5}">
      <text>
        <r>
          <rPr>
            <b/>
            <sz val="9"/>
            <color indexed="81"/>
            <rFont val="MS P ゴシック"/>
            <family val="3"/>
            <charset val="128"/>
          </rPr>
          <t>sunfashion:</t>
        </r>
        <r>
          <rPr>
            <sz val="9"/>
            <color indexed="81"/>
            <rFont val="MS P ゴシック"/>
            <family val="3"/>
            <charset val="128"/>
          </rPr>
          <t xml:space="preserve">
20% 
125
梱包代として20円on して計算</t>
        </r>
      </text>
    </comment>
    <comment ref="P1203" authorId="1" shapeId="0" xr:uid="{57D68ADF-D559-4AEB-B9BE-F8C553E1C1D8}">
      <text>
        <r>
          <rPr>
            <b/>
            <sz val="9"/>
            <color indexed="81"/>
            <rFont val="MS P ゴシック"/>
            <family val="3"/>
            <charset val="128"/>
          </rPr>
          <t>chiba:</t>
        </r>
        <r>
          <rPr>
            <sz val="9"/>
            <color indexed="81"/>
            <rFont val="MS P ゴシック"/>
            <family val="3"/>
            <charset val="128"/>
          </rPr>
          <t xml:space="preserve">
実際は運賃不要
カット代 400 x 5m 分</t>
        </r>
      </text>
    </comment>
    <comment ref="Q1203" authorId="1" shapeId="0" xr:uid="{F3482378-76AB-458B-A682-AA8FC739E428}">
      <text>
        <r>
          <rPr>
            <b/>
            <sz val="9"/>
            <color indexed="81"/>
            <rFont val="MS P ゴシック"/>
            <family val="3"/>
            <charset val="128"/>
          </rPr>
          <t>chiba:</t>
        </r>
        <r>
          <rPr>
            <sz val="9"/>
            <color indexed="81"/>
            <rFont val="MS P ゴシック"/>
            <family val="3"/>
            <charset val="128"/>
          </rPr>
          <t xml:space="preserve">
実際は運賃不要
カット代 400 x 5m 分</t>
        </r>
      </text>
    </comment>
    <comment ref="K1206" authorId="0" shapeId="0" xr:uid="{53D0D94E-C5EF-4E33-876C-4E3D8341B63F}">
      <text>
        <r>
          <rPr>
            <b/>
            <sz val="9"/>
            <color indexed="81"/>
            <rFont val="MS P ゴシック"/>
            <family val="3"/>
            <charset val="128"/>
          </rPr>
          <t>sunfashion:</t>
        </r>
        <r>
          <rPr>
            <sz val="9"/>
            <color indexed="81"/>
            <rFont val="MS P ゴシック"/>
            <family val="3"/>
            <charset val="128"/>
          </rPr>
          <t xml:space="preserve">
30% 
125</t>
        </r>
      </text>
    </comment>
    <comment ref="K1207" authorId="0" shapeId="0" xr:uid="{1D365FAC-CC43-4A4D-90F0-611572196ED4}">
      <text>
        <r>
          <rPr>
            <b/>
            <sz val="9"/>
            <color indexed="81"/>
            <rFont val="MS P ゴシック"/>
            <family val="3"/>
            <charset val="128"/>
          </rPr>
          <t>sunfashion:</t>
        </r>
        <r>
          <rPr>
            <sz val="9"/>
            <color indexed="81"/>
            <rFont val="MS P ゴシック"/>
            <family val="3"/>
            <charset val="128"/>
          </rPr>
          <t xml:space="preserve">
30% 
125</t>
        </r>
      </text>
    </comment>
    <comment ref="K1211" authorId="0" shapeId="0" xr:uid="{E7F1C719-BC89-4798-B228-5E0CF207C810}">
      <text>
        <r>
          <rPr>
            <b/>
            <sz val="9"/>
            <color indexed="81"/>
            <rFont val="MS P ゴシック"/>
            <family val="3"/>
            <charset val="128"/>
          </rPr>
          <t>sunfashion:</t>
        </r>
        <r>
          <rPr>
            <sz val="9"/>
            <color indexed="81"/>
            <rFont val="MS P ゴシック"/>
            <family val="3"/>
            <charset val="128"/>
          </rPr>
          <t xml:space="preserve">
30% 
125</t>
        </r>
      </text>
    </comment>
    <comment ref="K1212" authorId="0" shapeId="0" xr:uid="{8DB8FB32-3D38-4D65-A6D4-DF394175C171}">
      <text>
        <r>
          <rPr>
            <b/>
            <sz val="9"/>
            <color indexed="81"/>
            <rFont val="MS P ゴシック"/>
            <family val="3"/>
            <charset val="128"/>
          </rPr>
          <t>sunfashion:</t>
        </r>
        <r>
          <rPr>
            <sz val="9"/>
            <color indexed="81"/>
            <rFont val="MS P ゴシック"/>
            <family val="3"/>
            <charset val="128"/>
          </rPr>
          <t xml:space="preserve">
30% 
125</t>
        </r>
      </text>
    </comment>
    <comment ref="K1216" authorId="1" shapeId="0" xr:uid="{E3845997-46C3-443D-8357-939FE7080B3F}">
      <text>
        <r>
          <rPr>
            <b/>
            <sz val="9"/>
            <color indexed="81"/>
            <rFont val="MS P ゴシック"/>
            <family val="3"/>
            <charset val="128"/>
          </rPr>
          <t>chiba:</t>
        </r>
        <r>
          <rPr>
            <sz val="9"/>
            <color indexed="81"/>
            <rFont val="MS P ゴシック"/>
            <family val="3"/>
            <charset val="128"/>
          </rPr>
          <t xml:space="preserve">
旧単価据え置き
約36%</t>
        </r>
      </text>
    </comment>
    <comment ref="K1221" authorId="0" shapeId="0" xr:uid="{A56958D9-C81F-46DD-AC10-2C0D6A2BC2C7}">
      <text>
        <r>
          <rPr>
            <b/>
            <sz val="9"/>
            <color indexed="81"/>
            <rFont val="MS P ゴシック"/>
            <family val="3"/>
            <charset val="128"/>
          </rPr>
          <t>sunfashion:</t>
        </r>
        <r>
          <rPr>
            <sz val="9"/>
            <color indexed="81"/>
            <rFont val="MS P ゴシック"/>
            <family val="3"/>
            <charset val="128"/>
          </rPr>
          <t xml:space="preserve">
47%（max border  ÷0.53) 
レート125
</t>
        </r>
      </text>
    </comment>
    <comment ref="K1223" authorId="0" shapeId="0" xr:uid="{E7FE2A9A-FB7A-432A-ACBC-3F1209A09DD0}">
      <text>
        <r>
          <rPr>
            <b/>
            <sz val="9"/>
            <color indexed="81"/>
            <rFont val="MS P ゴシック"/>
            <family val="3"/>
            <charset val="128"/>
          </rPr>
          <t>sunfashion:</t>
        </r>
        <r>
          <rPr>
            <sz val="9"/>
            <color indexed="81"/>
            <rFont val="MS P ゴシック"/>
            <family val="3"/>
            <charset val="128"/>
          </rPr>
          <t xml:space="preserve">
47%（max border  ÷0.53) 
レート125
</t>
        </r>
      </text>
    </comment>
    <comment ref="K1224" authorId="0" shapeId="0" xr:uid="{7DBC2408-8021-4B26-B73E-70F0DD1A16D3}">
      <text>
        <r>
          <rPr>
            <b/>
            <sz val="9"/>
            <color indexed="81"/>
            <rFont val="MS P ゴシック"/>
            <family val="3"/>
            <charset val="128"/>
          </rPr>
          <t>sunfashion:</t>
        </r>
        <r>
          <rPr>
            <sz val="9"/>
            <color indexed="81"/>
            <rFont val="MS P ゴシック"/>
            <family val="3"/>
            <charset val="128"/>
          </rPr>
          <t xml:space="preserve">
47%（max border  ÷0.53) 
レート125
</t>
        </r>
      </text>
    </comment>
    <comment ref="K1225" authorId="0" shapeId="0" xr:uid="{74A85E51-2983-4471-A6ED-D5B68C5FC169}">
      <text>
        <r>
          <rPr>
            <b/>
            <sz val="9"/>
            <color indexed="81"/>
            <rFont val="MS P ゴシック"/>
            <family val="3"/>
            <charset val="128"/>
          </rPr>
          <t>sunfashion:</t>
        </r>
        <r>
          <rPr>
            <sz val="9"/>
            <color indexed="81"/>
            <rFont val="MS P ゴシック"/>
            <family val="3"/>
            <charset val="128"/>
          </rPr>
          <t xml:space="preserve">
47%（max border  ÷0.53) 
レート125
</t>
        </r>
      </text>
    </comment>
    <comment ref="K1226" authorId="0" shapeId="0" xr:uid="{881912AE-42E0-4CB5-AD5B-5D4831C70442}">
      <text>
        <r>
          <rPr>
            <b/>
            <sz val="9"/>
            <color indexed="81"/>
            <rFont val="MS P ゴシック"/>
            <family val="3"/>
            <charset val="128"/>
          </rPr>
          <t>sunfashion:</t>
        </r>
        <r>
          <rPr>
            <sz val="9"/>
            <color indexed="81"/>
            <rFont val="MS P ゴシック"/>
            <family val="3"/>
            <charset val="128"/>
          </rPr>
          <t xml:space="preserve">
47%（max border  ÷0.53) 
レート125
</t>
        </r>
      </text>
    </comment>
    <comment ref="K1227" authorId="0" shapeId="0" xr:uid="{D516F9EE-0C6E-4CB7-8C4A-3420EE3067AB}">
      <text>
        <r>
          <rPr>
            <b/>
            <sz val="9"/>
            <color indexed="81"/>
            <rFont val="MS P ゴシック"/>
            <family val="3"/>
            <charset val="128"/>
          </rPr>
          <t>sunfashion:</t>
        </r>
        <r>
          <rPr>
            <sz val="9"/>
            <color indexed="81"/>
            <rFont val="MS P ゴシック"/>
            <family val="3"/>
            <charset val="128"/>
          </rPr>
          <t xml:space="preserve">
47%（max border  ÷0.53) 
レート125
</t>
        </r>
      </text>
    </comment>
    <comment ref="K1228" authorId="0" shapeId="0" xr:uid="{BA708B9D-7B8F-4D8A-9A63-986888823115}">
      <text>
        <r>
          <rPr>
            <b/>
            <sz val="9"/>
            <color indexed="81"/>
            <rFont val="MS P ゴシック"/>
            <family val="3"/>
            <charset val="128"/>
          </rPr>
          <t>sunfashion:</t>
        </r>
        <r>
          <rPr>
            <sz val="9"/>
            <color indexed="81"/>
            <rFont val="MS P ゴシック"/>
            <family val="3"/>
            <charset val="128"/>
          </rPr>
          <t xml:space="preserve">
47%（max border  ÷0.53) 
レート125
</t>
        </r>
      </text>
    </comment>
    <comment ref="K1229" authorId="0" shapeId="0" xr:uid="{0493B4DD-AE88-4240-9D0E-44381418D6F2}">
      <text>
        <r>
          <rPr>
            <b/>
            <sz val="9"/>
            <color indexed="81"/>
            <rFont val="MS P ゴシック"/>
            <family val="3"/>
            <charset val="128"/>
          </rPr>
          <t>sunfashion:</t>
        </r>
        <r>
          <rPr>
            <sz val="9"/>
            <color indexed="81"/>
            <rFont val="MS P ゴシック"/>
            <family val="3"/>
            <charset val="128"/>
          </rPr>
          <t xml:space="preserve">
47%（max border  ÷0.53) 
レート125
</t>
        </r>
      </text>
    </comment>
    <comment ref="K1231" authorId="0" shapeId="0" xr:uid="{C7208D35-37FE-41C4-81D4-6253A1099B9B}">
      <text>
        <r>
          <rPr>
            <b/>
            <sz val="9"/>
            <color indexed="81"/>
            <rFont val="MS P ゴシック"/>
            <family val="3"/>
            <charset val="128"/>
          </rPr>
          <t>sunfashion:</t>
        </r>
        <r>
          <rPr>
            <sz val="9"/>
            <color indexed="81"/>
            <rFont val="MS P ゴシック"/>
            <family val="3"/>
            <charset val="128"/>
          </rPr>
          <t xml:space="preserve">
47%（max border  ÷0.53) 
レート125
</t>
        </r>
      </text>
    </comment>
    <comment ref="K1232" authorId="0" shapeId="0" xr:uid="{D8A70F1D-308C-49E3-8FB5-03FF2090D4D3}">
      <text>
        <r>
          <rPr>
            <b/>
            <sz val="9"/>
            <color indexed="81"/>
            <rFont val="MS P ゴシック"/>
            <family val="3"/>
            <charset val="128"/>
          </rPr>
          <t>sunfashion:</t>
        </r>
        <r>
          <rPr>
            <sz val="9"/>
            <color indexed="81"/>
            <rFont val="MS P ゴシック"/>
            <family val="3"/>
            <charset val="128"/>
          </rPr>
          <t xml:space="preserve">
47%（max border  ÷0.53) 
レート125
</t>
        </r>
      </text>
    </comment>
    <comment ref="K1235" authorId="1" shapeId="0" xr:uid="{4DDF2E9E-74CA-4A1D-B188-41A0B12FFCCC}">
      <text>
        <r>
          <rPr>
            <b/>
            <sz val="9"/>
            <color indexed="81"/>
            <rFont val="MS P ゴシック"/>
            <family val="3"/>
            <charset val="128"/>
          </rPr>
          <t>chiba:</t>
        </r>
        <r>
          <rPr>
            <sz val="9"/>
            <color indexed="81"/>
            <rFont val="MS P ゴシック"/>
            <family val="3"/>
            <charset val="128"/>
          </rPr>
          <t xml:space="preserve">
旧単価据え置き
20% 
120
</t>
        </r>
      </text>
    </comment>
    <comment ref="P1235" authorId="1" shapeId="0" xr:uid="{E01B3427-BBC9-4313-8DF9-10045802750F}">
      <text>
        <r>
          <rPr>
            <b/>
            <sz val="9"/>
            <color indexed="81"/>
            <rFont val="MS P ゴシック"/>
            <family val="3"/>
            <charset val="128"/>
          </rPr>
          <t>chiba:</t>
        </r>
        <r>
          <rPr>
            <sz val="9"/>
            <color indexed="81"/>
            <rFont val="MS P ゴシック"/>
            <family val="3"/>
            <charset val="128"/>
          </rPr>
          <t xml:space="preserve">
（マス費用 + 校正費）</t>
        </r>
      </text>
    </comment>
    <comment ref="K1236" authorId="1" shapeId="0" xr:uid="{E62F123A-5A9F-46A6-8EBB-14CE491E6852}">
      <text>
        <r>
          <rPr>
            <b/>
            <sz val="9"/>
            <color indexed="81"/>
            <rFont val="MS P ゴシック"/>
            <family val="3"/>
            <charset val="128"/>
          </rPr>
          <t>chiba:</t>
        </r>
        <r>
          <rPr>
            <sz val="9"/>
            <color indexed="81"/>
            <rFont val="MS P ゴシック"/>
            <family val="3"/>
            <charset val="128"/>
          </rPr>
          <t xml:space="preserve">
旧単価据え置き
20% 
120
</t>
        </r>
      </text>
    </comment>
    <comment ref="P1236" authorId="1" shapeId="0" xr:uid="{A987FF66-557A-4CC2-B455-8823D91E42F1}">
      <text>
        <r>
          <rPr>
            <b/>
            <sz val="9"/>
            <color indexed="81"/>
            <rFont val="MS P ゴシック"/>
            <family val="3"/>
            <charset val="128"/>
          </rPr>
          <t>chiba:</t>
        </r>
        <r>
          <rPr>
            <sz val="9"/>
            <color indexed="81"/>
            <rFont val="MS P ゴシック"/>
            <family val="3"/>
            <charset val="128"/>
          </rPr>
          <t xml:space="preserve">
（マス費用 + 校正費）</t>
        </r>
      </text>
    </comment>
    <comment ref="K1240" authorId="1" shapeId="0" xr:uid="{8E406F95-0F82-4800-A73A-4EBB08B856C2}">
      <text>
        <r>
          <rPr>
            <b/>
            <sz val="9"/>
            <color indexed="81"/>
            <rFont val="MS P ゴシック"/>
            <family val="3"/>
            <charset val="128"/>
          </rPr>
          <t>chiba:</t>
        </r>
        <r>
          <rPr>
            <sz val="9"/>
            <color indexed="81"/>
            <rFont val="MS P ゴシック"/>
            <family val="3"/>
            <charset val="128"/>
          </rPr>
          <t xml:space="preserve">
旧単価据え置き
約36%</t>
        </r>
      </text>
    </comment>
    <comment ref="K1245" authorId="0" shapeId="0" xr:uid="{652B017E-FEFE-457A-8EAE-C1DA7B3D6B07}">
      <text>
        <r>
          <rPr>
            <b/>
            <sz val="9"/>
            <color indexed="81"/>
            <rFont val="MS P ゴシック"/>
            <family val="3"/>
            <charset val="128"/>
          </rPr>
          <t>sunfashion:</t>
        </r>
        <r>
          <rPr>
            <sz val="9"/>
            <color indexed="81"/>
            <rFont val="MS P ゴシック"/>
            <family val="3"/>
            <charset val="128"/>
          </rPr>
          <t xml:space="preserve">
20% 
125</t>
        </r>
      </text>
    </comment>
    <comment ref="K1249" authorId="0" shapeId="0" xr:uid="{A00E8814-1535-47EF-B21E-068B153BFEC0}">
      <text>
        <r>
          <rPr>
            <b/>
            <sz val="9"/>
            <color indexed="81"/>
            <rFont val="MS P ゴシック"/>
            <family val="3"/>
            <charset val="128"/>
          </rPr>
          <t>sunfashion:</t>
        </r>
        <r>
          <rPr>
            <sz val="9"/>
            <color indexed="81"/>
            <rFont val="MS P ゴシック"/>
            <family val="3"/>
            <charset val="128"/>
          </rPr>
          <t xml:space="preserve">
34% （÷ 0.66) 
125円</t>
        </r>
      </text>
    </comment>
    <comment ref="K1250" authorId="0" shapeId="0" xr:uid="{D8AA7774-2371-44CE-923B-8BA223730B3F}">
      <text>
        <r>
          <rPr>
            <b/>
            <sz val="9"/>
            <color indexed="81"/>
            <rFont val="MS P ゴシック"/>
            <family val="3"/>
            <charset val="128"/>
          </rPr>
          <t>sunfashion:</t>
        </r>
        <r>
          <rPr>
            <sz val="9"/>
            <color indexed="81"/>
            <rFont val="MS P ゴシック"/>
            <family val="3"/>
            <charset val="128"/>
          </rPr>
          <t xml:space="preserve">
34% （÷ 0.66) 
125円</t>
        </r>
      </text>
    </comment>
    <comment ref="P1250" authorId="1" shapeId="0" xr:uid="{F86F973E-625B-44E8-BC19-6716CD6E0591}">
      <text>
        <r>
          <rPr>
            <b/>
            <sz val="9"/>
            <color indexed="81"/>
            <rFont val="MS P ゴシック"/>
            <family val="3"/>
            <charset val="128"/>
          </rPr>
          <t>chiba:</t>
        </r>
        <r>
          <rPr>
            <sz val="9"/>
            <color indexed="81"/>
            <rFont val="MS P ゴシック"/>
            <family val="3"/>
            <charset val="128"/>
          </rPr>
          <t xml:space="preserve">
MOQ 38本なら450円
MOQ未満なら490円</t>
        </r>
      </text>
    </comment>
    <comment ref="E1253" authorId="1" shapeId="0" xr:uid="{603FBEEF-EE15-46FC-9A44-5B72D95E40AD}">
      <text>
        <r>
          <rPr>
            <b/>
            <sz val="9"/>
            <color indexed="81"/>
            <rFont val="MS P ゴシック"/>
            <family val="3"/>
            <charset val="128"/>
          </rPr>
          <t>chiba:</t>
        </r>
        <r>
          <rPr>
            <sz val="9"/>
            <color indexed="81"/>
            <rFont val="MS P ゴシック"/>
            <family val="3"/>
            <charset val="128"/>
          </rPr>
          <t xml:space="preserve">
弱撥水樹脂</t>
        </r>
      </text>
    </comment>
    <comment ref="K1253" authorId="0" shapeId="0" xr:uid="{049D0D26-3F21-467F-AA96-C58789565C5D}">
      <text>
        <r>
          <rPr>
            <b/>
            <sz val="9"/>
            <color indexed="81"/>
            <rFont val="MS P ゴシック"/>
            <family val="3"/>
            <charset val="128"/>
          </rPr>
          <t>sunfashion:
1000m 以上特価</t>
        </r>
        <r>
          <rPr>
            <sz val="9"/>
            <color indexed="81"/>
            <rFont val="MS P ゴシック"/>
            <family val="3"/>
            <charset val="128"/>
          </rPr>
          <t xml:space="preserve">
20% 
125</t>
        </r>
      </text>
    </comment>
    <comment ref="P1253" authorId="1" shapeId="0" xr:uid="{6ED1EE7D-3E07-42C4-95E1-4FB5D5FAC902}">
      <text>
        <r>
          <rPr>
            <b/>
            <sz val="9"/>
            <color indexed="81"/>
            <rFont val="MS P ゴシック"/>
            <family val="3"/>
            <charset val="128"/>
          </rPr>
          <t>chiba:</t>
        </r>
        <r>
          <rPr>
            <sz val="9"/>
            <color indexed="81"/>
            <rFont val="MS P ゴシック"/>
            <family val="3"/>
            <charset val="128"/>
          </rPr>
          <t xml:space="preserve">
1000m 以上特価
1650円/m 
</t>
        </r>
      </text>
    </comment>
    <comment ref="E1256" authorId="1" shapeId="0" xr:uid="{484A2EC8-FE67-42AA-99B1-60AC926DB5F1}">
      <text>
        <r>
          <rPr>
            <b/>
            <sz val="9"/>
            <color indexed="81"/>
            <rFont val="MS P ゴシック"/>
            <family val="3"/>
            <charset val="128"/>
          </rPr>
          <t>chiba:</t>
        </r>
        <r>
          <rPr>
            <sz val="9"/>
            <color indexed="81"/>
            <rFont val="MS P ゴシック"/>
            <family val="3"/>
            <charset val="128"/>
          </rPr>
          <t xml:space="preserve">
弱撥水樹脂</t>
        </r>
      </text>
    </comment>
    <comment ref="K1256" authorId="0" shapeId="0" xr:uid="{C6812880-BD14-4D3B-9092-865B053A6F8F}">
      <text>
        <r>
          <rPr>
            <b/>
            <sz val="9"/>
            <color indexed="81"/>
            <rFont val="MS P ゴシック"/>
            <family val="3"/>
            <charset val="128"/>
          </rPr>
          <t>sunfashion:
1000m 以上特価</t>
        </r>
        <r>
          <rPr>
            <sz val="9"/>
            <color indexed="81"/>
            <rFont val="MS P ゴシック"/>
            <family val="3"/>
            <charset val="128"/>
          </rPr>
          <t xml:space="preserve">
20% 
125</t>
        </r>
      </text>
    </comment>
    <comment ref="P1256" authorId="1" shapeId="0" xr:uid="{959E28C3-F81A-4CC0-B89D-B3B6CC830450}">
      <text>
        <r>
          <rPr>
            <b/>
            <sz val="9"/>
            <color indexed="81"/>
            <rFont val="MS P ゴシック"/>
            <family val="3"/>
            <charset val="128"/>
          </rPr>
          <t>chiba:</t>
        </r>
        <r>
          <rPr>
            <sz val="9"/>
            <color indexed="81"/>
            <rFont val="MS P ゴシック"/>
            <family val="3"/>
            <charset val="128"/>
          </rPr>
          <t xml:space="preserve">
1000m 以上特価
1650円/m 
</t>
        </r>
      </text>
    </comment>
    <comment ref="E1257" authorId="1" shapeId="0" xr:uid="{E40E0DA0-15A2-45B6-8496-2495A48E0A20}">
      <text>
        <r>
          <rPr>
            <b/>
            <sz val="9"/>
            <color indexed="81"/>
            <rFont val="MS P ゴシック"/>
            <family val="3"/>
            <charset val="128"/>
          </rPr>
          <t>chiba:</t>
        </r>
        <r>
          <rPr>
            <sz val="9"/>
            <color indexed="81"/>
            <rFont val="MS P ゴシック"/>
            <family val="3"/>
            <charset val="128"/>
          </rPr>
          <t xml:space="preserve">
弱撥水樹脂</t>
        </r>
      </text>
    </comment>
    <comment ref="K1257" authorId="0" shapeId="0" xr:uid="{41018EBD-498B-4D92-964D-A62E4F65382B}">
      <text>
        <r>
          <rPr>
            <b/>
            <sz val="9"/>
            <color indexed="81"/>
            <rFont val="MS P ゴシック"/>
            <family val="3"/>
            <charset val="128"/>
          </rPr>
          <t>sunfashion:
1000m 以上特価</t>
        </r>
        <r>
          <rPr>
            <sz val="9"/>
            <color indexed="81"/>
            <rFont val="MS P ゴシック"/>
            <family val="3"/>
            <charset val="128"/>
          </rPr>
          <t xml:space="preserve">
20% 
125</t>
        </r>
      </text>
    </comment>
    <comment ref="P1257" authorId="1" shapeId="0" xr:uid="{6674A19C-B961-45A7-8FDE-E5031114FEBD}">
      <text>
        <r>
          <rPr>
            <b/>
            <sz val="9"/>
            <color indexed="81"/>
            <rFont val="MS P ゴシック"/>
            <family val="3"/>
            <charset val="128"/>
          </rPr>
          <t>chiba:</t>
        </r>
        <r>
          <rPr>
            <sz val="9"/>
            <color indexed="81"/>
            <rFont val="MS P ゴシック"/>
            <family val="3"/>
            <charset val="128"/>
          </rPr>
          <t xml:space="preserve">
1000m 以上特価
1650円/m 
</t>
        </r>
      </text>
    </comment>
    <comment ref="E1258" authorId="1" shapeId="0" xr:uid="{24EC2950-B2CE-4ECF-937E-BEEC32C8C50F}">
      <text>
        <r>
          <rPr>
            <b/>
            <sz val="9"/>
            <color indexed="81"/>
            <rFont val="MS P ゴシック"/>
            <family val="3"/>
            <charset val="128"/>
          </rPr>
          <t>chiba:</t>
        </r>
        <r>
          <rPr>
            <sz val="9"/>
            <color indexed="81"/>
            <rFont val="MS P ゴシック"/>
            <family val="3"/>
            <charset val="128"/>
          </rPr>
          <t xml:space="preserve">
弱撥水樹脂</t>
        </r>
      </text>
    </comment>
    <comment ref="K1258" authorId="0" shapeId="0" xr:uid="{771D137A-2679-423A-B3D2-A5DC7457FE97}">
      <text>
        <r>
          <rPr>
            <b/>
            <sz val="9"/>
            <color indexed="81"/>
            <rFont val="MS P ゴシック"/>
            <family val="3"/>
            <charset val="128"/>
          </rPr>
          <t>sunfashion:
1000m 以上特価</t>
        </r>
        <r>
          <rPr>
            <sz val="9"/>
            <color indexed="81"/>
            <rFont val="MS P ゴシック"/>
            <family val="3"/>
            <charset val="128"/>
          </rPr>
          <t xml:space="preserve">
20% 
125</t>
        </r>
      </text>
    </comment>
    <comment ref="P1258" authorId="1" shapeId="0" xr:uid="{652C1FE5-833C-4921-8227-EAD5F11EC8F3}">
      <text>
        <r>
          <rPr>
            <b/>
            <sz val="9"/>
            <color indexed="81"/>
            <rFont val="MS P ゴシック"/>
            <family val="3"/>
            <charset val="128"/>
          </rPr>
          <t>chiba:</t>
        </r>
        <r>
          <rPr>
            <sz val="9"/>
            <color indexed="81"/>
            <rFont val="MS P ゴシック"/>
            <family val="3"/>
            <charset val="128"/>
          </rPr>
          <t xml:space="preserve">
1000m 以上特価
1650円/m 
</t>
        </r>
      </text>
    </comment>
    <comment ref="E1259" authorId="1" shapeId="0" xr:uid="{F49E3D61-2114-4FC4-A7CE-17FED74181D1}">
      <text>
        <r>
          <rPr>
            <b/>
            <sz val="9"/>
            <color indexed="81"/>
            <rFont val="MS P ゴシック"/>
            <family val="3"/>
            <charset val="128"/>
          </rPr>
          <t>chiba:</t>
        </r>
        <r>
          <rPr>
            <sz val="9"/>
            <color indexed="81"/>
            <rFont val="MS P ゴシック"/>
            <family val="3"/>
            <charset val="128"/>
          </rPr>
          <t xml:space="preserve">
弱撥水樹脂</t>
        </r>
      </text>
    </comment>
    <comment ref="K1259" authorId="0" shapeId="0" xr:uid="{6F430769-A6BB-40F2-BA90-A147E9AC6E3E}">
      <text>
        <r>
          <rPr>
            <b/>
            <sz val="9"/>
            <color indexed="81"/>
            <rFont val="MS P ゴシック"/>
            <family val="3"/>
            <charset val="128"/>
          </rPr>
          <t>sunfashion:
1000m 以上特価</t>
        </r>
        <r>
          <rPr>
            <sz val="9"/>
            <color indexed="81"/>
            <rFont val="MS P ゴシック"/>
            <family val="3"/>
            <charset val="128"/>
          </rPr>
          <t xml:space="preserve">
20% 
125</t>
        </r>
      </text>
    </comment>
    <comment ref="P1259" authorId="1" shapeId="0" xr:uid="{293A9268-8153-4B8B-81E1-D3048F479354}">
      <text>
        <r>
          <rPr>
            <b/>
            <sz val="9"/>
            <color indexed="81"/>
            <rFont val="MS P ゴシック"/>
            <family val="3"/>
            <charset val="128"/>
          </rPr>
          <t>chiba:</t>
        </r>
        <r>
          <rPr>
            <sz val="9"/>
            <color indexed="81"/>
            <rFont val="MS P ゴシック"/>
            <family val="3"/>
            <charset val="128"/>
          </rPr>
          <t xml:space="preserve">
1000m 以上特価
1650円/m 
</t>
        </r>
      </text>
    </comment>
    <comment ref="E1260" authorId="1" shapeId="0" xr:uid="{620168F0-A71B-4FFD-A96E-36DBBE1766E4}">
      <text>
        <r>
          <rPr>
            <b/>
            <sz val="9"/>
            <color indexed="81"/>
            <rFont val="MS P ゴシック"/>
            <family val="3"/>
            <charset val="128"/>
          </rPr>
          <t>chiba:</t>
        </r>
        <r>
          <rPr>
            <sz val="9"/>
            <color indexed="81"/>
            <rFont val="MS P ゴシック"/>
            <family val="3"/>
            <charset val="128"/>
          </rPr>
          <t xml:space="preserve">
弱撥水樹脂</t>
        </r>
      </text>
    </comment>
    <comment ref="K1260" authorId="0" shapeId="0" xr:uid="{BF818F76-7C40-4631-A79B-4C6E4B10CB84}">
      <text>
        <r>
          <rPr>
            <b/>
            <sz val="9"/>
            <color indexed="81"/>
            <rFont val="MS P ゴシック"/>
            <family val="3"/>
            <charset val="128"/>
          </rPr>
          <t>sunfashion:
1000m 以上特価</t>
        </r>
        <r>
          <rPr>
            <sz val="9"/>
            <color indexed="81"/>
            <rFont val="MS P ゴシック"/>
            <family val="3"/>
            <charset val="128"/>
          </rPr>
          <t xml:space="preserve">
20% 
125</t>
        </r>
      </text>
    </comment>
    <comment ref="P1260" authorId="1" shapeId="0" xr:uid="{CFE82341-AED3-4831-8EE1-A560BCD6652E}">
      <text>
        <r>
          <rPr>
            <b/>
            <sz val="9"/>
            <color indexed="81"/>
            <rFont val="MS P ゴシック"/>
            <family val="3"/>
            <charset val="128"/>
          </rPr>
          <t>chiba:</t>
        </r>
        <r>
          <rPr>
            <sz val="9"/>
            <color indexed="81"/>
            <rFont val="MS P ゴシック"/>
            <family val="3"/>
            <charset val="128"/>
          </rPr>
          <t xml:space="preserve">
1000m 以上特価
1650円/m 
</t>
        </r>
      </text>
    </comment>
    <comment ref="E1261" authorId="1" shapeId="0" xr:uid="{9111E635-8077-4CF7-8CE1-55EA1BAFB4B0}">
      <text>
        <r>
          <rPr>
            <b/>
            <sz val="9"/>
            <color indexed="81"/>
            <rFont val="MS P ゴシック"/>
            <family val="3"/>
            <charset val="128"/>
          </rPr>
          <t>chiba:</t>
        </r>
        <r>
          <rPr>
            <sz val="9"/>
            <color indexed="81"/>
            <rFont val="MS P ゴシック"/>
            <family val="3"/>
            <charset val="128"/>
          </rPr>
          <t xml:space="preserve">
弱撥水樹脂</t>
        </r>
      </text>
    </comment>
    <comment ref="K1261" authorId="0" shapeId="0" xr:uid="{74AC3A31-A923-4A24-8CDB-A638EFC43DE4}">
      <text>
        <r>
          <rPr>
            <b/>
            <sz val="9"/>
            <color indexed="81"/>
            <rFont val="MS P ゴシック"/>
            <family val="3"/>
            <charset val="128"/>
          </rPr>
          <t>sunfashion:
1000m 以上特価</t>
        </r>
        <r>
          <rPr>
            <sz val="9"/>
            <color indexed="81"/>
            <rFont val="MS P ゴシック"/>
            <family val="3"/>
            <charset val="128"/>
          </rPr>
          <t xml:space="preserve">
20% 
125</t>
        </r>
      </text>
    </comment>
    <comment ref="P1261" authorId="1" shapeId="0" xr:uid="{14DF9CD7-EE38-4D65-A233-3AF6D7A9BE63}">
      <text>
        <r>
          <rPr>
            <b/>
            <sz val="9"/>
            <color indexed="81"/>
            <rFont val="MS P ゴシック"/>
            <family val="3"/>
            <charset val="128"/>
          </rPr>
          <t>chiba:</t>
        </r>
        <r>
          <rPr>
            <sz val="9"/>
            <color indexed="81"/>
            <rFont val="MS P ゴシック"/>
            <family val="3"/>
            <charset val="128"/>
          </rPr>
          <t xml:space="preserve">
1000m 以上特価
1650円/m 
</t>
        </r>
      </text>
    </comment>
    <comment ref="E1262" authorId="1" shapeId="0" xr:uid="{809031F0-F15C-4D61-BDE2-A238E22A3BC7}">
      <text>
        <r>
          <rPr>
            <b/>
            <sz val="9"/>
            <color indexed="81"/>
            <rFont val="MS P ゴシック"/>
            <family val="3"/>
            <charset val="128"/>
          </rPr>
          <t>chiba:</t>
        </r>
        <r>
          <rPr>
            <sz val="9"/>
            <color indexed="81"/>
            <rFont val="MS P ゴシック"/>
            <family val="3"/>
            <charset val="128"/>
          </rPr>
          <t xml:space="preserve">
弱撥水樹脂</t>
        </r>
      </text>
    </comment>
    <comment ref="K1262" authorId="0" shapeId="0" xr:uid="{817B3175-475F-4BAF-B0BA-51355B32A2E6}">
      <text>
        <r>
          <rPr>
            <b/>
            <sz val="9"/>
            <color indexed="81"/>
            <rFont val="MS P ゴシック"/>
            <family val="3"/>
            <charset val="128"/>
          </rPr>
          <t>sunfashion:
1000m 以上特価</t>
        </r>
        <r>
          <rPr>
            <sz val="9"/>
            <color indexed="81"/>
            <rFont val="MS P ゴシック"/>
            <family val="3"/>
            <charset val="128"/>
          </rPr>
          <t xml:space="preserve">
20% 
125</t>
        </r>
      </text>
    </comment>
    <comment ref="P1262" authorId="1" shapeId="0" xr:uid="{90B455AD-975C-44B0-8F82-257DE61FE440}">
      <text>
        <r>
          <rPr>
            <b/>
            <sz val="9"/>
            <color indexed="81"/>
            <rFont val="MS P ゴシック"/>
            <family val="3"/>
            <charset val="128"/>
          </rPr>
          <t>chiba:</t>
        </r>
        <r>
          <rPr>
            <sz val="9"/>
            <color indexed="81"/>
            <rFont val="MS P ゴシック"/>
            <family val="3"/>
            <charset val="128"/>
          </rPr>
          <t xml:space="preserve">
1000m 以上特価
1650円/m 
</t>
        </r>
      </text>
    </comment>
    <comment ref="E1263" authorId="1" shapeId="0" xr:uid="{49684CBA-4714-4F8A-80CC-8A5D86976F7E}">
      <text>
        <r>
          <rPr>
            <b/>
            <sz val="9"/>
            <color indexed="81"/>
            <rFont val="MS P ゴシック"/>
            <family val="3"/>
            <charset val="128"/>
          </rPr>
          <t>chiba:</t>
        </r>
        <r>
          <rPr>
            <sz val="9"/>
            <color indexed="81"/>
            <rFont val="MS P ゴシック"/>
            <family val="3"/>
            <charset val="128"/>
          </rPr>
          <t xml:space="preserve">
弱撥水樹脂</t>
        </r>
      </text>
    </comment>
    <comment ref="K1263" authorId="0" shapeId="0" xr:uid="{0F99BFD0-000D-43EA-A839-F6FD10B8CBE8}">
      <text>
        <r>
          <rPr>
            <b/>
            <sz val="9"/>
            <color indexed="81"/>
            <rFont val="MS P ゴシック"/>
            <family val="3"/>
            <charset val="128"/>
          </rPr>
          <t>sunfashion:
1000m 以上特価</t>
        </r>
        <r>
          <rPr>
            <sz val="9"/>
            <color indexed="81"/>
            <rFont val="MS P ゴシック"/>
            <family val="3"/>
            <charset val="128"/>
          </rPr>
          <t xml:space="preserve">
20% 
125</t>
        </r>
      </text>
    </comment>
    <comment ref="P1263" authorId="1" shapeId="0" xr:uid="{B44BC21D-6840-4DC2-AA31-FBCC3BB696B4}">
      <text>
        <r>
          <rPr>
            <b/>
            <sz val="9"/>
            <color indexed="81"/>
            <rFont val="MS P ゴシック"/>
            <family val="3"/>
            <charset val="128"/>
          </rPr>
          <t>chiba:</t>
        </r>
        <r>
          <rPr>
            <sz val="9"/>
            <color indexed="81"/>
            <rFont val="MS P ゴシック"/>
            <family val="3"/>
            <charset val="128"/>
          </rPr>
          <t xml:space="preserve">
1000m 以上特価
1650円/m 
</t>
        </r>
      </text>
    </comment>
    <comment ref="E1264" authorId="1" shapeId="0" xr:uid="{BB2BCED3-5923-4B5D-9158-2FA92582DD75}">
      <text>
        <r>
          <rPr>
            <b/>
            <sz val="9"/>
            <color indexed="81"/>
            <rFont val="MS P ゴシック"/>
            <family val="3"/>
            <charset val="128"/>
          </rPr>
          <t>chiba:</t>
        </r>
        <r>
          <rPr>
            <sz val="9"/>
            <color indexed="81"/>
            <rFont val="MS P ゴシック"/>
            <family val="3"/>
            <charset val="128"/>
          </rPr>
          <t xml:space="preserve">
弱撥水樹脂</t>
        </r>
      </text>
    </comment>
    <comment ref="K1264" authorId="0" shapeId="0" xr:uid="{316ACE58-D348-40F4-A860-DAC3256BE7D1}">
      <text>
        <r>
          <rPr>
            <b/>
            <sz val="9"/>
            <color indexed="81"/>
            <rFont val="MS P ゴシック"/>
            <family val="3"/>
            <charset val="128"/>
          </rPr>
          <t>sunfashion:
1000m 以上特価</t>
        </r>
        <r>
          <rPr>
            <sz val="9"/>
            <color indexed="81"/>
            <rFont val="MS P ゴシック"/>
            <family val="3"/>
            <charset val="128"/>
          </rPr>
          <t xml:space="preserve">
20% 
125</t>
        </r>
      </text>
    </comment>
    <comment ref="P1264" authorId="1" shapeId="0" xr:uid="{7441CC8D-B604-4F61-B413-77632482E29E}">
      <text>
        <r>
          <rPr>
            <b/>
            <sz val="9"/>
            <color indexed="81"/>
            <rFont val="MS P ゴシック"/>
            <family val="3"/>
            <charset val="128"/>
          </rPr>
          <t>chiba:</t>
        </r>
        <r>
          <rPr>
            <sz val="9"/>
            <color indexed="81"/>
            <rFont val="MS P ゴシック"/>
            <family val="3"/>
            <charset val="128"/>
          </rPr>
          <t xml:space="preserve">
1000m 以上特価
1650円/m 
</t>
        </r>
      </text>
    </comment>
    <comment ref="E1265" authorId="1" shapeId="0" xr:uid="{0D61F03F-FA4C-4AD2-88D3-E1957B11A861}">
      <text>
        <r>
          <rPr>
            <b/>
            <sz val="9"/>
            <color indexed="81"/>
            <rFont val="MS P ゴシック"/>
            <family val="3"/>
            <charset val="128"/>
          </rPr>
          <t>chiba:</t>
        </r>
        <r>
          <rPr>
            <sz val="9"/>
            <color indexed="81"/>
            <rFont val="MS P ゴシック"/>
            <family val="3"/>
            <charset val="128"/>
          </rPr>
          <t xml:space="preserve">
弱撥水樹脂</t>
        </r>
      </text>
    </comment>
    <comment ref="K1265" authorId="0" shapeId="0" xr:uid="{AB54BDA2-D441-420A-8AE8-E8D43F5EE1EB}">
      <text>
        <r>
          <rPr>
            <b/>
            <sz val="9"/>
            <color indexed="81"/>
            <rFont val="MS P ゴシック"/>
            <family val="3"/>
            <charset val="128"/>
          </rPr>
          <t>sunfashion:
1000m 以上特価</t>
        </r>
        <r>
          <rPr>
            <sz val="9"/>
            <color indexed="81"/>
            <rFont val="MS P ゴシック"/>
            <family val="3"/>
            <charset val="128"/>
          </rPr>
          <t xml:space="preserve">
20% 
125</t>
        </r>
      </text>
    </comment>
    <comment ref="P1265" authorId="1" shapeId="0" xr:uid="{5F7C7B79-F16A-4FD1-90B8-80775D647257}">
      <text>
        <r>
          <rPr>
            <b/>
            <sz val="9"/>
            <color indexed="81"/>
            <rFont val="MS P ゴシック"/>
            <family val="3"/>
            <charset val="128"/>
          </rPr>
          <t>chiba:</t>
        </r>
        <r>
          <rPr>
            <sz val="9"/>
            <color indexed="81"/>
            <rFont val="MS P ゴシック"/>
            <family val="3"/>
            <charset val="128"/>
          </rPr>
          <t xml:space="preserve">
1000m 以上特価
1650円/m 
</t>
        </r>
      </text>
    </comment>
    <comment ref="E1266" authorId="1" shapeId="0" xr:uid="{6E2443F4-661D-4E70-8726-106DAC1AFDC5}">
      <text>
        <r>
          <rPr>
            <b/>
            <sz val="9"/>
            <color indexed="81"/>
            <rFont val="MS P ゴシック"/>
            <family val="3"/>
            <charset val="128"/>
          </rPr>
          <t>chiba:</t>
        </r>
        <r>
          <rPr>
            <sz val="9"/>
            <color indexed="81"/>
            <rFont val="MS P ゴシック"/>
            <family val="3"/>
            <charset val="128"/>
          </rPr>
          <t xml:space="preserve">
弱撥水樹脂</t>
        </r>
      </text>
    </comment>
    <comment ref="K1266" authorId="0" shapeId="0" xr:uid="{41D9FB6A-F6B3-493A-920F-29A1C0BE0AF0}">
      <text>
        <r>
          <rPr>
            <b/>
            <sz val="9"/>
            <color indexed="81"/>
            <rFont val="MS P ゴシック"/>
            <family val="3"/>
            <charset val="128"/>
          </rPr>
          <t>sunfashion:
1000m 以上特価</t>
        </r>
        <r>
          <rPr>
            <sz val="9"/>
            <color indexed="81"/>
            <rFont val="MS P ゴシック"/>
            <family val="3"/>
            <charset val="128"/>
          </rPr>
          <t xml:space="preserve">
20% 
125</t>
        </r>
      </text>
    </comment>
    <comment ref="P1266" authorId="1" shapeId="0" xr:uid="{5F2E91DD-1236-4B18-BC08-9294D182D9C2}">
      <text>
        <r>
          <rPr>
            <b/>
            <sz val="9"/>
            <color indexed="81"/>
            <rFont val="MS P ゴシック"/>
            <family val="3"/>
            <charset val="128"/>
          </rPr>
          <t>chiba:</t>
        </r>
        <r>
          <rPr>
            <sz val="9"/>
            <color indexed="81"/>
            <rFont val="MS P ゴシック"/>
            <family val="3"/>
            <charset val="128"/>
          </rPr>
          <t xml:space="preserve">
1000m 以上特価
1650円/m 
</t>
        </r>
      </text>
    </comment>
    <comment ref="E1267" authorId="1" shapeId="0" xr:uid="{46FD2891-7B65-4532-A19C-E6232A53DBF2}">
      <text>
        <r>
          <rPr>
            <b/>
            <sz val="9"/>
            <color indexed="81"/>
            <rFont val="MS P ゴシック"/>
            <family val="3"/>
            <charset val="128"/>
          </rPr>
          <t>chiba:</t>
        </r>
        <r>
          <rPr>
            <sz val="9"/>
            <color indexed="81"/>
            <rFont val="MS P ゴシック"/>
            <family val="3"/>
            <charset val="128"/>
          </rPr>
          <t xml:space="preserve">
弱撥水樹脂</t>
        </r>
      </text>
    </comment>
    <comment ref="K1267" authorId="0" shapeId="0" xr:uid="{1CA608E4-4C8A-4EF5-9102-A6BA6E3E91C9}">
      <text>
        <r>
          <rPr>
            <b/>
            <sz val="9"/>
            <color indexed="81"/>
            <rFont val="MS P ゴシック"/>
            <family val="3"/>
            <charset val="128"/>
          </rPr>
          <t>sunfashion:
1000m 以上特価</t>
        </r>
        <r>
          <rPr>
            <sz val="9"/>
            <color indexed="81"/>
            <rFont val="MS P ゴシック"/>
            <family val="3"/>
            <charset val="128"/>
          </rPr>
          <t xml:space="preserve">
20% 
125</t>
        </r>
      </text>
    </comment>
    <comment ref="P1267" authorId="1" shapeId="0" xr:uid="{2255BC4D-7542-4ABD-A426-A926108AB82A}">
      <text>
        <r>
          <rPr>
            <b/>
            <sz val="9"/>
            <color indexed="81"/>
            <rFont val="MS P ゴシック"/>
            <family val="3"/>
            <charset val="128"/>
          </rPr>
          <t>chiba:</t>
        </r>
        <r>
          <rPr>
            <sz val="9"/>
            <color indexed="81"/>
            <rFont val="MS P ゴシック"/>
            <family val="3"/>
            <charset val="128"/>
          </rPr>
          <t xml:space="preserve">
1000m 以上特価
1650円/m 
</t>
        </r>
      </text>
    </comment>
    <comment ref="E1268" authorId="1" shapeId="0" xr:uid="{37606ECF-F30E-4A76-BFB7-A1EAD67BE7D3}">
      <text>
        <r>
          <rPr>
            <b/>
            <sz val="9"/>
            <color indexed="81"/>
            <rFont val="MS P ゴシック"/>
            <family val="3"/>
            <charset val="128"/>
          </rPr>
          <t>chiba:</t>
        </r>
        <r>
          <rPr>
            <sz val="9"/>
            <color indexed="81"/>
            <rFont val="MS P ゴシック"/>
            <family val="3"/>
            <charset val="128"/>
          </rPr>
          <t xml:space="preserve">
弱撥水樹脂</t>
        </r>
      </text>
    </comment>
    <comment ref="K1268" authorId="0" shapeId="0" xr:uid="{8CFE81EF-328A-438B-BCC4-F6DD581445C2}">
      <text>
        <r>
          <rPr>
            <b/>
            <sz val="9"/>
            <color indexed="81"/>
            <rFont val="MS P ゴシック"/>
            <family val="3"/>
            <charset val="128"/>
          </rPr>
          <t>sunfashion:
1000m 以上特価</t>
        </r>
        <r>
          <rPr>
            <sz val="9"/>
            <color indexed="81"/>
            <rFont val="MS P ゴシック"/>
            <family val="3"/>
            <charset val="128"/>
          </rPr>
          <t xml:space="preserve">
20% 
125</t>
        </r>
      </text>
    </comment>
    <comment ref="P1268" authorId="1" shapeId="0" xr:uid="{61C19DF2-C686-45EB-81A9-DBAA8F7AEB18}">
      <text>
        <r>
          <rPr>
            <b/>
            <sz val="9"/>
            <color indexed="81"/>
            <rFont val="MS P ゴシック"/>
            <family val="3"/>
            <charset val="128"/>
          </rPr>
          <t>chiba:</t>
        </r>
        <r>
          <rPr>
            <sz val="9"/>
            <color indexed="81"/>
            <rFont val="MS P ゴシック"/>
            <family val="3"/>
            <charset val="128"/>
          </rPr>
          <t xml:space="preserve">
1000m 以上特価
1650円/m 
</t>
        </r>
      </text>
    </comment>
    <comment ref="E1269" authorId="1" shapeId="0" xr:uid="{26D11BEC-6059-43AC-9F77-6378339EB810}">
      <text>
        <r>
          <rPr>
            <b/>
            <sz val="9"/>
            <color indexed="81"/>
            <rFont val="MS P ゴシック"/>
            <family val="3"/>
            <charset val="128"/>
          </rPr>
          <t>chiba:</t>
        </r>
        <r>
          <rPr>
            <sz val="9"/>
            <color indexed="81"/>
            <rFont val="MS P ゴシック"/>
            <family val="3"/>
            <charset val="128"/>
          </rPr>
          <t xml:space="preserve">
弱撥水樹脂</t>
        </r>
      </text>
    </comment>
    <comment ref="K1269" authorId="0" shapeId="0" xr:uid="{4EDF808F-1A96-46AF-9022-FDA03C12752A}">
      <text>
        <r>
          <rPr>
            <b/>
            <sz val="9"/>
            <color indexed="81"/>
            <rFont val="MS P ゴシック"/>
            <family val="3"/>
            <charset val="128"/>
          </rPr>
          <t>sunfashion:
1000m 以上特価</t>
        </r>
        <r>
          <rPr>
            <sz val="9"/>
            <color indexed="81"/>
            <rFont val="MS P ゴシック"/>
            <family val="3"/>
            <charset val="128"/>
          </rPr>
          <t xml:space="preserve">
20% 
125</t>
        </r>
      </text>
    </comment>
    <comment ref="P1269" authorId="1" shapeId="0" xr:uid="{2A76C434-563F-4035-9E5A-B15076B6D837}">
      <text>
        <r>
          <rPr>
            <b/>
            <sz val="9"/>
            <color indexed="81"/>
            <rFont val="MS P ゴシック"/>
            <family val="3"/>
            <charset val="128"/>
          </rPr>
          <t>chiba:</t>
        </r>
        <r>
          <rPr>
            <sz val="9"/>
            <color indexed="81"/>
            <rFont val="MS P ゴシック"/>
            <family val="3"/>
            <charset val="128"/>
          </rPr>
          <t xml:space="preserve">
1000m 以上特価
1650円/m 
</t>
        </r>
      </text>
    </comment>
    <comment ref="E1270" authorId="1" shapeId="0" xr:uid="{43BC4160-B509-4B05-A06B-C3066E5C999A}">
      <text>
        <r>
          <rPr>
            <b/>
            <sz val="9"/>
            <color indexed="81"/>
            <rFont val="MS P ゴシック"/>
            <family val="3"/>
            <charset val="128"/>
          </rPr>
          <t>chiba:</t>
        </r>
        <r>
          <rPr>
            <sz val="9"/>
            <color indexed="81"/>
            <rFont val="MS P ゴシック"/>
            <family val="3"/>
            <charset val="128"/>
          </rPr>
          <t xml:space="preserve">
弱撥水樹脂</t>
        </r>
      </text>
    </comment>
    <comment ref="K1270" authorId="0" shapeId="0" xr:uid="{B6AFCD99-4C8E-4C25-BF3F-33DC4FC38E0F}">
      <text>
        <r>
          <rPr>
            <b/>
            <sz val="9"/>
            <color indexed="81"/>
            <rFont val="MS P ゴシック"/>
            <family val="3"/>
            <charset val="128"/>
          </rPr>
          <t>sunfashion:
1000m 以上特価</t>
        </r>
        <r>
          <rPr>
            <sz val="9"/>
            <color indexed="81"/>
            <rFont val="MS P ゴシック"/>
            <family val="3"/>
            <charset val="128"/>
          </rPr>
          <t xml:space="preserve">
20% 
125</t>
        </r>
      </text>
    </comment>
    <comment ref="P1270" authorId="1" shapeId="0" xr:uid="{E50568A5-CA68-45F5-8A32-6EA7020FA7FA}">
      <text>
        <r>
          <rPr>
            <b/>
            <sz val="9"/>
            <color indexed="81"/>
            <rFont val="MS P ゴシック"/>
            <family val="3"/>
            <charset val="128"/>
          </rPr>
          <t>chiba:</t>
        </r>
        <r>
          <rPr>
            <sz val="9"/>
            <color indexed="81"/>
            <rFont val="MS P ゴシック"/>
            <family val="3"/>
            <charset val="128"/>
          </rPr>
          <t xml:space="preserve">
1000m 以上特価
1650円/m 
</t>
        </r>
      </text>
    </comment>
    <comment ref="E1271" authorId="1" shapeId="0" xr:uid="{7A7149B1-B58D-454C-A1DB-3F24C0457AD2}">
      <text>
        <r>
          <rPr>
            <b/>
            <sz val="9"/>
            <color indexed="81"/>
            <rFont val="MS P ゴシック"/>
            <family val="3"/>
            <charset val="128"/>
          </rPr>
          <t>chiba:</t>
        </r>
        <r>
          <rPr>
            <sz val="9"/>
            <color indexed="81"/>
            <rFont val="MS P ゴシック"/>
            <family val="3"/>
            <charset val="128"/>
          </rPr>
          <t xml:space="preserve">
弱撥水樹脂</t>
        </r>
      </text>
    </comment>
    <comment ref="K1271" authorId="0" shapeId="0" xr:uid="{738DBDB3-5699-4080-8A52-89BF59FF1683}">
      <text>
        <r>
          <rPr>
            <b/>
            <sz val="9"/>
            <color indexed="81"/>
            <rFont val="MS P ゴシック"/>
            <family val="3"/>
            <charset val="128"/>
          </rPr>
          <t>sunfashion:
1000m 以上特価</t>
        </r>
        <r>
          <rPr>
            <sz val="9"/>
            <color indexed="81"/>
            <rFont val="MS P ゴシック"/>
            <family val="3"/>
            <charset val="128"/>
          </rPr>
          <t xml:space="preserve">
20% 
125</t>
        </r>
      </text>
    </comment>
    <comment ref="P1271" authorId="1" shapeId="0" xr:uid="{2165F76C-310B-4BAD-9CB1-C23DFD177E6E}">
      <text>
        <r>
          <rPr>
            <b/>
            <sz val="9"/>
            <color indexed="81"/>
            <rFont val="MS P ゴシック"/>
            <family val="3"/>
            <charset val="128"/>
          </rPr>
          <t>chiba:</t>
        </r>
        <r>
          <rPr>
            <sz val="9"/>
            <color indexed="81"/>
            <rFont val="MS P ゴシック"/>
            <family val="3"/>
            <charset val="128"/>
          </rPr>
          <t xml:space="preserve">
1000m 以上特価
1650円/m 
</t>
        </r>
      </text>
    </comment>
    <comment ref="E1272" authorId="1" shapeId="0" xr:uid="{66FF518B-7403-4A7A-BAC0-A226A0A0D6C4}">
      <text>
        <r>
          <rPr>
            <b/>
            <sz val="9"/>
            <color indexed="81"/>
            <rFont val="MS P ゴシック"/>
            <family val="3"/>
            <charset val="128"/>
          </rPr>
          <t>chiba:</t>
        </r>
        <r>
          <rPr>
            <sz val="9"/>
            <color indexed="81"/>
            <rFont val="MS P ゴシック"/>
            <family val="3"/>
            <charset val="128"/>
          </rPr>
          <t xml:space="preserve">
弱撥水樹脂</t>
        </r>
      </text>
    </comment>
    <comment ref="K1272" authorId="0" shapeId="0" xr:uid="{C602B46A-EB1B-4649-A428-807258722BB5}">
      <text>
        <r>
          <rPr>
            <b/>
            <sz val="9"/>
            <color indexed="81"/>
            <rFont val="MS P ゴシック"/>
            <family val="3"/>
            <charset val="128"/>
          </rPr>
          <t>sunfashion:
1000m 以上特価</t>
        </r>
        <r>
          <rPr>
            <sz val="9"/>
            <color indexed="81"/>
            <rFont val="MS P ゴシック"/>
            <family val="3"/>
            <charset val="128"/>
          </rPr>
          <t xml:space="preserve">
20% 
125</t>
        </r>
      </text>
    </comment>
    <comment ref="P1272" authorId="1" shapeId="0" xr:uid="{94FDAC70-C76F-4674-81A6-68D7CA4E9268}">
      <text>
        <r>
          <rPr>
            <b/>
            <sz val="9"/>
            <color indexed="81"/>
            <rFont val="MS P ゴシック"/>
            <family val="3"/>
            <charset val="128"/>
          </rPr>
          <t>chiba:</t>
        </r>
        <r>
          <rPr>
            <sz val="9"/>
            <color indexed="81"/>
            <rFont val="MS P ゴシック"/>
            <family val="3"/>
            <charset val="128"/>
          </rPr>
          <t xml:space="preserve">
1000m 以上特価
1650円/m 
</t>
        </r>
      </text>
    </comment>
    <comment ref="E1273" authorId="1" shapeId="0" xr:uid="{D738AE83-4E8C-4BC5-B7EA-C0AD5E8C82BD}">
      <text>
        <r>
          <rPr>
            <b/>
            <sz val="9"/>
            <color indexed="81"/>
            <rFont val="MS P ゴシック"/>
            <family val="3"/>
            <charset val="128"/>
          </rPr>
          <t>chiba:</t>
        </r>
        <r>
          <rPr>
            <sz val="9"/>
            <color indexed="81"/>
            <rFont val="MS P ゴシック"/>
            <family val="3"/>
            <charset val="128"/>
          </rPr>
          <t xml:space="preserve">
弱撥水樹脂</t>
        </r>
      </text>
    </comment>
    <comment ref="K1273" authorId="0" shapeId="0" xr:uid="{76AC7A14-B916-4BEC-AD74-903B8C5725D8}">
      <text>
        <r>
          <rPr>
            <b/>
            <sz val="9"/>
            <color indexed="81"/>
            <rFont val="MS P ゴシック"/>
            <family val="3"/>
            <charset val="128"/>
          </rPr>
          <t>sunfashion:
1000m 以上特価</t>
        </r>
        <r>
          <rPr>
            <sz val="9"/>
            <color indexed="81"/>
            <rFont val="MS P ゴシック"/>
            <family val="3"/>
            <charset val="128"/>
          </rPr>
          <t xml:space="preserve">
20% 
125</t>
        </r>
      </text>
    </comment>
    <comment ref="P1273" authorId="1" shapeId="0" xr:uid="{CAB36FD6-D448-4131-AC0D-A8C64F15A029}">
      <text>
        <r>
          <rPr>
            <b/>
            <sz val="9"/>
            <color indexed="81"/>
            <rFont val="MS P ゴシック"/>
            <family val="3"/>
            <charset val="128"/>
          </rPr>
          <t>chiba:</t>
        </r>
        <r>
          <rPr>
            <sz val="9"/>
            <color indexed="81"/>
            <rFont val="MS P ゴシック"/>
            <family val="3"/>
            <charset val="128"/>
          </rPr>
          <t xml:space="preserve">
1000m 以上特価
1650円/m 
</t>
        </r>
      </text>
    </comment>
    <comment ref="E1274" authorId="1" shapeId="0" xr:uid="{724FE0DC-3606-46B2-B5D2-DBD259156EFC}">
      <text>
        <r>
          <rPr>
            <b/>
            <sz val="9"/>
            <color indexed="81"/>
            <rFont val="MS P ゴシック"/>
            <family val="3"/>
            <charset val="128"/>
          </rPr>
          <t>chiba:</t>
        </r>
        <r>
          <rPr>
            <sz val="9"/>
            <color indexed="81"/>
            <rFont val="MS P ゴシック"/>
            <family val="3"/>
            <charset val="128"/>
          </rPr>
          <t xml:space="preserve">
弱撥水樹脂</t>
        </r>
      </text>
    </comment>
    <comment ref="K1274" authorId="0" shapeId="0" xr:uid="{47DD620D-96B3-4161-9528-136C1EB0CAE9}">
      <text>
        <r>
          <rPr>
            <b/>
            <sz val="9"/>
            <color indexed="81"/>
            <rFont val="MS P ゴシック"/>
            <family val="3"/>
            <charset val="128"/>
          </rPr>
          <t>sunfashion:
1000m 以上特価</t>
        </r>
        <r>
          <rPr>
            <sz val="9"/>
            <color indexed="81"/>
            <rFont val="MS P ゴシック"/>
            <family val="3"/>
            <charset val="128"/>
          </rPr>
          <t xml:space="preserve">
20% 
125</t>
        </r>
      </text>
    </comment>
    <comment ref="P1274" authorId="1" shapeId="0" xr:uid="{FE2FDE3B-77C1-489F-A457-23E2E4EF925F}">
      <text>
        <r>
          <rPr>
            <b/>
            <sz val="9"/>
            <color indexed="81"/>
            <rFont val="MS P ゴシック"/>
            <family val="3"/>
            <charset val="128"/>
          </rPr>
          <t>chiba:</t>
        </r>
        <r>
          <rPr>
            <sz val="9"/>
            <color indexed="81"/>
            <rFont val="MS P ゴシック"/>
            <family val="3"/>
            <charset val="128"/>
          </rPr>
          <t xml:space="preserve">
1000m 以上特価
1650円/m 
</t>
        </r>
      </text>
    </comment>
    <comment ref="E1275" authorId="1" shapeId="0" xr:uid="{FD1A973C-74B1-4FA1-B0B7-2127C0B62509}">
      <text>
        <r>
          <rPr>
            <b/>
            <sz val="9"/>
            <color indexed="81"/>
            <rFont val="MS P ゴシック"/>
            <family val="3"/>
            <charset val="128"/>
          </rPr>
          <t>chiba:</t>
        </r>
        <r>
          <rPr>
            <sz val="9"/>
            <color indexed="81"/>
            <rFont val="MS P ゴシック"/>
            <family val="3"/>
            <charset val="128"/>
          </rPr>
          <t xml:space="preserve">
弱撥水樹脂</t>
        </r>
      </text>
    </comment>
    <comment ref="K1275" authorId="0" shapeId="0" xr:uid="{17323B3C-F860-4ADB-8BE1-5BD5F156B21F}">
      <text>
        <r>
          <rPr>
            <b/>
            <sz val="9"/>
            <color indexed="81"/>
            <rFont val="MS P ゴシック"/>
            <family val="3"/>
            <charset val="128"/>
          </rPr>
          <t>sunfashion:
1000m 以上特価</t>
        </r>
        <r>
          <rPr>
            <sz val="9"/>
            <color indexed="81"/>
            <rFont val="MS P ゴシック"/>
            <family val="3"/>
            <charset val="128"/>
          </rPr>
          <t xml:space="preserve">
20% 
125</t>
        </r>
      </text>
    </comment>
    <comment ref="P1275" authorId="1" shapeId="0" xr:uid="{EAA532C8-1B86-4FE7-B7A5-C8D50868956D}">
      <text>
        <r>
          <rPr>
            <b/>
            <sz val="9"/>
            <color indexed="81"/>
            <rFont val="MS P ゴシック"/>
            <family val="3"/>
            <charset val="128"/>
          </rPr>
          <t>chiba:</t>
        </r>
        <r>
          <rPr>
            <sz val="9"/>
            <color indexed="81"/>
            <rFont val="MS P ゴシック"/>
            <family val="3"/>
            <charset val="128"/>
          </rPr>
          <t xml:space="preserve">
1000m 以上特価
1650円/m 
</t>
        </r>
      </text>
    </comment>
    <comment ref="E1276" authorId="1" shapeId="0" xr:uid="{AD9B0699-321A-4B33-84C6-E7E1C971D1C5}">
      <text>
        <r>
          <rPr>
            <b/>
            <sz val="9"/>
            <color indexed="81"/>
            <rFont val="MS P ゴシック"/>
            <family val="3"/>
            <charset val="128"/>
          </rPr>
          <t>chiba:</t>
        </r>
        <r>
          <rPr>
            <sz val="9"/>
            <color indexed="81"/>
            <rFont val="MS P ゴシック"/>
            <family val="3"/>
            <charset val="128"/>
          </rPr>
          <t xml:space="preserve">
弱撥水樹脂</t>
        </r>
      </text>
    </comment>
    <comment ref="K1276" authorId="0" shapeId="0" xr:uid="{4F1A9BB2-59D6-4950-9329-F99D1BB4A6FF}">
      <text>
        <r>
          <rPr>
            <b/>
            <sz val="9"/>
            <color indexed="81"/>
            <rFont val="MS P ゴシック"/>
            <family val="3"/>
            <charset val="128"/>
          </rPr>
          <t>sunfashion:
1000m 以上特価</t>
        </r>
        <r>
          <rPr>
            <sz val="9"/>
            <color indexed="81"/>
            <rFont val="MS P ゴシック"/>
            <family val="3"/>
            <charset val="128"/>
          </rPr>
          <t xml:space="preserve">
20% 
125</t>
        </r>
      </text>
    </comment>
    <comment ref="P1276" authorId="1" shapeId="0" xr:uid="{5B134B2B-4D02-43F4-817E-686CE43FD256}">
      <text>
        <r>
          <rPr>
            <b/>
            <sz val="9"/>
            <color indexed="81"/>
            <rFont val="MS P ゴシック"/>
            <family val="3"/>
            <charset val="128"/>
          </rPr>
          <t>chiba:</t>
        </r>
        <r>
          <rPr>
            <sz val="9"/>
            <color indexed="81"/>
            <rFont val="MS P ゴシック"/>
            <family val="3"/>
            <charset val="128"/>
          </rPr>
          <t xml:space="preserve">
1000m 以上特価
1650円/m 
</t>
        </r>
      </text>
    </comment>
    <comment ref="E1277" authorId="1" shapeId="0" xr:uid="{AC621274-65D3-4C38-8F4B-00E750A80A9C}">
      <text>
        <r>
          <rPr>
            <b/>
            <sz val="9"/>
            <color indexed="81"/>
            <rFont val="MS P ゴシック"/>
            <family val="3"/>
            <charset val="128"/>
          </rPr>
          <t>chiba:</t>
        </r>
        <r>
          <rPr>
            <sz val="9"/>
            <color indexed="81"/>
            <rFont val="MS P ゴシック"/>
            <family val="3"/>
            <charset val="128"/>
          </rPr>
          <t xml:space="preserve">
弱撥水樹脂</t>
        </r>
      </text>
    </comment>
    <comment ref="K1277" authorId="0" shapeId="0" xr:uid="{B89692B3-1541-48FA-90A3-6DDD5C02D77F}">
      <text>
        <r>
          <rPr>
            <b/>
            <sz val="9"/>
            <color indexed="81"/>
            <rFont val="MS P ゴシック"/>
            <family val="3"/>
            <charset val="128"/>
          </rPr>
          <t>sunfashion:
1000m 以上特価</t>
        </r>
        <r>
          <rPr>
            <sz val="9"/>
            <color indexed="81"/>
            <rFont val="MS P ゴシック"/>
            <family val="3"/>
            <charset val="128"/>
          </rPr>
          <t xml:space="preserve">
20% 
125</t>
        </r>
      </text>
    </comment>
    <comment ref="P1277" authorId="1" shapeId="0" xr:uid="{84A3C100-F689-4C8D-AF3C-07DF54E6652F}">
      <text>
        <r>
          <rPr>
            <b/>
            <sz val="9"/>
            <color indexed="81"/>
            <rFont val="MS P ゴシック"/>
            <family val="3"/>
            <charset val="128"/>
          </rPr>
          <t>chiba:</t>
        </r>
        <r>
          <rPr>
            <sz val="9"/>
            <color indexed="81"/>
            <rFont val="MS P ゴシック"/>
            <family val="3"/>
            <charset val="128"/>
          </rPr>
          <t xml:space="preserve">
1000m 以上特価
1650円/m 
</t>
        </r>
      </text>
    </comment>
    <comment ref="E1278" authorId="1" shapeId="0" xr:uid="{CC33CD7A-E04A-41A7-8734-41A1E4B575E6}">
      <text>
        <r>
          <rPr>
            <b/>
            <sz val="9"/>
            <color indexed="81"/>
            <rFont val="MS P ゴシック"/>
            <family val="3"/>
            <charset val="128"/>
          </rPr>
          <t>chiba:</t>
        </r>
        <r>
          <rPr>
            <sz val="9"/>
            <color indexed="81"/>
            <rFont val="MS P ゴシック"/>
            <family val="3"/>
            <charset val="128"/>
          </rPr>
          <t xml:space="preserve">
弱撥水樹脂</t>
        </r>
      </text>
    </comment>
    <comment ref="K1278" authorId="0" shapeId="0" xr:uid="{C0617EB0-BE0E-41ED-ACAE-016AE6E6B937}">
      <text>
        <r>
          <rPr>
            <b/>
            <sz val="9"/>
            <color indexed="81"/>
            <rFont val="MS P ゴシック"/>
            <family val="3"/>
            <charset val="128"/>
          </rPr>
          <t>sunfashion:
1000m 以上特価</t>
        </r>
        <r>
          <rPr>
            <sz val="9"/>
            <color indexed="81"/>
            <rFont val="MS P ゴシック"/>
            <family val="3"/>
            <charset val="128"/>
          </rPr>
          <t xml:space="preserve">
20% 
125</t>
        </r>
      </text>
    </comment>
    <comment ref="P1278" authorId="1" shapeId="0" xr:uid="{ED9C9D93-5578-44C0-A46D-FF54DC9167B0}">
      <text>
        <r>
          <rPr>
            <b/>
            <sz val="9"/>
            <color indexed="81"/>
            <rFont val="MS P ゴシック"/>
            <family val="3"/>
            <charset val="128"/>
          </rPr>
          <t>chiba:</t>
        </r>
        <r>
          <rPr>
            <sz val="9"/>
            <color indexed="81"/>
            <rFont val="MS P ゴシック"/>
            <family val="3"/>
            <charset val="128"/>
          </rPr>
          <t xml:space="preserve">
1000m 以上特価
1650円/m 
</t>
        </r>
      </text>
    </comment>
    <comment ref="E1279" authorId="1" shapeId="0" xr:uid="{F4B99213-2DCC-424C-A8DB-566986AFE156}">
      <text>
        <r>
          <rPr>
            <b/>
            <sz val="9"/>
            <color indexed="81"/>
            <rFont val="MS P ゴシック"/>
            <family val="3"/>
            <charset val="128"/>
          </rPr>
          <t>chiba:</t>
        </r>
        <r>
          <rPr>
            <sz val="9"/>
            <color indexed="81"/>
            <rFont val="MS P ゴシック"/>
            <family val="3"/>
            <charset val="128"/>
          </rPr>
          <t xml:space="preserve">
弱撥水樹脂</t>
        </r>
      </text>
    </comment>
    <comment ref="K1279" authorId="0" shapeId="0" xr:uid="{61A7E0A5-3776-44FD-9120-DCAE03BCAD7D}">
      <text>
        <r>
          <rPr>
            <b/>
            <sz val="9"/>
            <color indexed="81"/>
            <rFont val="MS P ゴシック"/>
            <family val="3"/>
            <charset val="128"/>
          </rPr>
          <t>sunfashion:
1000m 以上特価</t>
        </r>
        <r>
          <rPr>
            <sz val="9"/>
            <color indexed="81"/>
            <rFont val="MS P ゴシック"/>
            <family val="3"/>
            <charset val="128"/>
          </rPr>
          <t xml:space="preserve">
20% 
125</t>
        </r>
      </text>
    </comment>
    <comment ref="P1279" authorId="1" shapeId="0" xr:uid="{0812A86C-95F2-4E5C-A07A-B3485C939E18}">
      <text>
        <r>
          <rPr>
            <b/>
            <sz val="9"/>
            <color indexed="81"/>
            <rFont val="MS P ゴシック"/>
            <family val="3"/>
            <charset val="128"/>
          </rPr>
          <t>chiba:</t>
        </r>
        <r>
          <rPr>
            <sz val="9"/>
            <color indexed="81"/>
            <rFont val="MS P ゴシック"/>
            <family val="3"/>
            <charset val="128"/>
          </rPr>
          <t xml:space="preserve">
1000m 以上特価
1650円/m 
</t>
        </r>
      </text>
    </comment>
    <comment ref="E1280" authorId="1" shapeId="0" xr:uid="{A55E3F90-B0A6-42C2-B19F-BF2DC6B1DB90}">
      <text>
        <r>
          <rPr>
            <b/>
            <sz val="9"/>
            <color indexed="81"/>
            <rFont val="MS P ゴシック"/>
            <family val="3"/>
            <charset val="128"/>
          </rPr>
          <t>chiba:</t>
        </r>
        <r>
          <rPr>
            <sz val="9"/>
            <color indexed="81"/>
            <rFont val="MS P ゴシック"/>
            <family val="3"/>
            <charset val="128"/>
          </rPr>
          <t xml:space="preserve">
弱撥水樹脂</t>
        </r>
      </text>
    </comment>
    <comment ref="K1280" authorId="0" shapeId="0" xr:uid="{7C6E43B2-5E7D-457A-87DB-527691151372}">
      <text>
        <r>
          <rPr>
            <b/>
            <sz val="9"/>
            <color indexed="81"/>
            <rFont val="MS P ゴシック"/>
            <family val="3"/>
            <charset val="128"/>
          </rPr>
          <t>sunfashion:
1000m 以上特価</t>
        </r>
        <r>
          <rPr>
            <sz val="9"/>
            <color indexed="81"/>
            <rFont val="MS P ゴシック"/>
            <family val="3"/>
            <charset val="128"/>
          </rPr>
          <t xml:space="preserve">
20% 
125</t>
        </r>
      </text>
    </comment>
    <comment ref="P1280" authorId="1" shapeId="0" xr:uid="{B28042E7-23C7-4F5E-889C-EA46481E0557}">
      <text>
        <r>
          <rPr>
            <b/>
            <sz val="9"/>
            <color indexed="81"/>
            <rFont val="MS P ゴシック"/>
            <family val="3"/>
            <charset val="128"/>
          </rPr>
          <t>chiba:</t>
        </r>
        <r>
          <rPr>
            <sz val="9"/>
            <color indexed="81"/>
            <rFont val="MS P ゴシック"/>
            <family val="3"/>
            <charset val="128"/>
          </rPr>
          <t xml:space="preserve">
1000m 以上特価
1650円/m 
</t>
        </r>
      </text>
    </comment>
    <comment ref="E1281" authorId="1" shapeId="0" xr:uid="{845C53AC-5BC2-4723-AD4F-553E3A855BA4}">
      <text>
        <r>
          <rPr>
            <b/>
            <sz val="9"/>
            <color indexed="81"/>
            <rFont val="MS P ゴシック"/>
            <family val="3"/>
            <charset val="128"/>
          </rPr>
          <t>chiba:</t>
        </r>
        <r>
          <rPr>
            <sz val="9"/>
            <color indexed="81"/>
            <rFont val="MS P ゴシック"/>
            <family val="3"/>
            <charset val="128"/>
          </rPr>
          <t xml:space="preserve">
弱撥水樹脂</t>
        </r>
      </text>
    </comment>
    <comment ref="K1281" authorId="0" shapeId="0" xr:uid="{66B18509-FE4B-43D1-932A-CAC8F72F9EF9}">
      <text>
        <r>
          <rPr>
            <b/>
            <sz val="9"/>
            <color indexed="81"/>
            <rFont val="MS P ゴシック"/>
            <family val="3"/>
            <charset val="128"/>
          </rPr>
          <t>sunfashion:
1000m 以上特価</t>
        </r>
        <r>
          <rPr>
            <sz val="9"/>
            <color indexed="81"/>
            <rFont val="MS P ゴシック"/>
            <family val="3"/>
            <charset val="128"/>
          </rPr>
          <t xml:space="preserve">
20% 
125</t>
        </r>
      </text>
    </comment>
    <comment ref="P1281" authorId="1" shapeId="0" xr:uid="{676AEFDB-EAA1-4209-A3DC-C06DF3EB2329}">
      <text>
        <r>
          <rPr>
            <b/>
            <sz val="9"/>
            <color indexed="81"/>
            <rFont val="MS P ゴシック"/>
            <family val="3"/>
            <charset val="128"/>
          </rPr>
          <t>chiba:</t>
        </r>
        <r>
          <rPr>
            <sz val="9"/>
            <color indexed="81"/>
            <rFont val="MS P ゴシック"/>
            <family val="3"/>
            <charset val="128"/>
          </rPr>
          <t xml:space="preserve">
1000m 以上特価
1650円/m 
</t>
        </r>
      </text>
    </comment>
    <comment ref="E1284" authorId="1" shapeId="0" xr:uid="{F09CBAC2-94A7-4E1E-8FD2-1E2D0BBBB187}">
      <text>
        <r>
          <rPr>
            <b/>
            <sz val="9"/>
            <color indexed="81"/>
            <rFont val="MS P ゴシック"/>
            <family val="3"/>
            <charset val="128"/>
          </rPr>
          <t>chiba:</t>
        </r>
        <r>
          <rPr>
            <sz val="9"/>
            <color indexed="81"/>
            <rFont val="MS P ゴシック"/>
            <family val="3"/>
            <charset val="128"/>
          </rPr>
          <t xml:space="preserve">
弱撥水樹脂</t>
        </r>
      </text>
    </comment>
    <comment ref="K1284" authorId="0" shapeId="0" xr:uid="{A1C0F92B-45FB-415E-930B-F33C2CA3370F}">
      <text>
        <r>
          <rPr>
            <b/>
            <sz val="9"/>
            <color indexed="81"/>
            <rFont val="MS P ゴシック"/>
            <family val="3"/>
            <charset val="128"/>
          </rPr>
          <t>sunfashion:
1000m 以上特価</t>
        </r>
        <r>
          <rPr>
            <sz val="9"/>
            <color indexed="81"/>
            <rFont val="MS P ゴシック"/>
            <family val="3"/>
            <charset val="128"/>
          </rPr>
          <t xml:space="preserve">
20% 
125</t>
        </r>
      </text>
    </comment>
    <comment ref="P1284" authorId="1" shapeId="0" xr:uid="{8F92A7C5-0174-45D7-84D7-5BF053FE71DE}">
      <text>
        <r>
          <rPr>
            <b/>
            <sz val="9"/>
            <color indexed="81"/>
            <rFont val="MS P ゴシック"/>
            <family val="3"/>
            <charset val="128"/>
          </rPr>
          <t>chiba:</t>
        </r>
        <r>
          <rPr>
            <sz val="9"/>
            <color indexed="81"/>
            <rFont val="MS P ゴシック"/>
            <family val="3"/>
            <charset val="128"/>
          </rPr>
          <t xml:space="preserve">
1000m 以上特価
1650円/m 
</t>
        </r>
      </text>
    </comment>
    <comment ref="E1285" authorId="1" shapeId="0" xr:uid="{718E7892-C2A0-4EBE-B5CE-8D09F54CF470}">
      <text>
        <r>
          <rPr>
            <b/>
            <sz val="9"/>
            <color indexed="81"/>
            <rFont val="MS P ゴシック"/>
            <family val="3"/>
            <charset val="128"/>
          </rPr>
          <t>chiba:</t>
        </r>
        <r>
          <rPr>
            <sz val="9"/>
            <color indexed="81"/>
            <rFont val="MS P ゴシック"/>
            <family val="3"/>
            <charset val="128"/>
          </rPr>
          <t xml:space="preserve">
弱撥水樹脂</t>
        </r>
      </text>
    </comment>
    <comment ref="K1285" authorId="0" shapeId="0" xr:uid="{8D1D00A5-2ADC-4C7E-9F5F-8DB8C21E95D6}">
      <text>
        <r>
          <rPr>
            <b/>
            <sz val="9"/>
            <color indexed="81"/>
            <rFont val="MS P ゴシック"/>
            <family val="3"/>
            <charset val="128"/>
          </rPr>
          <t>sunfashion:
1000m 以上特価</t>
        </r>
        <r>
          <rPr>
            <sz val="9"/>
            <color indexed="81"/>
            <rFont val="MS P ゴシック"/>
            <family val="3"/>
            <charset val="128"/>
          </rPr>
          <t xml:space="preserve">
20% 
125</t>
        </r>
      </text>
    </comment>
    <comment ref="P1285" authorId="1" shapeId="0" xr:uid="{57854B5F-27DB-4719-89CB-BE5C900FCBC6}">
      <text>
        <r>
          <rPr>
            <b/>
            <sz val="9"/>
            <color indexed="81"/>
            <rFont val="MS P ゴシック"/>
            <family val="3"/>
            <charset val="128"/>
          </rPr>
          <t>chiba:</t>
        </r>
        <r>
          <rPr>
            <sz val="9"/>
            <color indexed="81"/>
            <rFont val="MS P ゴシック"/>
            <family val="3"/>
            <charset val="128"/>
          </rPr>
          <t xml:space="preserve">
1000m 以上特価
1650円/m 
</t>
        </r>
      </text>
    </comment>
    <comment ref="E1286" authorId="1" shapeId="0" xr:uid="{1AF34450-00C3-44CD-ABEE-62C757A6398B}">
      <text>
        <r>
          <rPr>
            <b/>
            <sz val="9"/>
            <color indexed="81"/>
            <rFont val="MS P ゴシック"/>
            <family val="3"/>
            <charset val="128"/>
          </rPr>
          <t>chiba:</t>
        </r>
        <r>
          <rPr>
            <sz val="9"/>
            <color indexed="81"/>
            <rFont val="MS P ゴシック"/>
            <family val="3"/>
            <charset val="128"/>
          </rPr>
          <t xml:space="preserve">
弱撥水樹脂</t>
        </r>
      </text>
    </comment>
    <comment ref="K1286" authorId="0" shapeId="0" xr:uid="{B658647A-161A-4B49-BCFD-B649070CD595}">
      <text>
        <r>
          <rPr>
            <b/>
            <sz val="9"/>
            <color indexed="81"/>
            <rFont val="MS P ゴシック"/>
            <family val="3"/>
            <charset val="128"/>
          </rPr>
          <t>sunfashion:
1000m 以上特価</t>
        </r>
        <r>
          <rPr>
            <sz val="9"/>
            <color indexed="81"/>
            <rFont val="MS P ゴシック"/>
            <family val="3"/>
            <charset val="128"/>
          </rPr>
          <t xml:space="preserve">
20% 
125</t>
        </r>
      </text>
    </comment>
    <comment ref="P1286" authorId="1" shapeId="0" xr:uid="{02CC1400-7F3E-4F59-9DBC-F406E6E7907B}">
      <text>
        <r>
          <rPr>
            <b/>
            <sz val="9"/>
            <color indexed="81"/>
            <rFont val="MS P ゴシック"/>
            <family val="3"/>
            <charset val="128"/>
          </rPr>
          <t>chiba:</t>
        </r>
        <r>
          <rPr>
            <sz val="9"/>
            <color indexed="81"/>
            <rFont val="MS P ゴシック"/>
            <family val="3"/>
            <charset val="128"/>
          </rPr>
          <t xml:space="preserve">
1000m 以上特価
1650円/m 
</t>
        </r>
      </text>
    </comment>
    <comment ref="E1287" authorId="1" shapeId="0" xr:uid="{8A06DCCE-640F-4DAA-9BF3-D1628398DCA7}">
      <text>
        <r>
          <rPr>
            <b/>
            <sz val="9"/>
            <color indexed="81"/>
            <rFont val="MS P ゴシック"/>
            <family val="3"/>
            <charset val="128"/>
          </rPr>
          <t>chiba:</t>
        </r>
        <r>
          <rPr>
            <sz val="9"/>
            <color indexed="81"/>
            <rFont val="MS P ゴシック"/>
            <family val="3"/>
            <charset val="128"/>
          </rPr>
          <t xml:space="preserve">
弱撥水樹脂</t>
        </r>
      </text>
    </comment>
    <comment ref="K1287" authorId="0" shapeId="0" xr:uid="{4F18EB75-199B-43B0-9675-3F70FCB46090}">
      <text>
        <r>
          <rPr>
            <b/>
            <sz val="9"/>
            <color indexed="81"/>
            <rFont val="MS P ゴシック"/>
            <family val="3"/>
            <charset val="128"/>
          </rPr>
          <t>sunfashion:
1000m 以上特価</t>
        </r>
        <r>
          <rPr>
            <sz val="9"/>
            <color indexed="81"/>
            <rFont val="MS P ゴシック"/>
            <family val="3"/>
            <charset val="128"/>
          </rPr>
          <t xml:space="preserve">
20% 
125</t>
        </r>
      </text>
    </comment>
    <comment ref="P1287" authorId="1" shapeId="0" xr:uid="{9E869942-3D20-4A1B-B3F3-AE5487C36E6E}">
      <text>
        <r>
          <rPr>
            <b/>
            <sz val="9"/>
            <color indexed="81"/>
            <rFont val="MS P ゴシック"/>
            <family val="3"/>
            <charset val="128"/>
          </rPr>
          <t>chiba:</t>
        </r>
        <r>
          <rPr>
            <sz val="9"/>
            <color indexed="81"/>
            <rFont val="MS P ゴシック"/>
            <family val="3"/>
            <charset val="128"/>
          </rPr>
          <t xml:space="preserve">
1000m 以上特価
1650円/m 
</t>
        </r>
      </text>
    </comment>
    <comment ref="E1288" authorId="1" shapeId="0" xr:uid="{917104C7-BAE0-484B-AA45-3AD10FCEC4C7}">
      <text>
        <r>
          <rPr>
            <b/>
            <sz val="9"/>
            <color indexed="81"/>
            <rFont val="MS P ゴシック"/>
            <family val="3"/>
            <charset val="128"/>
          </rPr>
          <t>chiba:</t>
        </r>
        <r>
          <rPr>
            <sz val="9"/>
            <color indexed="81"/>
            <rFont val="MS P ゴシック"/>
            <family val="3"/>
            <charset val="128"/>
          </rPr>
          <t xml:space="preserve">
弱撥水樹脂</t>
        </r>
      </text>
    </comment>
    <comment ref="K1288" authorId="0" shapeId="0" xr:uid="{F38D02A1-5A4C-4816-A183-72C39C15EE63}">
      <text>
        <r>
          <rPr>
            <b/>
            <sz val="9"/>
            <color indexed="81"/>
            <rFont val="MS P ゴシック"/>
            <family val="3"/>
            <charset val="128"/>
          </rPr>
          <t>sunfashion:
1000m 以上特価</t>
        </r>
        <r>
          <rPr>
            <sz val="9"/>
            <color indexed="81"/>
            <rFont val="MS P ゴシック"/>
            <family val="3"/>
            <charset val="128"/>
          </rPr>
          <t xml:space="preserve">
20% 
125</t>
        </r>
      </text>
    </comment>
    <comment ref="P1288" authorId="1" shapeId="0" xr:uid="{DE3A8A54-71FD-4A48-9150-ADDE61AC35C1}">
      <text>
        <r>
          <rPr>
            <b/>
            <sz val="9"/>
            <color indexed="81"/>
            <rFont val="MS P ゴシック"/>
            <family val="3"/>
            <charset val="128"/>
          </rPr>
          <t>chiba:</t>
        </r>
        <r>
          <rPr>
            <sz val="9"/>
            <color indexed="81"/>
            <rFont val="MS P ゴシック"/>
            <family val="3"/>
            <charset val="128"/>
          </rPr>
          <t xml:space="preserve">
1000m 以上特価
1650円/m 
</t>
        </r>
      </text>
    </comment>
    <comment ref="E1289" authorId="1" shapeId="0" xr:uid="{9F12D4B4-D04C-4ED3-B121-CCFD88D4191F}">
      <text>
        <r>
          <rPr>
            <b/>
            <sz val="9"/>
            <color indexed="81"/>
            <rFont val="MS P ゴシック"/>
            <family val="3"/>
            <charset val="128"/>
          </rPr>
          <t>chiba:</t>
        </r>
        <r>
          <rPr>
            <sz val="9"/>
            <color indexed="81"/>
            <rFont val="MS P ゴシック"/>
            <family val="3"/>
            <charset val="128"/>
          </rPr>
          <t xml:space="preserve">
弱撥水樹脂</t>
        </r>
      </text>
    </comment>
    <comment ref="K1289" authorId="0" shapeId="0" xr:uid="{A4FC2DD6-85CF-43B1-A648-FC275AF0D765}">
      <text>
        <r>
          <rPr>
            <b/>
            <sz val="9"/>
            <color indexed="81"/>
            <rFont val="MS P ゴシック"/>
            <family val="3"/>
            <charset val="128"/>
          </rPr>
          <t>sunfashion:
1000m 以上特価</t>
        </r>
        <r>
          <rPr>
            <sz val="9"/>
            <color indexed="81"/>
            <rFont val="MS P ゴシック"/>
            <family val="3"/>
            <charset val="128"/>
          </rPr>
          <t xml:space="preserve">
20% 
125</t>
        </r>
      </text>
    </comment>
    <comment ref="P1289" authorId="1" shapeId="0" xr:uid="{23B35BBD-608E-4C80-8ADC-6558CCA431F6}">
      <text>
        <r>
          <rPr>
            <b/>
            <sz val="9"/>
            <color indexed="81"/>
            <rFont val="MS P ゴシック"/>
            <family val="3"/>
            <charset val="128"/>
          </rPr>
          <t>chiba:</t>
        </r>
        <r>
          <rPr>
            <sz val="9"/>
            <color indexed="81"/>
            <rFont val="MS P ゴシック"/>
            <family val="3"/>
            <charset val="128"/>
          </rPr>
          <t xml:space="preserve">
1000m 以上特価
1650円/m 
</t>
        </r>
      </text>
    </comment>
    <comment ref="E1290" authorId="1" shapeId="0" xr:uid="{1570649D-D22B-4DD0-AC6F-C49C8D50B17D}">
      <text>
        <r>
          <rPr>
            <b/>
            <sz val="9"/>
            <color indexed="81"/>
            <rFont val="MS P ゴシック"/>
            <family val="3"/>
            <charset val="128"/>
          </rPr>
          <t>chiba:</t>
        </r>
        <r>
          <rPr>
            <sz val="9"/>
            <color indexed="81"/>
            <rFont val="MS P ゴシック"/>
            <family val="3"/>
            <charset val="128"/>
          </rPr>
          <t xml:space="preserve">
弱撥水樹脂</t>
        </r>
      </text>
    </comment>
    <comment ref="K1290" authorId="0" shapeId="0" xr:uid="{42E75928-4903-4E9B-A8FE-532D121FB600}">
      <text>
        <r>
          <rPr>
            <b/>
            <sz val="9"/>
            <color indexed="81"/>
            <rFont val="MS P ゴシック"/>
            <family val="3"/>
            <charset val="128"/>
          </rPr>
          <t>sunfashion:
1000m 以上特価</t>
        </r>
        <r>
          <rPr>
            <sz val="9"/>
            <color indexed="81"/>
            <rFont val="MS P ゴシック"/>
            <family val="3"/>
            <charset val="128"/>
          </rPr>
          <t xml:space="preserve">
20% 
125</t>
        </r>
      </text>
    </comment>
    <comment ref="P1290" authorId="1" shapeId="0" xr:uid="{5101FDCC-A374-4D30-806E-8D596E1CBB43}">
      <text>
        <r>
          <rPr>
            <b/>
            <sz val="9"/>
            <color indexed="81"/>
            <rFont val="MS P ゴシック"/>
            <family val="3"/>
            <charset val="128"/>
          </rPr>
          <t>chiba:</t>
        </r>
        <r>
          <rPr>
            <sz val="9"/>
            <color indexed="81"/>
            <rFont val="MS P ゴシック"/>
            <family val="3"/>
            <charset val="128"/>
          </rPr>
          <t xml:space="preserve">
1000m 以上特価
1650円/m 
</t>
        </r>
      </text>
    </comment>
    <comment ref="E1291" authorId="1" shapeId="0" xr:uid="{41102878-F20A-42FD-A4B7-6E88043FD4AA}">
      <text>
        <r>
          <rPr>
            <b/>
            <sz val="9"/>
            <color indexed="81"/>
            <rFont val="MS P ゴシック"/>
            <family val="3"/>
            <charset val="128"/>
          </rPr>
          <t>chiba:</t>
        </r>
        <r>
          <rPr>
            <sz val="9"/>
            <color indexed="81"/>
            <rFont val="MS P ゴシック"/>
            <family val="3"/>
            <charset val="128"/>
          </rPr>
          <t xml:space="preserve">
弱撥水樹脂</t>
        </r>
      </text>
    </comment>
    <comment ref="K1291" authorId="0" shapeId="0" xr:uid="{E7C5BECF-C9FE-4902-AFE8-46E78759556D}">
      <text>
        <r>
          <rPr>
            <b/>
            <sz val="9"/>
            <color indexed="81"/>
            <rFont val="MS P ゴシック"/>
            <family val="3"/>
            <charset val="128"/>
          </rPr>
          <t>sunfashion:
1000m 以上特価</t>
        </r>
        <r>
          <rPr>
            <sz val="9"/>
            <color indexed="81"/>
            <rFont val="MS P ゴシック"/>
            <family val="3"/>
            <charset val="128"/>
          </rPr>
          <t xml:space="preserve">
20% 
125</t>
        </r>
      </text>
    </comment>
    <comment ref="P1291" authorId="1" shapeId="0" xr:uid="{C5790510-527B-4537-80BF-54F1CD8FBD13}">
      <text>
        <r>
          <rPr>
            <b/>
            <sz val="9"/>
            <color indexed="81"/>
            <rFont val="MS P ゴシック"/>
            <family val="3"/>
            <charset val="128"/>
          </rPr>
          <t>chiba:</t>
        </r>
        <r>
          <rPr>
            <sz val="9"/>
            <color indexed="81"/>
            <rFont val="MS P ゴシック"/>
            <family val="3"/>
            <charset val="128"/>
          </rPr>
          <t xml:space="preserve">
1000m 以上特価
1650円/m 
</t>
        </r>
      </text>
    </comment>
    <comment ref="E1292" authorId="1" shapeId="0" xr:uid="{BDB69131-9CD5-4E6D-BE33-9BB2C60D9A48}">
      <text>
        <r>
          <rPr>
            <b/>
            <sz val="9"/>
            <color indexed="81"/>
            <rFont val="MS P ゴシック"/>
            <family val="3"/>
            <charset val="128"/>
          </rPr>
          <t>chiba:</t>
        </r>
        <r>
          <rPr>
            <sz val="9"/>
            <color indexed="81"/>
            <rFont val="MS P ゴシック"/>
            <family val="3"/>
            <charset val="128"/>
          </rPr>
          <t xml:space="preserve">
弱撥水樹脂</t>
        </r>
      </text>
    </comment>
    <comment ref="K1292" authorId="0" shapeId="0" xr:uid="{6E46A29A-9EC0-424D-B900-60CA8170B7ED}">
      <text>
        <r>
          <rPr>
            <b/>
            <sz val="9"/>
            <color indexed="81"/>
            <rFont val="MS P ゴシック"/>
            <family val="3"/>
            <charset val="128"/>
          </rPr>
          <t>sunfashion:
1000m 以上特価</t>
        </r>
        <r>
          <rPr>
            <sz val="9"/>
            <color indexed="81"/>
            <rFont val="MS P ゴシック"/>
            <family val="3"/>
            <charset val="128"/>
          </rPr>
          <t xml:space="preserve">
20% 
125</t>
        </r>
      </text>
    </comment>
    <comment ref="P1292" authorId="1" shapeId="0" xr:uid="{EBF19EDB-4417-4A53-B7C7-84ED76E340FF}">
      <text>
        <r>
          <rPr>
            <b/>
            <sz val="9"/>
            <color indexed="81"/>
            <rFont val="MS P ゴシック"/>
            <family val="3"/>
            <charset val="128"/>
          </rPr>
          <t>chiba:</t>
        </r>
        <r>
          <rPr>
            <sz val="9"/>
            <color indexed="81"/>
            <rFont val="MS P ゴシック"/>
            <family val="3"/>
            <charset val="128"/>
          </rPr>
          <t xml:space="preserve">
1000m 以上特価
1650円/m 
</t>
        </r>
      </text>
    </comment>
    <comment ref="E1293" authorId="1" shapeId="0" xr:uid="{C4CF5182-7A3F-4B50-9481-72586E18702A}">
      <text>
        <r>
          <rPr>
            <b/>
            <sz val="9"/>
            <color indexed="81"/>
            <rFont val="MS P ゴシック"/>
            <family val="3"/>
            <charset val="128"/>
          </rPr>
          <t>chiba:</t>
        </r>
        <r>
          <rPr>
            <sz val="9"/>
            <color indexed="81"/>
            <rFont val="MS P ゴシック"/>
            <family val="3"/>
            <charset val="128"/>
          </rPr>
          <t xml:space="preserve">
弱撥水樹脂</t>
        </r>
      </text>
    </comment>
    <comment ref="K1293" authorId="0" shapeId="0" xr:uid="{54717A85-7D9A-4345-9E5B-A8848E11F20E}">
      <text>
        <r>
          <rPr>
            <b/>
            <sz val="9"/>
            <color indexed="81"/>
            <rFont val="MS P ゴシック"/>
            <family val="3"/>
            <charset val="128"/>
          </rPr>
          <t>sunfashion:
1000m 以上特価</t>
        </r>
        <r>
          <rPr>
            <sz val="9"/>
            <color indexed="81"/>
            <rFont val="MS P ゴシック"/>
            <family val="3"/>
            <charset val="128"/>
          </rPr>
          <t xml:space="preserve">
20% 
125</t>
        </r>
      </text>
    </comment>
    <comment ref="P1293" authorId="1" shapeId="0" xr:uid="{3598D5D3-8F38-4E4E-9FAE-89B8C8EFE506}">
      <text>
        <r>
          <rPr>
            <b/>
            <sz val="9"/>
            <color indexed="81"/>
            <rFont val="MS P ゴシック"/>
            <family val="3"/>
            <charset val="128"/>
          </rPr>
          <t>chiba:</t>
        </r>
        <r>
          <rPr>
            <sz val="9"/>
            <color indexed="81"/>
            <rFont val="MS P ゴシック"/>
            <family val="3"/>
            <charset val="128"/>
          </rPr>
          <t xml:space="preserve">
1000m 以上特価
1650円/m 
</t>
        </r>
      </text>
    </comment>
    <comment ref="E1294" authorId="1" shapeId="0" xr:uid="{39EE43F4-C017-498B-9184-DB5DC0508070}">
      <text>
        <r>
          <rPr>
            <b/>
            <sz val="9"/>
            <color indexed="81"/>
            <rFont val="MS P ゴシック"/>
            <family val="3"/>
            <charset val="128"/>
          </rPr>
          <t>chiba:</t>
        </r>
        <r>
          <rPr>
            <sz val="9"/>
            <color indexed="81"/>
            <rFont val="MS P ゴシック"/>
            <family val="3"/>
            <charset val="128"/>
          </rPr>
          <t xml:space="preserve">
弱撥水樹脂</t>
        </r>
      </text>
    </comment>
    <comment ref="K1294" authorId="0" shapeId="0" xr:uid="{072A509C-E344-426C-8EF1-C6A4A4E82A5C}">
      <text>
        <r>
          <rPr>
            <b/>
            <sz val="9"/>
            <color indexed="81"/>
            <rFont val="MS P ゴシック"/>
            <family val="3"/>
            <charset val="128"/>
          </rPr>
          <t>sunfashion:
1000m 以上特価</t>
        </r>
        <r>
          <rPr>
            <sz val="9"/>
            <color indexed="81"/>
            <rFont val="MS P ゴシック"/>
            <family val="3"/>
            <charset val="128"/>
          </rPr>
          <t xml:space="preserve">
20% 
125</t>
        </r>
      </text>
    </comment>
    <comment ref="P1294" authorId="1" shapeId="0" xr:uid="{E3B161C2-0EFC-46B7-AA37-4277EB79A399}">
      <text>
        <r>
          <rPr>
            <b/>
            <sz val="9"/>
            <color indexed="81"/>
            <rFont val="MS P ゴシック"/>
            <family val="3"/>
            <charset val="128"/>
          </rPr>
          <t>chiba:</t>
        </r>
        <r>
          <rPr>
            <sz val="9"/>
            <color indexed="81"/>
            <rFont val="MS P ゴシック"/>
            <family val="3"/>
            <charset val="128"/>
          </rPr>
          <t xml:space="preserve">
1000m 以上特価
1650円/m 
</t>
        </r>
      </text>
    </comment>
    <comment ref="E1295" authorId="1" shapeId="0" xr:uid="{D831A5D0-4649-4555-8485-788222682DE6}">
      <text>
        <r>
          <rPr>
            <b/>
            <sz val="9"/>
            <color indexed="81"/>
            <rFont val="MS P ゴシック"/>
            <family val="3"/>
            <charset val="128"/>
          </rPr>
          <t>chiba:</t>
        </r>
        <r>
          <rPr>
            <sz val="9"/>
            <color indexed="81"/>
            <rFont val="MS P ゴシック"/>
            <family val="3"/>
            <charset val="128"/>
          </rPr>
          <t xml:space="preserve">
弱撥水樹脂</t>
        </r>
      </text>
    </comment>
    <comment ref="K1295" authorId="0" shapeId="0" xr:uid="{4BDB3236-297B-4B2A-9A95-FFD3E6D4401E}">
      <text>
        <r>
          <rPr>
            <b/>
            <sz val="9"/>
            <color indexed="81"/>
            <rFont val="MS P ゴシック"/>
            <family val="3"/>
            <charset val="128"/>
          </rPr>
          <t>sunfashion:
1000m 以上特価</t>
        </r>
        <r>
          <rPr>
            <sz val="9"/>
            <color indexed="81"/>
            <rFont val="MS P ゴシック"/>
            <family val="3"/>
            <charset val="128"/>
          </rPr>
          <t xml:space="preserve">
20% 
125</t>
        </r>
      </text>
    </comment>
    <comment ref="P1295" authorId="1" shapeId="0" xr:uid="{D62392B7-833E-47AB-A355-C3F889523FAD}">
      <text>
        <r>
          <rPr>
            <b/>
            <sz val="9"/>
            <color indexed="81"/>
            <rFont val="MS P ゴシック"/>
            <family val="3"/>
            <charset val="128"/>
          </rPr>
          <t>chiba:</t>
        </r>
        <r>
          <rPr>
            <sz val="9"/>
            <color indexed="81"/>
            <rFont val="MS P ゴシック"/>
            <family val="3"/>
            <charset val="128"/>
          </rPr>
          <t xml:space="preserve">
1000m 以上特価
1650円/m 
</t>
        </r>
      </text>
    </comment>
    <comment ref="E1296" authorId="1" shapeId="0" xr:uid="{9D31098A-CA15-4DF4-BCCE-135DBD0E0ABD}">
      <text>
        <r>
          <rPr>
            <b/>
            <sz val="9"/>
            <color indexed="81"/>
            <rFont val="MS P ゴシック"/>
            <family val="3"/>
            <charset val="128"/>
          </rPr>
          <t>chiba:</t>
        </r>
        <r>
          <rPr>
            <sz val="9"/>
            <color indexed="81"/>
            <rFont val="MS P ゴシック"/>
            <family val="3"/>
            <charset val="128"/>
          </rPr>
          <t xml:space="preserve">
弱撥水樹脂</t>
        </r>
      </text>
    </comment>
    <comment ref="K1296" authorId="0" shapeId="0" xr:uid="{0495D041-6AFC-44FA-BA1B-225CD6C203DA}">
      <text>
        <r>
          <rPr>
            <b/>
            <sz val="9"/>
            <color indexed="81"/>
            <rFont val="MS P ゴシック"/>
            <family val="3"/>
            <charset val="128"/>
          </rPr>
          <t>sunfashion:
1000m 以上特価</t>
        </r>
        <r>
          <rPr>
            <sz val="9"/>
            <color indexed="81"/>
            <rFont val="MS P ゴシック"/>
            <family val="3"/>
            <charset val="128"/>
          </rPr>
          <t xml:space="preserve">
20% 
125</t>
        </r>
      </text>
    </comment>
    <comment ref="P1296" authorId="1" shapeId="0" xr:uid="{30AB4B18-00AA-43A3-8E5A-04A9994062EA}">
      <text>
        <r>
          <rPr>
            <b/>
            <sz val="9"/>
            <color indexed="81"/>
            <rFont val="MS P ゴシック"/>
            <family val="3"/>
            <charset val="128"/>
          </rPr>
          <t>chiba:</t>
        </r>
        <r>
          <rPr>
            <sz val="9"/>
            <color indexed="81"/>
            <rFont val="MS P ゴシック"/>
            <family val="3"/>
            <charset val="128"/>
          </rPr>
          <t xml:space="preserve">
1000m 以上特価
1650円/m 
</t>
        </r>
      </text>
    </comment>
    <comment ref="E1297" authorId="1" shapeId="0" xr:uid="{1EAD325D-B99B-44D0-8B2D-73CC82A83589}">
      <text>
        <r>
          <rPr>
            <b/>
            <sz val="9"/>
            <color indexed="81"/>
            <rFont val="MS P ゴシック"/>
            <family val="3"/>
            <charset val="128"/>
          </rPr>
          <t>chiba:</t>
        </r>
        <r>
          <rPr>
            <sz val="9"/>
            <color indexed="81"/>
            <rFont val="MS P ゴシック"/>
            <family val="3"/>
            <charset val="128"/>
          </rPr>
          <t xml:space="preserve">
弱撥水樹脂</t>
        </r>
      </text>
    </comment>
    <comment ref="K1297" authorId="0" shapeId="0" xr:uid="{4D03F357-2731-4BA4-894E-05CA88E8AF50}">
      <text>
        <r>
          <rPr>
            <b/>
            <sz val="9"/>
            <color indexed="81"/>
            <rFont val="MS P ゴシック"/>
            <family val="3"/>
            <charset val="128"/>
          </rPr>
          <t>sunfashion:
1000m 以上特価</t>
        </r>
        <r>
          <rPr>
            <sz val="9"/>
            <color indexed="81"/>
            <rFont val="MS P ゴシック"/>
            <family val="3"/>
            <charset val="128"/>
          </rPr>
          <t xml:space="preserve">
20% 
125</t>
        </r>
      </text>
    </comment>
    <comment ref="P1297" authorId="1" shapeId="0" xr:uid="{D6F71ABF-1B51-4DAE-8CA8-C2EECC1EA4B5}">
      <text>
        <r>
          <rPr>
            <b/>
            <sz val="9"/>
            <color indexed="81"/>
            <rFont val="MS P ゴシック"/>
            <family val="3"/>
            <charset val="128"/>
          </rPr>
          <t>chiba:</t>
        </r>
        <r>
          <rPr>
            <sz val="9"/>
            <color indexed="81"/>
            <rFont val="MS P ゴシック"/>
            <family val="3"/>
            <charset val="128"/>
          </rPr>
          <t xml:space="preserve">
1000m 以上特価
1650円/m 
</t>
        </r>
      </text>
    </comment>
    <comment ref="E1298" authorId="1" shapeId="0" xr:uid="{F30F217D-252C-44C9-B3BE-19959A87015C}">
      <text>
        <r>
          <rPr>
            <b/>
            <sz val="9"/>
            <color indexed="81"/>
            <rFont val="MS P ゴシック"/>
            <family val="3"/>
            <charset val="128"/>
          </rPr>
          <t>chiba:</t>
        </r>
        <r>
          <rPr>
            <sz val="9"/>
            <color indexed="81"/>
            <rFont val="MS P ゴシック"/>
            <family val="3"/>
            <charset val="128"/>
          </rPr>
          <t xml:space="preserve">
弱撥水樹脂</t>
        </r>
      </text>
    </comment>
    <comment ref="K1298" authorId="0" shapeId="0" xr:uid="{7F7414CE-D4B8-4E6A-A729-21F6EC4FC336}">
      <text>
        <r>
          <rPr>
            <b/>
            <sz val="9"/>
            <color indexed="81"/>
            <rFont val="MS P ゴシック"/>
            <family val="3"/>
            <charset val="128"/>
          </rPr>
          <t>sunfashion:
1000m 以上特価</t>
        </r>
        <r>
          <rPr>
            <sz val="9"/>
            <color indexed="81"/>
            <rFont val="MS P ゴシック"/>
            <family val="3"/>
            <charset val="128"/>
          </rPr>
          <t xml:space="preserve">
20% 
125</t>
        </r>
      </text>
    </comment>
    <comment ref="P1298" authorId="1" shapeId="0" xr:uid="{28762461-FDEE-41EE-B986-966200714A01}">
      <text>
        <r>
          <rPr>
            <b/>
            <sz val="9"/>
            <color indexed="81"/>
            <rFont val="MS P ゴシック"/>
            <family val="3"/>
            <charset val="128"/>
          </rPr>
          <t>chiba:</t>
        </r>
        <r>
          <rPr>
            <sz val="9"/>
            <color indexed="81"/>
            <rFont val="MS P ゴシック"/>
            <family val="3"/>
            <charset val="128"/>
          </rPr>
          <t xml:space="preserve">
1000m 以上特価
1650円/m 
</t>
        </r>
      </text>
    </comment>
    <comment ref="E1299" authorId="1" shapeId="0" xr:uid="{48CCFB62-92B2-4513-99EE-18285D3E945C}">
      <text>
        <r>
          <rPr>
            <b/>
            <sz val="9"/>
            <color indexed="81"/>
            <rFont val="MS P ゴシック"/>
            <family val="3"/>
            <charset val="128"/>
          </rPr>
          <t>chiba:</t>
        </r>
        <r>
          <rPr>
            <sz val="9"/>
            <color indexed="81"/>
            <rFont val="MS P ゴシック"/>
            <family val="3"/>
            <charset val="128"/>
          </rPr>
          <t xml:space="preserve">
弱撥水樹脂</t>
        </r>
      </text>
    </comment>
    <comment ref="K1299" authorId="0" shapeId="0" xr:uid="{86F93699-EC4A-48F6-84AC-6A60168240B6}">
      <text>
        <r>
          <rPr>
            <b/>
            <sz val="9"/>
            <color indexed="81"/>
            <rFont val="MS P ゴシック"/>
            <family val="3"/>
            <charset val="128"/>
          </rPr>
          <t>sunfashion:
1000m 以上特価</t>
        </r>
        <r>
          <rPr>
            <sz val="9"/>
            <color indexed="81"/>
            <rFont val="MS P ゴシック"/>
            <family val="3"/>
            <charset val="128"/>
          </rPr>
          <t xml:space="preserve">
20% 
125</t>
        </r>
      </text>
    </comment>
    <comment ref="P1299" authorId="1" shapeId="0" xr:uid="{131E8A8C-BB01-433D-B1E1-847F9254F31B}">
      <text>
        <r>
          <rPr>
            <b/>
            <sz val="9"/>
            <color indexed="81"/>
            <rFont val="MS P ゴシック"/>
            <family val="3"/>
            <charset val="128"/>
          </rPr>
          <t>chiba:</t>
        </r>
        <r>
          <rPr>
            <sz val="9"/>
            <color indexed="81"/>
            <rFont val="MS P ゴシック"/>
            <family val="3"/>
            <charset val="128"/>
          </rPr>
          <t xml:space="preserve">
1000m 以上特価
1650円/m 
</t>
        </r>
      </text>
    </comment>
    <comment ref="K1302" authorId="0" shapeId="0" xr:uid="{EE947022-E8F9-4A22-8DD2-19D71A31204A}">
      <text>
        <r>
          <rPr>
            <b/>
            <sz val="9"/>
            <color indexed="81"/>
            <rFont val="MS P ゴシック"/>
            <family val="3"/>
            <charset val="128"/>
          </rPr>
          <t>sunfashion:</t>
        </r>
        <r>
          <rPr>
            <sz val="9"/>
            <color indexed="81"/>
            <rFont val="MS P ゴシック"/>
            <family val="3"/>
            <charset val="128"/>
          </rPr>
          <t xml:space="preserve">
47%（max border  ÷0.53) 
レート125
</t>
        </r>
      </text>
    </comment>
    <comment ref="K1303" authorId="0" shapeId="0" xr:uid="{00A4D6FB-50AA-485F-8296-4037E7A3173C}">
      <text>
        <r>
          <rPr>
            <b/>
            <sz val="9"/>
            <color indexed="81"/>
            <rFont val="MS P ゴシック"/>
            <family val="3"/>
            <charset val="128"/>
          </rPr>
          <t>sunfashion:</t>
        </r>
        <r>
          <rPr>
            <sz val="9"/>
            <color indexed="81"/>
            <rFont val="MS P ゴシック"/>
            <family val="3"/>
            <charset val="128"/>
          </rPr>
          <t xml:space="preserve">
47%（max border  ÷0.53) 
レート125
</t>
        </r>
      </text>
    </comment>
    <comment ref="K1304" authorId="0" shapeId="0" xr:uid="{2E3D1BB2-CEA2-41EC-BE9B-5F14AA06E02C}">
      <text>
        <r>
          <rPr>
            <b/>
            <sz val="9"/>
            <color indexed="81"/>
            <rFont val="MS P ゴシック"/>
            <family val="3"/>
            <charset val="128"/>
          </rPr>
          <t>sunfashion:</t>
        </r>
        <r>
          <rPr>
            <sz val="9"/>
            <color indexed="81"/>
            <rFont val="MS P ゴシック"/>
            <family val="3"/>
            <charset val="128"/>
          </rPr>
          <t xml:space="preserve">
47%（max border  ÷0.53) 
レート125
</t>
        </r>
      </text>
    </comment>
    <comment ref="K1305" authorId="0" shapeId="0" xr:uid="{19393863-3E78-4460-9C67-066D01A3439E}">
      <text>
        <r>
          <rPr>
            <b/>
            <sz val="9"/>
            <color indexed="81"/>
            <rFont val="MS P ゴシック"/>
            <family val="3"/>
            <charset val="128"/>
          </rPr>
          <t>sunfashion:</t>
        </r>
        <r>
          <rPr>
            <sz val="9"/>
            <color indexed="81"/>
            <rFont val="MS P ゴシック"/>
            <family val="3"/>
            <charset val="128"/>
          </rPr>
          <t xml:space="preserve">
47%（max border  ÷0.53) 
レート125
</t>
        </r>
      </text>
    </comment>
    <comment ref="K1308" authorId="0" shapeId="0" xr:uid="{C2638B39-B7DD-4919-AAEB-65618964E4F1}">
      <text>
        <r>
          <rPr>
            <b/>
            <sz val="9"/>
            <color indexed="81"/>
            <rFont val="MS P ゴシック"/>
            <family val="3"/>
            <charset val="128"/>
          </rPr>
          <t>sunfashion:</t>
        </r>
        <r>
          <rPr>
            <sz val="9"/>
            <color indexed="81"/>
            <rFont val="MS P ゴシック"/>
            <family val="3"/>
            <charset val="128"/>
          </rPr>
          <t xml:space="preserve">
47%（max border  ÷0.53) 
レート125
</t>
        </r>
      </text>
    </comment>
    <comment ref="K1309" authorId="0" shapeId="0" xr:uid="{6232DBA5-330A-47A7-987D-1B86EBF6AD4F}">
      <text>
        <r>
          <rPr>
            <b/>
            <sz val="9"/>
            <color indexed="81"/>
            <rFont val="MS P ゴシック"/>
            <family val="3"/>
            <charset val="128"/>
          </rPr>
          <t>sunfashion:</t>
        </r>
        <r>
          <rPr>
            <sz val="9"/>
            <color indexed="81"/>
            <rFont val="MS P ゴシック"/>
            <family val="3"/>
            <charset val="128"/>
          </rPr>
          <t xml:space="preserve">
47%（max border  ÷0.53) 
レート125
</t>
        </r>
      </text>
    </comment>
    <comment ref="K1310" authorId="0" shapeId="0" xr:uid="{E1F8FE67-080E-4834-90DA-AA6F44C9E4FE}">
      <text>
        <r>
          <rPr>
            <b/>
            <sz val="9"/>
            <color indexed="81"/>
            <rFont val="MS P ゴシック"/>
            <family val="3"/>
            <charset val="128"/>
          </rPr>
          <t>sunfashion:</t>
        </r>
        <r>
          <rPr>
            <sz val="9"/>
            <color indexed="81"/>
            <rFont val="MS P ゴシック"/>
            <family val="3"/>
            <charset val="128"/>
          </rPr>
          <t xml:space="preserve">
47%（max border  ÷0.53) 
レート125
</t>
        </r>
      </text>
    </comment>
    <comment ref="K1311" authorId="0" shapeId="0" xr:uid="{9C59AA96-7EDF-481C-9885-C3B89FA827C8}">
      <text>
        <r>
          <rPr>
            <b/>
            <sz val="9"/>
            <color indexed="81"/>
            <rFont val="MS P ゴシック"/>
            <family val="3"/>
            <charset val="128"/>
          </rPr>
          <t>sunfashion:</t>
        </r>
        <r>
          <rPr>
            <sz val="9"/>
            <color indexed="81"/>
            <rFont val="MS P ゴシック"/>
            <family val="3"/>
            <charset val="128"/>
          </rPr>
          <t xml:space="preserve">
47%（max border  ÷0.53) 
レート125
</t>
        </r>
      </text>
    </comment>
    <comment ref="K1312" authorId="0" shapeId="0" xr:uid="{1A78BBD2-DE4A-4DA8-924A-8474F6F72832}">
      <text>
        <r>
          <rPr>
            <b/>
            <sz val="9"/>
            <color indexed="81"/>
            <rFont val="MS P ゴシック"/>
            <family val="3"/>
            <charset val="128"/>
          </rPr>
          <t>sunfashion:</t>
        </r>
        <r>
          <rPr>
            <sz val="9"/>
            <color indexed="81"/>
            <rFont val="MS P ゴシック"/>
            <family val="3"/>
            <charset val="128"/>
          </rPr>
          <t xml:space="preserve">
47%（max border  ÷0.53) 
レート125
</t>
        </r>
      </text>
    </comment>
    <comment ref="K1313" authorId="0" shapeId="0" xr:uid="{30CEAA6B-BA48-4BCB-A1CC-D70DC14B5640}">
      <text>
        <r>
          <rPr>
            <b/>
            <sz val="9"/>
            <color indexed="81"/>
            <rFont val="MS P ゴシック"/>
            <family val="3"/>
            <charset val="128"/>
          </rPr>
          <t>sunfashion:</t>
        </r>
        <r>
          <rPr>
            <sz val="9"/>
            <color indexed="81"/>
            <rFont val="MS P ゴシック"/>
            <family val="3"/>
            <charset val="128"/>
          </rPr>
          <t xml:space="preserve">
47%（max border  ÷0.53) 
レート125
</t>
        </r>
      </text>
    </comment>
    <comment ref="E1316" authorId="1" shapeId="0" xr:uid="{08888A4C-AA4A-4A7B-B45B-8D5EBDB4639C}">
      <text>
        <r>
          <rPr>
            <b/>
            <sz val="9"/>
            <color indexed="81"/>
            <rFont val="MS P ゴシック"/>
            <family val="3"/>
            <charset val="128"/>
          </rPr>
          <t>chiba:</t>
        </r>
        <r>
          <rPr>
            <sz val="9"/>
            <color indexed="81"/>
            <rFont val="MS P ゴシック"/>
            <family val="3"/>
            <charset val="128"/>
          </rPr>
          <t xml:space="preserve">
弱撥水樹脂</t>
        </r>
      </text>
    </comment>
    <comment ref="K1316" authorId="0" shapeId="0" xr:uid="{E52A00ED-8423-4E85-8C4B-3AC442FEDD5C}">
      <text>
        <r>
          <rPr>
            <b/>
            <sz val="9"/>
            <color indexed="81"/>
            <rFont val="MS P ゴシック"/>
            <family val="3"/>
            <charset val="128"/>
          </rPr>
          <t>sunfashion:
東さん指示にてバルク単価で出荷
1000m 以上特価の価格。入荷は通常単価1680円/ｍ</t>
        </r>
        <r>
          <rPr>
            <sz val="9"/>
            <color indexed="81"/>
            <rFont val="MS P ゴシック"/>
            <family val="3"/>
            <charset val="128"/>
          </rPr>
          <t xml:space="preserve">
20% 
125</t>
        </r>
      </text>
    </comment>
    <comment ref="P1316" authorId="1" shapeId="0" xr:uid="{198B1F43-14CF-4675-876F-A2471FB61137}">
      <text>
        <r>
          <rPr>
            <b/>
            <sz val="9"/>
            <color indexed="81"/>
            <rFont val="MS P ゴシック"/>
            <family val="3"/>
            <charset val="128"/>
          </rPr>
          <t>fukumoto:</t>
        </r>
        <r>
          <rPr>
            <sz val="9"/>
            <color indexed="81"/>
            <rFont val="MS P ゴシック"/>
            <family val="3"/>
            <charset val="128"/>
          </rPr>
          <t xml:space="preserve">
通常単価
1680円/m 
</t>
        </r>
      </text>
    </comment>
    <comment ref="E1317" authorId="1" shapeId="0" xr:uid="{B31A75CF-09B2-4EDB-A372-8564C853D4C7}">
      <text>
        <r>
          <rPr>
            <b/>
            <sz val="9"/>
            <color indexed="81"/>
            <rFont val="MS P ゴシック"/>
            <family val="3"/>
            <charset val="128"/>
          </rPr>
          <t>chiba:</t>
        </r>
        <r>
          <rPr>
            <sz val="9"/>
            <color indexed="81"/>
            <rFont val="MS P ゴシック"/>
            <family val="3"/>
            <charset val="128"/>
          </rPr>
          <t xml:space="preserve">
弱撥水樹脂</t>
        </r>
      </text>
    </comment>
    <comment ref="K1317" authorId="0" shapeId="0" xr:uid="{BB83A642-BE60-4682-8CA2-4A884BE440C7}">
      <text>
        <r>
          <rPr>
            <b/>
            <sz val="9"/>
            <color indexed="81"/>
            <rFont val="MS P ゴシック"/>
            <family val="3"/>
            <charset val="128"/>
          </rPr>
          <t>sunfashion:
東さん指示にてバルク単価で出荷
1000m 以上特価の価格。入荷は通常単価1680円/ｍ</t>
        </r>
        <r>
          <rPr>
            <sz val="9"/>
            <color indexed="81"/>
            <rFont val="MS P ゴシック"/>
            <family val="3"/>
            <charset val="128"/>
          </rPr>
          <t xml:space="preserve">
20% 
125</t>
        </r>
      </text>
    </comment>
    <comment ref="P1317" authorId="1" shapeId="0" xr:uid="{0EE41058-234A-451F-A4BC-F05158B173A6}">
      <text>
        <r>
          <rPr>
            <b/>
            <sz val="9"/>
            <color indexed="81"/>
            <rFont val="MS P ゴシック"/>
            <family val="3"/>
            <charset val="128"/>
          </rPr>
          <t>fukumoto:</t>
        </r>
        <r>
          <rPr>
            <sz val="9"/>
            <color indexed="81"/>
            <rFont val="MS P ゴシック"/>
            <family val="3"/>
            <charset val="128"/>
          </rPr>
          <t xml:space="preserve">
通常単価
1680円/m 
</t>
        </r>
      </text>
    </comment>
    <comment ref="K1321" authorId="0" shapeId="0" xr:uid="{659B005B-5051-4B01-B3A6-0B0423A09774}">
      <text>
        <r>
          <rPr>
            <b/>
            <sz val="9"/>
            <color indexed="81"/>
            <rFont val="MS P ゴシック"/>
            <family val="3"/>
            <charset val="128"/>
          </rPr>
          <t>sunfashion:</t>
        </r>
        <r>
          <rPr>
            <sz val="9"/>
            <color indexed="81"/>
            <rFont val="MS P ゴシック"/>
            <family val="3"/>
            <charset val="128"/>
          </rPr>
          <t xml:space="preserve">
47%（max border  ÷0.53) 
レート125
</t>
        </r>
      </text>
    </comment>
    <comment ref="E1325" authorId="0" shapeId="0" xr:uid="{9B1324DE-EE8F-4073-A733-272C78FFA9AC}">
      <text>
        <r>
          <rPr>
            <b/>
            <sz val="9"/>
            <color indexed="81"/>
            <rFont val="MS P ゴシック"/>
            <family val="3"/>
            <charset val="128"/>
          </rPr>
          <t>sunfashion:</t>
        </r>
        <r>
          <rPr>
            <sz val="9"/>
            <color indexed="81"/>
            <rFont val="MS P ゴシック"/>
            <family val="3"/>
            <charset val="128"/>
          </rPr>
          <t xml:space="preserve">
PI# 5020</t>
        </r>
      </text>
    </comment>
    <comment ref="K1325" authorId="0" shapeId="0" xr:uid="{33FD839C-C712-4611-BE0C-3E4AB847D7EF}">
      <text>
        <r>
          <rPr>
            <b/>
            <sz val="9"/>
            <color indexed="81"/>
            <rFont val="MS P ゴシック"/>
            <family val="3"/>
            <charset val="128"/>
          </rPr>
          <t>sunfashion:</t>
        </r>
        <r>
          <rPr>
            <sz val="9"/>
            <color indexed="81"/>
            <rFont val="MS P ゴシック"/>
            <family val="3"/>
            <charset val="128"/>
          </rPr>
          <t xml:space="preserve">
47%（max border  ÷0.53) 
レート125
</t>
        </r>
      </text>
    </comment>
    <comment ref="K1326" authorId="0" shapeId="0" xr:uid="{644F5C69-E52B-47B1-AEF3-AEB2370351E6}">
      <text>
        <r>
          <rPr>
            <b/>
            <sz val="9"/>
            <color indexed="81"/>
            <rFont val="MS P ゴシック"/>
            <family val="3"/>
            <charset val="128"/>
          </rPr>
          <t>sunfashion:</t>
        </r>
        <r>
          <rPr>
            <sz val="9"/>
            <color indexed="81"/>
            <rFont val="MS P ゴシック"/>
            <family val="3"/>
            <charset val="128"/>
          </rPr>
          <t xml:space="preserve">
47%（max border  ÷0.53) 
レート125
</t>
        </r>
      </text>
    </comment>
    <comment ref="K1327" authorId="0" shapeId="0" xr:uid="{4C1789FD-8DCD-4196-B555-C9B37F454564}">
      <text>
        <r>
          <rPr>
            <b/>
            <sz val="9"/>
            <color indexed="81"/>
            <rFont val="MS P ゴシック"/>
            <family val="3"/>
            <charset val="128"/>
          </rPr>
          <t>sunfashion:</t>
        </r>
        <r>
          <rPr>
            <sz val="9"/>
            <color indexed="81"/>
            <rFont val="MS P ゴシック"/>
            <family val="3"/>
            <charset val="128"/>
          </rPr>
          <t xml:space="preserve">
47%（max border  ÷0.53) 
レート125
</t>
        </r>
      </text>
    </comment>
    <comment ref="K1328" authorId="0" shapeId="0" xr:uid="{16A88F87-B0AF-4711-B510-4D9D5D541498}">
      <text>
        <r>
          <rPr>
            <b/>
            <sz val="9"/>
            <color indexed="81"/>
            <rFont val="MS P ゴシック"/>
            <family val="3"/>
            <charset val="128"/>
          </rPr>
          <t>sunfashion:</t>
        </r>
        <r>
          <rPr>
            <sz val="9"/>
            <color indexed="81"/>
            <rFont val="MS P ゴシック"/>
            <family val="3"/>
            <charset val="128"/>
          </rPr>
          <t xml:space="preserve">
47%（max border  ÷0.53) 
レート125
</t>
        </r>
      </text>
    </comment>
    <comment ref="K1329" authorId="0" shapeId="0" xr:uid="{5DDFC53D-00C1-466B-AC30-29EE4FA77247}">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0" authorId="0" shapeId="0" xr:uid="{DB3258D1-74A7-4126-BC2C-28FF97FFE456}">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1" authorId="0" shapeId="0" xr:uid="{E0AB33F6-9999-4FFB-B5E2-A551B11E2AB3}">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2" authorId="0" shapeId="0" xr:uid="{22DB523B-327F-4D5C-B1DB-97A8DC8E0174}">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3" authorId="0" shapeId="0" xr:uid="{D5284605-9D74-4557-A2C2-06A107DDE1A9}">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4" authorId="0" shapeId="0" xr:uid="{30EC6C4E-C7BC-4CD7-BD94-D7110A01E529}">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6" authorId="0" shapeId="0" xr:uid="{C628D3C4-EBE5-4EDB-90C4-D22110223912}">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7" authorId="0" shapeId="0" xr:uid="{778C6B9A-F69C-46EE-9D0C-85F491C65FA6}">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8" authorId="0" shapeId="0" xr:uid="{08466BE7-2C70-4EDA-ACB7-416E93D111F3}">
      <text>
        <r>
          <rPr>
            <b/>
            <sz val="9"/>
            <color indexed="81"/>
            <rFont val="MS P ゴシック"/>
            <family val="3"/>
            <charset val="128"/>
          </rPr>
          <t>sunfashion:</t>
        </r>
        <r>
          <rPr>
            <sz val="9"/>
            <color indexed="81"/>
            <rFont val="MS P ゴシック"/>
            <family val="3"/>
            <charset val="128"/>
          </rPr>
          <t xml:space="preserve">
47%（max border  ÷0.53) 
レート125
</t>
        </r>
      </text>
    </comment>
    <comment ref="K1339" authorId="0" shapeId="0" xr:uid="{76050F05-53BD-470F-8928-55B5D92E936F}">
      <text>
        <r>
          <rPr>
            <b/>
            <sz val="9"/>
            <color indexed="81"/>
            <rFont val="MS P ゴシック"/>
            <family val="3"/>
            <charset val="128"/>
          </rPr>
          <t>sunfashion:</t>
        </r>
        <r>
          <rPr>
            <sz val="9"/>
            <color indexed="81"/>
            <rFont val="MS P ゴシック"/>
            <family val="3"/>
            <charset val="128"/>
          </rPr>
          <t xml:space="preserve">
47%（max border  ÷0.53) 
レート125
</t>
        </r>
      </text>
    </comment>
    <comment ref="K1340" authorId="0" shapeId="0" xr:uid="{9BC55D78-1107-4543-887F-9D7D028E80B8}">
      <text>
        <r>
          <rPr>
            <b/>
            <sz val="9"/>
            <color indexed="81"/>
            <rFont val="MS P ゴシック"/>
            <family val="3"/>
            <charset val="128"/>
          </rPr>
          <t>sunfashion:</t>
        </r>
        <r>
          <rPr>
            <sz val="9"/>
            <color indexed="81"/>
            <rFont val="MS P ゴシック"/>
            <family val="3"/>
            <charset val="128"/>
          </rPr>
          <t xml:space="preserve">
47%（max border  ÷0.53) 
レート125
</t>
        </r>
      </text>
    </comment>
    <comment ref="K1341" authorId="0" shapeId="0" xr:uid="{276D8F59-6563-4A8F-8770-C604A493BC1E}">
      <text>
        <r>
          <rPr>
            <b/>
            <sz val="9"/>
            <color indexed="81"/>
            <rFont val="MS P ゴシック"/>
            <family val="3"/>
            <charset val="128"/>
          </rPr>
          <t>sunfashion:</t>
        </r>
        <r>
          <rPr>
            <sz val="9"/>
            <color indexed="81"/>
            <rFont val="MS P ゴシック"/>
            <family val="3"/>
            <charset val="128"/>
          </rPr>
          <t xml:space="preserve">
47%（max border  ÷0.53) 
レート125
</t>
        </r>
      </text>
    </comment>
    <comment ref="K1342" authorId="0" shapeId="0" xr:uid="{4077319F-BAC3-40E8-A36C-0DD601C91BED}">
      <text>
        <r>
          <rPr>
            <b/>
            <sz val="9"/>
            <color indexed="81"/>
            <rFont val="MS P ゴシック"/>
            <family val="3"/>
            <charset val="128"/>
          </rPr>
          <t>sunfashion:</t>
        </r>
        <r>
          <rPr>
            <sz val="9"/>
            <color indexed="81"/>
            <rFont val="MS P ゴシック"/>
            <family val="3"/>
            <charset val="128"/>
          </rPr>
          <t xml:space="preserve">
47%（max border  ÷0.53) 
レート125
</t>
        </r>
      </text>
    </comment>
    <comment ref="K1343" authorId="0" shapeId="0" xr:uid="{7B6B1028-E32B-4094-9744-B74C3CE3E95E}">
      <text>
        <r>
          <rPr>
            <b/>
            <sz val="9"/>
            <color indexed="81"/>
            <rFont val="MS P ゴシック"/>
            <family val="3"/>
            <charset val="128"/>
          </rPr>
          <t>sunfashion:</t>
        </r>
        <r>
          <rPr>
            <sz val="9"/>
            <color indexed="81"/>
            <rFont val="MS P ゴシック"/>
            <family val="3"/>
            <charset val="128"/>
          </rPr>
          <t xml:space="preserve">
47%（max border  ÷0.53) 
レート125
</t>
        </r>
      </text>
    </comment>
    <comment ref="K1347" authorId="0" shapeId="0" xr:uid="{0958FBAC-D609-451D-AB5D-2C3AC57B520A}">
      <text>
        <r>
          <rPr>
            <b/>
            <sz val="9"/>
            <color indexed="81"/>
            <rFont val="MS P ゴシック"/>
            <family val="3"/>
            <charset val="128"/>
          </rPr>
          <t>sunfashion:</t>
        </r>
        <r>
          <rPr>
            <sz val="9"/>
            <color indexed="81"/>
            <rFont val="MS P ゴシック"/>
            <family val="3"/>
            <charset val="128"/>
          </rPr>
          <t xml:space="preserve">
47%（max border  ÷0.53) 
レート125
</t>
        </r>
      </text>
    </comment>
    <comment ref="K1351" authorId="0" shapeId="0" xr:uid="{9AE52141-0AE4-42A6-A50D-9CB474F418DD}">
      <text>
        <r>
          <rPr>
            <b/>
            <sz val="9"/>
            <color indexed="81"/>
            <rFont val="MS P ゴシック"/>
            <family val="3"/>
            <charset val="128"/>
          </rPr>
          <t>sunfashion:</t>
        </r>
        <r>
          <rPr>
            <sz val="9"/>
            <color indexed="81"/>
            <rFont val="MS P ゴシック"/>
            <family val="3"/>
            <charset val="128"/>
          </rPr>
          <t xml:space="preserve">
40 % 
125</t>
        </r>
      </text>
    </comment>
    <comment ref="E1355" authorId="0" shapeId="0" xr:uid="{0AB8E360-6C38-4BE1-AA42-E97442B65181}">
      <text>
        <r>
          <rPr>
            <b/>
            <sz val="9"/>
            <color indexed="81"/>
            <rFont val="MS P ゴシック"/>
            <family val="3"/>
            <charset val="128"/>
          </rPr>
          <t>sunfashion:</t>
        </r>
        <r>
          <rPr>
            <sz val="9"/>
            <color indexed="81"/>
            <rFont val="MS P ゴシック"/>
            <family val="3"/>
            <charset val="128"/>
          </rPr>
          <t xml:space="preserve">
KF4005
D/#F-3407
</t>
        </r>
      </text>
    </comment>
    <comment ref="K1355" authorId="0" shapeId="0" xr:uid="{A832DE3E-8324-4CA8-BE48-17005BC639F4}">
      <text>
        <r>
          <rPr>
            <b/>
            <sz val="9"/>
            <color indexed="81"/>
            <rFont val="MS P ゴシック"/>
            <family val="3"/>
            <charset val="128"/>
          </rPr>
          <t>sunfashion:</t>
        </r>
        <r>
          <rPr>
            <sz val="9"/>
            <color indexed="81"/>
            <rFont val="MS P ゴシック"/>
            <family val="3"/>
            <charset val="128"/>
          </rPr>
          <t xml:space="preserve">
25% 125円</t>
        </r>
      </text>
    </comment>
    <comment ref="K1359" authorId="0" shapeId="0" xr:uid="{107EA8C6-BB14-4764-B91A-AF2A82A66E30}">
      <text>
        <r>
          <rPr>
            <b/>
            <sz val="9"/>
            <color indexed="81"/>
            <rFont val="MS P ゴシック"/>
            <family val="3"/>
            <charset val="128"/>
          </rPr>
          <t>sunfashion:</t>
        </r>
        <r>
          <rPr>
            <sz val="9"/>
            <color indexed="81"/>
            <rFont val="MS P ゴシック"/>
            <family val="3"/>
            <charset val="128"/>
          </rPr>
          <t xml:space="preserve">
abt 40%
レート125
</t>
        </r>
      </text>
    </comment>
    <comment ref="K1360" authorId="0" shapeId="0" xr:uid="{78652131-B088-4707-9AA1-3AF95062957F}">
      <text>
        <r>
          <rPr>
            <b/>
            <sz val="9"/>
            <color indexed="81"/>
            <rFont val="MS P ゴシック"/>
            <family val="3"/>
            <charset val="128"/>
          </rPr>
          <t>sunfashion:</t>
        </r>
        <r>
          <rPr>
            <sz val="9"/>
            <color indexed="81"/>
            <rFont val="MS P ゴシック"/>
            <family val="3"/>
            <charset val="128"/>
          </rPr>
          <t xml:space="preserve">
abt 40%
レート125
</t>
        </r>
      </text>
    </comment>
    <comment ref="K1361" authorId="0" shapeId="0" xr:uid="{15945F0F-C2DD-4495-B2DB-76F554CF33C0}">
      <text>
        <r>
          <rPr>
            <b/>
            <sz val="9"/>
            <color indexed="81"/>
            <rFont val="MS P ゴシック"/>
            <family val="3"/>
            <charset val="128"/>
          </rPr>
          <t>sunfashion:</t>
        </r>
        <r>
          <rPr>
            <sz val="9"/>
            <color indexed="81"/>
            <rFont val="MS P ゴシック"/>
            <family val="3"/>
            <charset val="128"/>
          </rPr>
          <t xml:space="preserve">
abt 40%
レート125
</t>
        </r>
      </text>
    </comment>
    <comment ref="K1362" authorId="0" shapeId="0" xr:uid="{477474E5-E10D-4CF8-9D9F-1459594F26DE}">
      <text>
        <r>
          <rPr>
            <b/>
            <sz val="9"/>
            <color indexed="81"/>
            <rFont val="MS P ゴシック"/>
            <family val="3"/>
            <charset val="128"/>
          </rPr>
          <t>sunfashion:</t>
        </r>
        <r>
          <rPr>
            <sz val="9"/>
            <color indexed="81"/>
            <rFont val="MS P ゴシック"/>
            <family val="3"/>
            <charset val="128"/>
          </rPr>
          <t xml:space="preserve">
abt 40%
レート125
</t>
        </r>
      </text>
    </comment>
    <comment ref="K1363" authorId="0" shapeId="0" xr:uid="{106F69DB-4DF7-46BC-9D85-15C8DE3D1560}">
      <text>
        <r>
          <rPr>
            <b/>
            <sz val="9"/>
            <color indexed="81"/>
            <rFont val="MS P ゴシック"/>
            <family val="3"/>
            <charset val="128"/>
          </rPr>
          <t>sunfashion:</t>
        </r>
        <r>
          <rPr>
            <sz val="9"/>
            <color indexed="81"/>
            <rFont val="MS P ゴシック"/>
            <family val="3"/>
            <charset val="128"/>
          </rPr>
          <t xml:space="preserve">
abt 40%
レート125
</t>
        </r>
      </text>
    </comment>
    <comment ref="E1367" authorId="1" shapeId="0" xr:uid="{7ABE044B-B933-44EA-A8FC-CFD67C4DCEB8}">
      <text>
        <r>
          <rPr>
            <b/>
            <sz val="9"/>
            <color indexed="81"/>
            <rFont val="MS P ゴシック"/>
            <family val="3"/>
            <charset val="128"/>
          </rPr>
          <t>chiba:</t>
        </r>
        <r>
          <rPr>
            <sz val="9"/>
            <color indexed="81"/>
            <rFont val="MS P ゴシック"/>
            <family val="3"/>
            <charset val="128"/>
          </rPr>
          <t xml:space="preserve">
PI# 5058
</t>
        </r>
      </text>
    </comment>
    <comment ref="K1367" authorId="0" shapeId="0" xr:uid="{5274F300-2962-4F49-ACE7-0EE367608A41}">
      <text>
        <r>
          <rPr>
            <b/>
            <sz val="9"/>
            <color indexed="81"/>
            <rFont val="MS P ゴシック"/>
            <family val="3"/>
            <charset val="128"/>
          </rPr>
          <t>sunfashion:</t>
        </r>
        <r>
          <rPr>
            <sz val="9"/>
            <color indexed="81"/>
            <rFont val="MS P ゴシック"/>
            <family val="3"/>
            <charset val="128"/>
          </rPr>
          <t xml:space="preserve">
abt 40%
レート125
</t>
        </r>
      </text>
    </comment>
    <comment ref="K1368" authorId="0" shapeId="0" xr:uid="{9AECB7BC-F53C-4878-A826-73B44146EE88}">
      <text>
        <r>
          <rPr>
            <b/>
            <sz val="9"/>
            <color indexed="81"/>
            <rFont val="MS P ゴシック"/>
            <family val="3"/>
            <charset val="128"/>
          </rPr>
          <t>sunfashion:</t>
        </r>
        <r>
          <rPr>
            <sz val="9"/>
            <color indexed="81"/>
            <rFont val="MS P ゴシック"/>
            <family val="3"/>
            <charset val="128"/>
          </rPr>
          <t xml:space="preserve">
abt 40%
レート125
</t>
        </r>
      </text>
    </comment>
    <comment ref="K1369" authorId="0" shapeId="0" xr:uid="{C5D1350A-144E-4973-B52E-694180C833CE}">
      <text>
        <r>
          <rPr>
            <b/>
            <sz val="9"/>
            <color indexed="81"/>
            <rFont val="MS P ゴシック"/>
            <family val="3"/>
            <charset val="128"/>
          </rPr>
          <t>sunfashion:</t>
        </r>
        <r>
          <rPr>
            <sz val="9"/>
            <color indexed="81"/>
            <rFont val="MS P ゴシック"/>
            <family val="3"/>
            <charset val="128"/>
          </rPr>
          <t xml:space="preserve">
abt 40%
レート125
</t>
        </r>
      </text>
    </comment>
    <comment ref="K1370" authorId="0" shapeId="0" xr:uid="{41CFD5D5-427D-4467-AE21-D4B1622B3195}">
      <text>
        <r>
          <rPr>
            <b/>
            <sz val="9"/>
            <color indexed="81"/>
            <rFont val="MS P ゴシック"/>
            <family val="3"/>
            <charset val="128"/>
          </rPr>
          <t>sunfashion:</t>
        </r>
        <r>
          <rPr>
            <sz val="9"/>
            <color indexed="81"/>
            <rFont val="MS P ゴシック"/>
            <family val="3"/>
            <charset val="128"/>
          </rPr>
          <t xml:space="preserve">
abt 40%
レート125
</t>
        </r>
      </text>
    </comment>
    <comment ref="K1371" authorId="0" shapeId="0" xr:uid="{4CD8D116-65EF-4376-A73A-C0CB1625CE10}">
      <text>
        <r>
          <rPr>
            <b/>
            <sz val="9"/>
            <color indexed="81"/>
            <rFont val="MS P ゴシック"/>
            <family val="3"/>
            <charset val="128"/>
          </rPr>
          <t>sunfashion:</t>
        </r>
        <r>
          <rPr>
            <sz val="9"/>
            <color indexed="81"/>
            <rFont val="MS P ゴシック"/>
            <family val="3"/>
            <charset val="128"/>
          </rPr>
          <t xml:space="preserve">
abt 40%
レート125
</t>
        </r>
      </text>
    </comment>
    <comment ref="E1373" authorId="0" shapeId="0" xr:uid="{8FA52449-E13B-4996-AC75-24DF31C13F69}">
      <text>
        <r>
          <rPr>
            <b/>
            <sz val="9"/>
            <color indexed="81"/>
            <rFont val="MS P ゴシック"/>
            <family val="3"/>
            <charset val="128"/>
          </rPr>
          <t>sunfashion:</t>
        </r>
        <r>
          <rPr>
            <sz val="9"/>
            <color indexed="81"/>
            <rFont val="MS P ゴシック"/>
            <family val="3"/>
            <charset val="128"/>
          </rPr>
          <t xml:space="preserve">
無償サンプルの運賃</t>
        </r>
      </text>
    </comment>
    <comment ref="E1375" authorId="1" shapeId="0" xr:uid="{B01A9AD1-B75E-4622-A703-50BB93516D90}">
      <text>
        <r>
          <rPr>
            <b/>
            <sz val="9"/>
            <color indexed="81"/>
            <rFont val="MS P ゴシック"/>
            <family val="3"/>
            <charset val="128"/>
          </rPr>
          <t>chiba:</t>
        </r>
        <r>
          <rPr>
            <sz val="9"/>
            <color indexed="81"/>
            <rFont val="MS P ゴシック"/>
            <family val="3"/>
            <charset val="128"/>
          </rPr>
          <t xml:space="preserve">
PI# 5078</t>
        </r>
      </text>
    </comment>
    <comment ref="K1375" authorId="0" shapeId="0" xr:uid="{30BE9A72-AC69-443D-890B-F2B2236E8AD1}">
      <text>
        <r>
          <rPr>
            <b/>
            <sz val="9"/>
            <color indexed="81"/>
            <rFont val="MS P ゴシック"/>
            <family val="3"/>
            <charset val="128"/>
          </rPr>
          <t>sunfashion:</t>
        </r>
        <r>
          <rPr>
            <sz val="9"/>
            <color indexed="81"/>
            <rFont val="MS P ゴシック"/>
            <family val="3"/>
            <charset val="128"/>
          </rPr>
          <t xml:space="preserve">
47%（max border  ÷0.53) 
レート125
</t>
        </r>
      </text>
    </comment>
    <comment ref="K1376" authorId="0" shapeId="0" xr:uid="{13B09DA7-0504-4FAF-B89A-1E41D1E63A9E}">
      <text>
        <r>
          <rPr>
            <b/>
            <sz val="9"/>
            <color indexed="81"/>
            <rFont val="MS P ゴシック"/>
            <family val="3"/>
            <charset val="128"/>
          </rPr>
          <t>sunfashion:</t>
        </r>
        <r>
          <rPr>
            <sz val="9"/>
            <color indexed="81"/>
            <rFont val="MS P ゴシック"/>
            <family val="3"/>
            <charset val="128"/>
          </rPr>
          <t xml:space="preserve">
47%（max border  ÷0.53) 
レート125
</t>
        </r>
      </text>
    </comment>
    <comment ref="K1377" authorId="0" shapeId="0" xr:uid="{2990D80E-A696-4316-A87D-7A98F7A5446D}">
      <text>
        <r>
          <rPr>
            <b/>
            <sz val="9"/>
            <color indexed="81"/>
            <rFont val="MS P ゴシック"/>
            <family val="3"/>
            <charset val="128"/>
          </rPr>
          <t>sunfashion:</t>
        </r>
        <r>
          <rPr>
            <sz val="9"/>
            <color indexed="81"/>
            <rFont val="MS P ゴシック"/>
            <family val="3"/>
            <charset val="128"/>
          </rPr>
          <t xml:space="preserve">
47%（max border  ÷0.53) 
レート125
</t>
        </r>
      </text>
    </comment>
    <comment ref="K1381" authorId="0" shapeId="0" xr:uid="{160A492D-E8BF-46FF-A69F-C5F4BFB2E506}">
      <text>
        <r>
          <rPr>
            <b/>
            <sz val="9"/>
            <color indexed="81"/>
            <rFont val="MS P ゴシック"/>
            <family val="3"/>
            <charset val="128"/>
          </rPr>
          <t>sunfashion:</t>
        </r>
        <r>
          <rPr>
            <sz val="9"/>
            <color indexed="81"/>
            <rFont val="MS P ゴシック"/>
            <family val="3"/>
            <charset val="128"/>
          </rPr>
          <t xml:space="preserve">
abt 40%
レート125
</t>
        </r>
      </text>
    </comment>
    <comment ref="P1381" authorId="0" shapeId="0" xr:uid="{891301A6-2A89-4C39-8771-9601201BDADC}">
      <text>
        <r>
          <rPr>
            <b/>
            <sz val="9"/>
            <color indexed="81"/>
            <rFont val="MS P ゴシック"/>
            <family val="3"/>
            <charset val="128"/>
          </rPr>
          <t>sunfashion:</t>
        </r>
        <r>
          <rPr>
            <sz val="9"/>
            <color indexed="81"/>
            <rFont val="MS P ゴシック"/>
            <family val="3"/>
            <charset val="128"/>
          </rPr>
          <t xml:space="preserve">
通常単価：65円
30反以下は2割up</t>
        </r>
      </text>
    </comment>
    <comment ref="K1382" authorId="0" shapeId="0" xr:uid="{E68A0EBA-A96F-403A-A166-69C2B4A86DE3}">
      <text>
        <r>
          <rPr>
            <b/>
            <sz val="9"/>
            <color indexed="81"/>
            <rFont val="MS P ゴシック"/>
            <family val="3"/>
            <charset val="128"/>
          </rPr>
          <t>sunfashion:</t>
        </r>
        <r>
          <rPr>
            <sz val="9"/>
            <color indexed="81"/>
            <rFont val="MS P ゴシック"/>
            <family val="3"/>
            <charset val="128"/>
          </rPr>
          <t xml:space="preserve">
abt 40%
レート125
</t>
        </r>
      </text>
    </comment>
    <comment ref="P1382" authorId="0" shapeId="0" xr:uid="{DFBB35D8-7C45-477D-8769-5C3F33F55E10}">
      <text>
        <r>
          <rPr>
            <b/>
            <sz val="9"/>
            <color indexed="81"/>
            <rFont val="MS P ゴシック"/>
            <family val="3"/>
            <charset val="128"/>
          </rPr>
          <t>sunfashion:</t>
        </r>
        <r>
          <rPr>
            <sz val="9"/>
            <color indexed="81"/>
            <rFont val="MS P ゴシック"/>
            <family val="3"/>
            <charset val="128"/>
          </rPr>
          <t xml:space="preserve">
通常単価：65円
30反以下は2割up</t>
        </r>
      </text>
    </comment>
    <comment ref="K1384" authorId="0" shapeId="0" xr:uid="{526ACDAD-EFEF-46CD-B3B4-CF3AD517BA2B}">
      <text>
        <r>
          <rPr>
            <b/>
            <sz val="9"/>
            <color indexed="81"/>
            <rFont val="MS P ゴシック"/>
            <family val="3"/>
            <charset val="128"/>
          </rPr>
          <t>sunfashion:</t>
        </r>
        <r>
          <rPr>
            <sz val="9"/>
            <color indexed="81"/>
            <rFont val="MS P ゴシック"/>
            <family val="3"/>
            <charset val="128"/>
          </rPr>
          <t xml:space="preserve">
abt 40%
レート125
</t>
        </r>
      </text>
    </comment>
    <comment ref="P1384" authorId="0" shapeId="0" xr:uid="{46C28025-9047-4200-B1C2-A404F440CF75}">
      <text>
        <r>
          <rPr>
            <b/>
            <sz val="9"/>
            <color indexed="81"/>
            <rFont val="MS P ゴシック"/>
            <family val="3"/>
            <charset val="128"/>
          </rPr>
          <t>sunfashion:</t>
        </r>
        <r>
          <rPr>
            <sz val="9"/>
            <color indexed="81"/>
            <rFont val="MS P ゴシック"/>
            <family val="3"/>
            <charset val="128"/>
          </rPr>
          <t xml:space="preserve">
通常単価85円
30反以下は3割up</t>
        </r>
      </text>
    </comment>
    <comment ref="Q1384" authorId="1" shapeId="0" xr:uid="{15C74952-97BE-45EF-94A4-344823F04787}">
      <text>
        <r>
          <rPr>
            <b/>
            <sz val="9"/>
            <color indexed="81"/>
            <rFont val="MS P ゴシック"/>
            <family val="3"/>
            <charset val="128"/>
          </rPr>
          <t>chiba:</t>
        </r>
        <r>
          <rPr>
            <sz val="9"/>
            <color indexed="81"/>
            <rFont val="MS P ゴシック"/>
            <family val="3"/>
            <charset val="128"/>
          </rPr>
          <t xml:space="preserve">
本来は3315円だけど、伝票間違いで2805</t>
        </r>
      </text>
    </comment>
    <comment ref="K1385" authorId="0" shapeId="0" xr:uid="{67844B90-54D1-4CB0-A32D-C29484F9A4A6}">
      <text>
        <r>
          <rPr>
            <b/>
            <sz val="9"/>
            <color indexed="81"/>
            <rFont val="MS P ゴシック"/>
            <family val="3"/>
            <charset val="128"/>
          </rPr>
          <t>sunfashion:</t>
        </r>
        <r>
          <rPr>
            <sz val="9"/>
            <color indexed="81"/>
            <rFont val="MS P ゴシック"/>
            <family val="3"/>
            <charset val="128"/>
          </rPr>
          <t xml:space="preserve">
abt 40%
レート125
</t>
        </r>
      </text>
    </comment>
    <comment ref="P1385" authorId="0" shapeId="0" xr:uid="{56063185-E838-42BB-BDC1-FA5C93A663E0}">
      <text>
        <r>
          <rPr>
            <b/>
            <sz val="9"/>
            <color indexed="81"/>
            <rFont val="MS P ゴシック"/>
            <family val="3"/>
            <charset val="128"/>
          </rPr>
          <t>sunfashion:</t>
        </r>
        <r>
          <rPr>
            <sz val="9"/>
            <color indexed="81"/>
            <rFont val="MS P ゴシック"/>
            <family val="3"/>
            <charset val="128"/>
          </rPr>
          <t xml:space="preserve">
通常単価85円
30反以下は3割up</t>
        </r>
      </text>
    </comment>
    <comment ref="Q1385" authorId="1" shapeId="0" xr:uid="{E978749F-5CB6-4D09-8E9F-51ECF0E0C73B}">
      <text>
        <r>
          <rPr>
            <b/>
            <sz val="9"/>
            <color indexed="81"/>
            <rFont val="MS P ゴシック"/>
            <family val="3"/>
            <charset val="128"/>
          </rPr>
          <t>chiba:</t>
        </r>
        <r>
          <rPr>
            <sz val="9"/>
            <color indexed="81"/>
            <rFont val="MS P ゴシック"/>
            <family val="3"/>
            <charset val="128"/>
          </rPr>
          <t xml:space="preserve">
本来は3315円だけど、伝票間違いで2805</t>
        </r>
      </text>
    </comment>
    <comment ref="E1389" authorId="1" shapeId="0" xr:uid="{1DCBF01D-14FA-46A4-8901-AEEED78600A2}">
      <text>
        <r>
          <rPr>
            <b/>
            <sz val="9"/>
            <color indexed="81"/>
            <rFont val="MS P ゴシック"/>
            <family val="3"/>
            <charset val="128"/>
          </rPr>
          <t>chiba:</t>
        </r>
        <r>
          <rPr>
            <sz val="9"/>
            <color indexed="81"/>
            <rFont val="MS P ゴシック"/>
            <family val="3"/>
            <charset val="128"/>
          </rPr>
          <t xml:space="preserve">
弱撥水樹脂</t>
        </r>
      </text>
    </comment>
    <comment ref="K1389" authorId="1" shapeId="0" xr:uid="{D26DAEF5-8CE6-4306-8DF1-846A82CB4419}">
      <text>
        <r>
          <rPr>
            <b/>
            <sz val="9"/>
            <color indexed="81"/>
            <rFont val="MS P ゴシック"/>
            <family val="3"/>
            <charset val="128"/>
          </rPr>
          <t>chiba:</t>
        </r>
        <r>
          <rPr>
            <sz val="9"/>
            <color indexed="81"/>
            <rFont val="MS P ゴシック"/>
            <family val="3"/>
            <charset val="128"/>
          </rPr>
          <t xml:space="preserve">
前回バルク単価キープ
通常単価30% 
レート125円
</t>
        </r>
        <r>
          <rPr>
            <sz val="9"/>
            <color indexed="81"/>
            <rFont val="ＭＳ Ｐゴシック"/>
            <family val="3"/>
            <charset val="128"/>
          </rPr>
          <t>€</t>
        </r>
        <r>
          <rPr>
            <sz val="9"/>
            <color indexed="81"/>
            <rFont val="MS P ゴシック"/>
            <family val="3"/>
            <charset val="128"/>
          </rPr>
          <t xml:space="preserve"> 20.35/m
+カット代 </t>
        </r>
        <r>
          <rPr>
            <sz val="9"/>
            <color indexed="81"/>
            <rFont val="ＭＳ Ｐゴシック"/>
            <family val="3"/>
            <charset val="128"/>
          </rPr>
          <t>€</t>
        </r>
        <r>
          <rPr>
            <sz val="9"/>
            <color indexed="81"/>
            <rFont val="MS P ゴシック"/>
            <family val="3"/>
            <charset val="128"/>
          </rPr>
          <t xml:space="preserve">3/m </t>
        </r>
      </text>
    </comment>
    <comment ref="K1393" authorId="0" shapeId="0" xr:uid="{88CC22AE-64B1-4C83-8D7F-5BA344979807}">
      <text>
        <r>
          <rPr>
            <b/>
            <sz val="9"/>
            <color indexed="81"/>
            <rFont val="MS P ゴシック"/>
            <family val="3"/>
            <charset val="128"/>
          </rPr>
          <t>sunfashion:</t>
        </r>
        <r>
          <rPr>
            <sz val="9"/>
            <color indexed="81"/>
            <rFont val="MS P ゴシック"/>
            <family val="3"/>
            <charset val="128"/>
          </rPr>
          <t xml:space="preserve">
47%（max border  ÷0.53) 
レート125</t>
        </r>
      </text>
    </comment>
    <comment ref="K1394" authorId="0" shapeId="0" xr:uid="{7B90F0A3-3F96-4895-916F-515084F749A2}">
      <text>
        <r>
          <rPr>
            <b/>
            <sz val="9"/>
            <color indexed="81"/>
            <rFont val="MS P ゴシック"/>
            <family val="3"/>
            <charset val="128"/>
          </rPr>
          <t>sunfashion:</t>
        </r>
        <r>
          <rPr>
            <sz val="9"/>
            <color indexed="81"/>
            <rFont val="MS P ゴシック"/>
            <family val="3"/>
            <charset val="128"/>
          </rPr>
          <t xml:space="preserve">
47%（max border  ÷0.53) 
レート125</t>
        </r>
      </text>
    </comment>
    <comment ref="K1395" authorId="0" shapeId="0" xr:uid="{4CE847D9-92AF-43B3-B2A1-2888A000E05A}">
      <text>
        <r>
          <rPr>
            <b/>
            <sz val="9"/>
            <color indexed="81"/>
            <rFont val="MS P ゴシック"/>
            <family val="3"/>
            <charset val="128"/>
          </rPr>
          <t>sunfashion:</t>
        </r>
        <r>
          <rPr>
            <sz val="9"/>
            <color indexed="81"/>
            <rFont val="MS P ゴシック"/>
            <family val="3"/>
            <charset val="128"/>
          </rPr>
          <t xml:space="preserve">
47%（max border  ÷0.53) 
レート125</t>
        </r>
      </text>
    </comment>
    <comment ref="K1397" authorId="0" shapeId="0" xr:uid="{2F621707-B67C-4648-88BD-36C773F4FE7E}">
      <text>
        <r>
          <rPr>
            <b/>
            <sz val="9"/>
            <color indexed="81"/>
            <rFont val="MS P ゴシック"/>
            <family val="3"/>
            <charset val="128"/>
          </rPr>
          <t>sunfashion:</t>
        </r>
        <r>
          <rPr>
            <sz val="9"/>
            <color indexed="81"/>
            <rFont val="MS P ゴシック"/>
            <family val="3"/>
            <charset val="128"/>
          </rPr>
          <t xml:space="preserve">
47%（max border  ÷0.53) 
レート125</t>
        </r>
      </text>
    </comment>
    <comment ref="K1398" authorId="0" shapeId="0" xr:uid="{976AB95E-A6D4-4F5E-9A0D-CDE6256AE58D}">
      <text>
        <r>
          <rPr>
            <b/>
            <sz val="9"/>
            <color indexed="81"/>
            <rFont val="MS P ゴシック"/>
            <family val="3"/>
            <charset val="128"/>
          </rPr>
          <t>sunfashion:</t>
        </r>
        <r>
          <rPr>
            <sz val="9"/>
            <color indexed="81"/>
            <rFont val="MS P ゴシック"/>
            <family val="3"/>
            <charset val="128"/>
          </rPr>
          <t xml:space="preserve">
47%（max border  ÷0.53) 
レート125</t>
        </r>
      </text>
    </comment>
    <comment ref="K1399" authorId="0" shapeId="0" xr:uid="{CABAEAF8-4EC9-4255-BBCF-272BEF09E99F}">
      <text>
        <r>
          <rPr>
            <b/>
            <sz val="9"/>
            <color indexed="81"/>
            <rFont val="MS P ゴシック"/>
            <family val="3"/>
            <charset val="128"/>
          </rPr>
          <t>sunfashion:</t>
        </r>
        <r>
          <rPr>
            <sz val="9"/>
            <color indexed="81"/>
            <rFont val="MS P ゴシック"/>
            <family val="3"/>
            <charset val="128"/>
          </rPr>
          <t xml:space="preserve">
47%（max border  ÷0.53) 
レート125</t>
        </r>
      </text>
    </comment>
    <comment ref="K1403" authorId="0" shapeId="0" xr:uid="{E9C9E7C8-C21F-4382-9DE3-636E9F7E792E}">
      <text>
        <r>
          <rPr>
            <b/>
            <sz val="9"/>
            <color indexed="81"/>
            <rFont val="MS P ゴシック"/>
            <family val="3"/>
            <charset val="128"/>
          </rPr>
          <t>sunfashion:</t>
        </r>
        <r>
          <rPr>
            <sz val="9"/>
            <color indexed="81"/>
            <rFont val="MS P ゴシック"/>
            <family val="3"/>
            <charset val="128"/>
          </rPr>
          <t xml:space="preserve">
47%（max border  ÷0.53) 
レート125
</t>
        </r>
      </text>
    </comment>
    <comment ref="K1404" authorId="0" shapeId="0" xr:uid="{22B7045D-0700-4600-ADC6-6506270502E0}">
      <text>
        <r>
          <rPr>
            <b/>
            <sz val="9"/>
            <color indexed="81"/>
            <rFont val="MS P ゴシック"/>
            <family val="3"/>
            <charset val="128"/>
          </rPr>
          <t>sunfashion:</t>
        </r>
        <r>
          <rPr>
            <sz val="9"/>
            <color indexed="81"/>
            <rFont val="MS P ゴシック"/>
            <family val="3"/>
            <charset val="128"/>
          </rPr>
          <t xml:space="preserve">
47%（max border  ÷0.53) 
レート125
</t>
        </r>
      </text>
    </comment>
    <comment ref="K1408" authorId="0" shapeId="0" xr:uid="{B80B19E5-1E12-4A9C-8DC2-C30C5EE918BD}">
      <text>
        <r>
          <rPr>
            <b/>
            <sz val="9"/>
            <color indexed="81"/>
            <rFont val="MS P ゴシック"/>
            <family val="3"/>
            <charset val="128"/>
          </rPr>
          <t>sunfashion:</t>
        </r>
        <r>
          <rPr>
            <sz val="9"/>
            <color indexed="81"/>
            <rFont val="MS P ゴシック"/>
            <family val="3"/>
            <charset val="128"/>
          </rPr>
          <t xml:space="preserve">
30% 
125</t>
        </r>
      </text>
    </comment>
    <comment ref="K1409" authorId="0" shapeId="0" xr:uid="{374376D1-F834-46A9-9AF3-212C2A9F4485}">
      <text>
        <r>
          <rPr>
            <b/>
            <sz val="9"/>
            <color indexed="81"/>
            <rFont val="MS P ゴシック"/>
            <family val="3"/>
            <charset val="128"/>
          </rPr>
          <t>sunfashion:</t>
        </r>
        <r>
          <rPr>
            <sz val="9"/>
            <color indexed="81"/>
            <rFont val="MS P ゴシック"/>
            <family val="3"/>
            <charset val="128"/>
          </rPr>
          <t xml:space="preserve">
30% 
125</t>
        </r>
      </text>
    </comment>
    <comment ref="K1410" authorId="0" shapeId="0" xr:uid="{E8E1E238-0F0D-4690-9FD5-1E2B1857ACA7}">
      <text>
        <r>
          <rPr>
            <b/>
            <sz val="9"/>
            <color indexed="81"/>
            <rFont val="MS P ゴシック"/>
            <family val="3"/>
            <charset val="128"/>
          </rPr>
          <t>sunfashion:</t>
        </r>
        <r>
          <rPr>
            <sz val="9"/>
            <color indexed="81"/>
            <rFont val="MS P ゴシック"/>
            <family val="3"/>
            <charset val="128"/>
          </rPr>
          <t xml:space="preserve">
前回単価に合わせて
67% （÷0.33)
125円</t>
        </r>
      </text>
    </comment>
    <comment ref="K1411" authorId="0" shapeId="0" xr:uid="{3C406C78-ADD8-4EFA-82F6-581D743A6A77}">
      <text>
        <r>
          <rPr>
            <b/>
            <sz val="9"/>
            <color indexed="81"/>
            <rFont val="MS P ゴシック"/>
            <family val="3"/>
            <charset val="128"/>
          </rPr>
          <t>sunfashion:</t>
        </r>
        <r>
          <rPr>
            <sz val="9"/>
            <color indexed="81"/>
            <rFont val="MS P ゴシック"/>
            <family val="3"/>
            <charset val="128"/>
          </rPr>
          <t xml:space="preserve">
47%（max border  ÷0.53) 
レート125
</t>
        </r>
      </text>
    </comment>
    <comment ref="K1415" authorId="0" shapeId="0" xr:uid="{10BA54DB-6A67-43A4-972C-C993CEB1DCCE}">
      <text>
        <r>
          <rPr>
            <b/>
            <sz val="9"/>
            <color indexed="81"/>
            <rFont val="MS P ゴシック"/>
            <family val="3"/>
            <charset val="128"/>
          </rPr>
          <t>sunfashion:</t>
        </r>
        <r>
          <rPr>
            <sz val="9"/>
            <color indexed="81"/>
            <rFont val="MS P ゴシック"/>
            <family val="3"/>
            <charset val="128"/>
          </rPr>
          <t xml:space="preserve">
47%（max border  ÷0.53) 
レート125
</t>
        </r>
      </text>
    </comment>
    <comment ref="K1419" authorId="0" shapeId="0" xr:uid="{B41FB145-571E-4DCB-94ED-8D0C124B78AA}">
      <text>
        <r>
          <rPr>
            <b/>
            <sz val="9"/>
            <color indexed="81"/>
            <rFont val="MS P ゴシック"/>
            <family val="3"/>
            <charset val="128"/>
          </rPr>
          <t>sunfashion:</t>
        </r>
        <r>
          <rPr>
            <sz val="9"/>
            <color indexed="81"/>
            <rFont val="MS P ゴシック"/>
            <family val="3"/>
            <charset val="128"/>
          </rPr>
          <t xml:space="preserve">
abt 40%
レート125
</t>
        </r>
      </text>
    </comment>
    <comment ref="E1423" authorId="1" shapeId="0" xr:uid="{C2AF151F-E2F4-49D8-AE50-64AAED9ED10D}">
      <text>
        <r>
          <rPr>
            <b/>
            <sz val="9"/>
            <color indexed="81"/>
            <rFont val="MS P ゴシック"/>
            <family val="3"/>
            <charset val="128"/>
          </rPr>
          <t>chiba:</t>
        </r>
        <r>
          <rPr>
            <sz val="9"/>
            <color indexed="81"/>
            <rFont val="MS P ゴシック"/>
            <family val="3"/>
            <charset val="128"/>
          </rPr>
          <t xml:space="preserve">
PI# 5256</t>
        </r>
      </text>
    </comment>
    <comment ref="K1423" authorId="0" shapeId="0" xr:uid="{A532AD75-1793-4337-B33D-A5078392768F}">
      <text>
        <r>
          <rPr>
            <b/>
            <sz val="9"/>
            <color indexed="81"/>
            <rFont val="MS P ゴシック"/>
            <family val="3"/>
            <charset val="128"/>
          </rPr>
          <t>sunfashion:</t>
        </r>
        <r>
          <rPr>
            <sz val="9"/>
            <color indexed="81"/>
            <rFont val="MS P ゴシック"/>
            <family val="3"/>
            <charset val="128"/>
          </rPr>
          <t xml:space="preserve">
abt 40%
レート125
</t>
        </r>
      </text>
    </comment>
    <comment ref="E1427" authorId="0" shapeId="0" xr:uid="{F4754AA1-132F-4304-8E64-97CBF8DBDC96}">
      <text>
        <r>
          <rPr>
            <b/>
            <sz val="9"/>
            <color indexed="81"/>
            <rFont val="MS P ゴシック"/>
            <family val="3"/>
            <charset val="128"/>
          </rPr>
          <t>sunfashion:</t>
        </r>
        <r>
          <rPr>
            <sz val="9"/>
            <color indexed="81"/>
            <rFont val="MS P ゴシック"/>
            <family val="3"/>
            <charset val="128"/>
          </rPr>
          <t xml:space="preserve">
KF4005
D/#F-3407
</t>
        </r>
      </text>
    </comment>
    <comment ref="K1427" authorId="0" shapeId="0" xr:uid="{86D88C01-0A20-4B89-92ED-46A30334783B}">
      <text>
        <r>
          <rPr>
            <b/>
            <sz val="9"/>
            <color indexed="81"/>
            <rFont val="MS P ゴシック"/>
            <family val="3"/>
            <charset val="128"/>
          </rPr>
          <t>sunfashion:</t>
        </r>
        <r>
          <rPr>
            <sz val="9"/>
            <color indexed="81"/>
            <rFont val="MS P ゴシック"/>
            <family val="3"/>
            <charset val="128"/>
          </rPr>
          <t xml:space="preserve">
25% 125円</t>
        </r>
      </text>
    </comment>
    <comment ref="K1431" authorId="0" shapeId="0" xr:uid="{4F12A57B-888D-4B9E-86A7-36CDC4745CCF}">
      <text>
        <r>
          <rPr>
            <b/>
            <sz val="9"/>
            <color indexed="81"/>
            <rFont val="MS P ゴシック"/>
            <family val="3"/>
            <charset val="128"/>
          </rPr>
          <t>sunfashion:</t>
        </r>
        <r>
          <rPr>
            <sz val="9"/>
            <color indexed="81"/>
            <rFont val="MS P ゴシック"/>
            <family val="3"/>
            <charset val="128"/>
          </rPr>
          <t xml:space="preserve">
30% 
125</t>
        </r>
      </text>
    </comment>
    <comment ref="K1435" authorId="0" shapeId="0" xr:uid="{94EF8530-8351-4B1E-B6F5-0858D6CB2D60}">
      <text>
        <r>
          <rPr>
            <b/>
            <sz val="9"/>
            <color indexed="81"/>
            <rFont val="MS P ゴシック"/>
            <family val="3"/>
            <charset val="128"/>
          </rPr>
          <t>sunfashion:</t>
        </r>
        <r>
          <rPr>
            <sz val="9"/>
            <color indexed="81"/>
            <rFont val="MS P ゴシック"/>
            <family val="3"/>
            <charset val="128"/>
          </rPr>
          <t xml:space="preserve">
30% 
125</t>
        </r>
      </text>
    </comment>
    <comment ref="K1443" authorId="0" shapeId="0" xr:uid="{65C8645B-88B0-4644-B9E2-644C5A985417}">
      <text>
        <r>
          <rPr>
            <b/>
            <sz val="9"/>
            <color indexed="81"/>
            <rFont val="MS P ゴシック"/>
            <family val="3"/>
            <charset val="128"/>
          </rPr>
          <t>sunfashion:</t>
        </r>
        <r>
          <rPr>
            <sz val="9"/>
            <color indexed="81"/>
            <rFont val="MS P ゴシック"/>
            <family val="3"/>
            <charset val="128"/>
          </rPr>
          <t xml:space="preserve">
abt 40%
レート125
</t>
        </r>
      </text>
    </comment>
    <comment ref="K1472" authorId="0" shapeId="0" xr:uid="{5E201D21-407A-434B-B45B-1CCDB4066C05}">
      <text>
        <r>
          <rPr>
            <b/>
            <sz val="9"/>
            <color indexed="81"/>
            <rFont val="MS P ゴシック"/>
            <family val="3"/>
            <charset val="128"/>
          </rPr>
          <t>sunfashion:</t>
        </r>
        <r>
          <rPr>
            <sz val="9"/>
            <color indexed="81"/>
            <rFont val="MS P ゴシック"/>
            <family val="3"/>
            <charset val="128"/>
          </rPr>
          <t xml:space="preserve">
abt 40%
レート125
</t>
        </r>
      </text>
    </comment>
    <comment ref="E1476" authorId="0" shapeId="0" xr:uid="{E54A36DD-3164-458D-8E21-AF792342A1B9}">
      <text>
        <r>
          <rPr>
            <b/>
            <sz val="9"/>
            <color indexed="81"/>
            <rFont val="MS P ゴシック"/>
            <family val="3"/>
            <charset val="128"/>
          </rPr>
          <t>sunfashion:</t>
        </r>
        <r>
          <rPr>
            <sz val="9"/>
            <color indexed="81"/>
            <rFont val="MS P ゴシック"/>
            <family val="3"/>
            <charset val="128"/>
          </rPr>
          <t xml:space="preserve">
KF4005
D/#F-3407
</t>
        </r>
      </text>
    </comment>
    <comment ref="P1476" authorId="1" shapeId="0" xr:uid="{7C1AA89C-36FD-41DE-8D26-6EE35D8A3C90}">
      <text>
        <r>
          <rPr>
            <b/>
            <sz val="9"/>
            <color indexed="81"/>
            <rFont val="MS P ゴシック"/>
            <family val="3"/>
            <charset val="128"/>
          </rPr>
          <t>chiba:</t>
        </r>
        <r>
          <rPr>
            <sz val="9"/>
            <color indexed="81"/>
            <rFont val="MS P ゴシック"/>
            <family val="3"/>
            <charset val="128"/>
          </rPr>
          <t xml:space="preserve">
見積もりは輸出梱包+30で計算</t>
        </r>
      </text>
    </comment>
    <comment ref="E1477" authorId="0" shapeId="0" xr:uid="{95E7D23C-E63A-43A3-85B8-625605B9BF90}">
      <text>
        <r>
          <rPr>
            <b/>
            <sz val="9"/>
            <color indexed="81"/>
            <rFont val="MS P ゴシック"/>
            <family val="3"/>
            <charset val="128"/>
          </rPr>
          <t>sunfashion:</t>
        </r>
        <r>
          <rPr>
            <sz val="9"/>
            <color indexed="81"/>
            <rFont val="MS P ゴシック"/>
            <family val="3"/>
            <charset val="128"/>
          </rPr>
          <t xml:space="preserve">
KF4005
D/#F-3407
</t>
        </r>
      </text>
    </comment>
    <comment ref="P1477" authorId="1" shapeId="0" xr:uid="{883814DD-F619-492D-B994-466D55F1CE7C}">
      <text>
        <r>
          <rPr>
            <b/>
            <sz val="9"/>
            <color indexed="81"/>
            <rFont val="MS P ゴシック"/>
            <family val="3"/>
            <charset val="128"/>
          </rPr>
          <t>chiba:</t>
        </r>
        <r>
          <rPr>
            <sz val="9"/>
            <color indexed="81"/>
            <rFont val="MS P ゴシック"/>
            <family val="3"/>
            <charset val="128"/>
          </rPr>
          <t xml:space="preserve">
見積もりは輸出梱包+30で計算</t>
        </r>
      </text>
    </comment>
    <comment ref="K1481" authorId="0" shapeId="0" xr:uid="{9A41E379-E4CB-4D43-9BA9-61FF7D4C615F}">
      <text>
        <r>
          <rPr>
            <b/>
            <sz val="9"/>
            <color indexed="81"/>
            <rFont val="MS P ゴシック"/>
            <family val="3"/>
            <charset val="128"/>
          </rPr>
          <t>sunfashion:</t>
        </r>
        <r>
          <rPr>
            <sz val="9"/>
            <color indexed="81"/>
            <rFont val="MS P ゴシック"/>
            <family val="3"/>
            <charset val="128"/>
          </rPr>
          <t xml:space="preserve">
47%（max border  ÷0.53) 
レート125
</t>
        </r>
      </text>
    </comment>
    <comment ref="K1488" authorId="1" shapeId="0" xr:uid="{1220B665-2B2D-481E-9CA1-5C1B455A2499}">
      <text>
        <r>
          <rPr>
            <b/>
            <sz val="9"/>
            <color indexed="81"/>
            <rFont val="MS P ゴシック"/>
            <family val="3"/>
            <charset val="128"/>
          </rPr>
          <t>chiba:</t>
        </r>
        <r>
          <rPr>
            <sz val="9"/>
            <color indexed="81"/>
            <rFont val="MS P ゴシック"/>
            <family val="3"/>
            <charset val="128"/>
          </rPr>
          <t xml:space="preserve">
次回よりcorrect € 5.44</t>
        </r>
      </text>
    </comment>
    <comment ref="K1489" authorId="1" shapeId="0" xr:uid="{7D28DC04-B941-4043-BE0B-D89066F3DB28}">
      <text>
        <r>
          <rPr>
            <b/>
            <sz val="9"/>
            <color indexed="81"/>
            <rFont val="MS P ゴシック"/>
            <family val="3"/>
            <charset val="128"/>
          </rPr>
          <t>chiba:</t>
        </r>
        <r>
          <rPr>
            <sz val="9"/>
            <color indexed="81"/>
            <rFont val="MS P ゴシック"/>
            <family val="3"/>
            <charset val="128"/>
          </rPr>
          <t xml:space="preserve">
次回よりcorrect € 4.34</t>
        </r>
      </text>
    </comment>
    <comment ref="E1495" authorId="0" shapeId="0" xr:uid="{3C5797FC-7166-46FA-B80E-3B324C1A0F0B}">
      <text>
        <r>
          <rPr>
            <b/>
            <sz val="9"/>
            <color indexed="81"/>
            <rFont val="MS P ゴシック"/>
            <family val="3"/>
            <charset val="128"/>
          </rPr>
          <t>sunfashion:</t>
        </r>
        <r>
          <rPr>
            <sz val="9"/>
            <color indexed="81"/>
            <rFont val="MS P ゴシック"/>
            <family val="3"/>
            <charset val="128"/>
          </rPr>
          <t xml:space="preserve">
 (*FWL-770106 wrongly labeled on your swatch)</t>
        </r>
      </text>
    </comment>
    <comment ref="K1495" authorId="1" shapeId="0" xr:uid="{B664A23F-79DC-420A-8C91-443191C624D3}">
      <text>
        <r>
          <rPr>
            <b/>
            <sz val="9"/>
            <color indexed="81"/>
            <rFont val="MS P ゴシック"/>
            <family val="3"/>
            <charset val="128"/>
          </rPr>
          <t>chiba:</t>
        </r>
        <r>
          <rPr>
            <sz val="9"/>
            <color indexed="81"/>
            <rFont val="MS P ゴシック"/>
            <family val="3"/>
            <charset val="128"/>
          </rPr>
          <t xml:space="preserve">
次回よりcorrect € 2.87</t>
        </r>
      </text>
    </comment>
    <comment ref="K1496" authorId="1" shapeId="0" xr:uid="{69B0C187-2207-4859-BFAD-38B3E47AFF5E}">
      <text>
        <r>
          <rPr>
            <b/>
            <sz val="9"/>
            <color indexed="81"/>
            <rFont val="MS P ゴシック"/>
            <family val="3"/>
            <charset val="128"/>
          </rPr>
          <t>chiba:</t>
        </r>
        <r>
          <rPr>
            <sz val="9"/>
            <color indexed="81"/>
            <rFont val="MS P ゴシック"/>
            <family val="3"/>
            <charset val="128"/>
          </rPr>
          <t xml:space="preserve">
次回よりcorrect € 3.70</t>
        </r>
      </text>
    </comment>
    <comment ref="K1498" authorId="1" shapeId="0" xr:uid="{05EF63CA-1317-4CAF-A081-A6A6FD884EEE}">
      <text>
        <r>
          <rPr>
            <b/>
            <sz val="9"/>
            <color indexed="81"/>
            <rFont val="MS P ゴシック"/>
            <family val="3"/>
            <charset val="128"/>
          </rPr>
          <t>chiba:</t>
        </r>
        <r>
          <rPr>
            <sz val="9"/>
            <color indexed="81"/>
            <rFont val="MS P ゴシック"/>
            <family val="3"/>
            <charset val="128"/>
          </rPr>
          <t xml:space="preserve">
次回よりcorrect </t>
        </r>
        <r>
          <rPr>
            <sz val="9"/>
            <color indexed="81"/>
            <rFont val="ＭＳ Ｐゴシック"/>
            <family val="3"/>
            <charset val="128"/>
          </rPr>
          <t>€</t>
        </r>
        <r>
          <rPr>
            <sz val="9"/>
            <color indexed="81"/>
            <rFont val="MS P ゴシック"/>
            <family val="3"/>
            <charset val="128"/>
          </rPr>
          <t xml:space="preserve"> 3.81</t>
        </r>
      </text>
    </comment>
    <comment ref="P1498" authorId="1" shapeId="0" xr:uid="{E4D266E3-6916-4F42-8A24-CE68EED7677F}">
      <text>
        <r>
          <rPr>
            <b/>
            <sz val="9"/>
            <color indexed="81"/>
            <rFont val="MS P ゴシック"/>
            <family val="3"/>
            <charset val="128"/>
          </rPr>
          <t>chiba:</t>
        </r>
        <r>
          <rPr>
            <sz val="9"/>
            <color indexed="81"/>
            <rFont val="MS P ゴシック"/>
            <family val="3"/>
            <charset val="128"/>
          </rPr>
          <t xml:space="preserve">
次回より274
</t>
        </r>
      </text>
    </comment>
    <comment ref="K1507" authorId="0" shapeId="0" xr:uid="{9606D3A6-9826-4D5B-B9ED-EC7459A5FD98}">
      <text>
        <r>
          <rPr>
            <b/>
            <sz val="9"/>
            <color indexed="81"/>
            <rFont val="MS P ゴシック"/>
            <family val="3"/>
            <charset val="128"/>
          </rPr>
          <t>sunfashion:</t>
        </r>
        <r>
          <rPr>
            <sz val="9"/>
            <color indexed="81"/>
            <rFont val="MS P ゴシック"/>
            <family val="3"/>
            <charset val="128"/>
          </rPr>
          <t xml:space="preserve">
abt 40%
レート125
</t>
        </r>
      </text>
    </comment>
    <comment ref="L1507" authorId="1" shapeId="0" xr:uid="{BF6FC4C4-1E19-4BD4-B0DF-91F8CDD8390D}">
      <text>
        <r>
          <rPr>
            <b/>
            <sz val="9"/>
            <color indexed="81"/>
            <rFont val="MS P ゴシック"/>
            <family val="3"/>
            <charset val="128"/>
          </rPr>
          <t>chiba:</t>
        </r>
        <r>
          <rPr>
            <sz val="9"/>
            <color indexed="81"/>
            <rFont val="MS P ゴシック"/>
            <family val="3"/>
            <charset val="128"/>
          </rPr>
          <t xml:space="preserve">
顧客請求無し</t>
        </r>
      </text>
    </comment>
    <comment ref="E1510" authorId="1" shapeId="0" xr:uid="{B85C84FE-FF05-4784-B80E-390E19E6783A}">
      <text>
        <r>
          <rPr>
            <b/>
            <sz val="9"/>
            <color indexed="81"/>
            <rFont val="MS P ゴシック"/>
            <family val="3"/>
            <charset val="128"/>
          </rPr>
          <t>chiba:</t>
        </r>
        <r>
          <rPr>
            <sz val="9"/>
            <color indexed="81"/>
            <rFont val="MS P ゴシック"/>
            <family val="3"/>
            <charset val="128"/>
          </rPr>
          <t xml:space="preserve">
弱撥水樹脂</t>
        </r>
      </text>
    </comment>
    <comment ref="K1514" authorId="0" shapeId="0" xr:uid="{A32708A0-FE8F-46E2-81F6-B9407A5958F1}">
      <text>
        <r>
          <rPr>
            <b/>
            <sz val="9"/>
            <color indexed="81"/>
            <rFont val="MS P ゴシック"/>
            <family val="3"/>
            <charset val="128"/>
          </rPr>
          <t>sunfashion:</t>
        </r>
        <r>
          <rPr>
            <sz val="9"/>
            <color indexed="81"/>
            <rFont val="MS P ゴシック"/>
            <family val="3"/>
            <charset val="128"/>
          </rPr>
          <t xml:space="preserve">
34% （÷ 0.66) 
125円</t>
        </r>
      </text>
    </comment>
    <comment ref="P1514" authorId="1" shapeId="0" xr:uid="{03F59CB6-DC3C-4B82-9678-5AD2533BC4A0}">
      <text>
        <r>
          <rPr>
            <b/>
            <sz val="9"/>
            <color indexed="81"/>
            <rFont val="MS P ゴシック"/>
            <family val="3"/>
            <charset val="128"/>
          </rPr>
          <t>chiba:</t>
        </r>
        <r>
          <rPr>
            <sz val="9"/>
            <color indexed="81"/>
            <rFont val="MS P ゴシック"/>
            <family val="3"/>
            <charset val="128"/>
          </rPr>
          <t xml:space="preserve">
MOQ 38本なら450円
MOQ未満なら490円</t>
        </r>
      </text>
    </comment>
    <comment ref="K1515" authorId="0" shapeId="0" xr:uid="{8F6E386E-F6A2-4E31-8F8A-CDAC789C0AD5}">
      <text>
        <r>
          <rPr>
            <b/>
            <sz val="9"/>
            <color indexed="81"/>
            <rFont val="MS P ゴシック"/>
            <family val="3"/>
            <charset val="128"/>
          </rPr>
          <t>sunfashion:</t>
        </r>
        <r>
          <rPr>
            <sz val="9"/>
            <color indexed="81"/>
            <rFont val="MS P ゴシック"/>
            <family val="3"/>
            <charset val="128"/>
          </rPr>
          <t xml:space="preserve">
34% （÷ 0.66) 
125円</t>
        </r>
      </text>
    </comment>
    <comment ref="P1515" authorId="1" shapeId="0" xr:uid="{6F46B2E0-7CD8-4998-8862-8FC292EBA7C4}">
      <text>
        <r>
          <rPr>
            <b/>
            <sz val="9"/>
            <color indexed="81"/>
            <rFont val="MS P ゴシック"/>
            <family val="3"/>
            <charset val="128"/>
          </rPr>
          <t>chiba:</t>
        </r>
        <r>
          <rPr>
            <sz val="9"/>
            <color indexed="81"/>
            <rFont val="MS P ゴシック"/>
            <family val="3"/>
            <charset val="128"/>
          </rPr>
          <t xml:space="preserve">
MOQ 38本なら450円
MOQ未満なら490円</t>
        </r>
      </text>
    </comment>
    <comment ref="P1525" authorId="1" shapeId="0" xr:uid="{061ECB60-FF4F-48A3-974E-FBA975BF23CF}">
      <text>
        <r>
          <rPr>
            <b/>
            <sz val="9"/>
            <color indexed="81"/>
            <rFont val="MS P ゴシック"/>
            <family val="3"/>
            <charset val="128"/>
          </rPr>
          <t>chiba:</t>
        </r>
        <r>
          <rPr>
            <sz val="9"/>
            <color indexed="81"/>
            <rFont val="MS P ゴシック"/>
            <family val="3"/>
            <charset val="128"/>
          </rPr>
          <t xml:space="preserve">
2024.1月より24.2円/M
</t>
        </r>
      </text>
    </comment>
    <comment ref="P1526" authorId="1" shapeId="0" xr:uid="{9C000DDB-5730-47A1-835F-F747E313FD71}">
      <text>
        <r>
          <rPr>
            <b/>
            <sz val="9"/>
            <color indexed="81"/>
            <rFont val="MS P ゴシック"/>
            <family val="3"/>
            <charset val="128"/>
          </rPr>
          <t>chiba:</t>
        </r>
        <r>
          <rPr>
            <sz val="9"/>
            <color indexed="81"/>
            <rFont val="MS P ゴシック"/>
            <family val="3"/>
            <charset val="128"/>
          </rPr>
          <t xml:space="preserve">
2024.1月より48.4円/M
</t>
        </r>
      </text>
    </comment>
    <comment ref="E1559" authorId="0" shapeId="0" xr:uid="{E707C80B-5B7D-4B59-8738-6A074EF6585F}">
      <text>
        <r>
          <rPr>
            <b/>
            <sz val="9"/>
            <color indexed="81"/>
            <rFont val="MS P ゴシック"/>
            <family val="3"/>
            <charset val="128"/>
          </rPr>
          <t>sunfashion:</t>
        </r>
        <r>
          <rPr>
            <sz val="9"/>
            <color indexed="81"/>
            <rFont val="MS P ゴシック"/>
            <family val="3"/>
            <charset val="128"/>
          </rPr>
          <t xml:space="preserve">
KF 4005 D/# F-3431</t>
        </r>
      </text>
    </comment>
    <comment ref="P1559" authorId="1" shapeId="0" xr:uid="{C6205948-9A11-4983-ABD3-32FB9DAA67AF}">
      <text>
        <r>
          <rPr>
            <b/>
            <sz val="9"/>
            <color indexed="81"/>
            <rFont val="MS P ゴシック"/>
            <family val="3"/>
            <charset val="128"/>
          </rPr>
          <t>chiba:</t>
        </r>
        <r>
          <rPr>
            <sz val="9"/>
            <color indexed="81"/>
            <rFont val="MS P ゴシック"/>
            <family val="3"/>
            <charset val="128"/>
          </rPr>
          <t xml:space="preserve">
見積もりは輸出梱包+30で計算</t>
        </r>
      </text>
    </comment>
    <comment ref="E1563" authorId="1" shapeId="0" xr:uid="{C2E83CA3-136E-4CB7-BF48-5A0F423F9D06}">
      <text>
        <r>
          <rPr>
            <b/>
            <sz val="9"/>
            <color indexed="81"/>
            <rFont val="MS P ゴシック"/>
            <family val="3"/>
            <charset val="128"/>
          </rPr>
          <t>chiba:</t>
        </r>
        <r>
          <rPr>
            <sz val="9"/>
            <color indexed="81"/>
            <rFont val="MS P ゴシック"/>
            <family val="3"/>
            <charset val="128"/>
          </rPr>
          <t xml:space="preserve">
弱撥水樹脂</t>
        </r>
      </text>
    </comment>
    <comment ref="E1564" authorId="1" shapeId="0" xr:uid="{2DFA94CB-C273-4A51-AB4A-75A8AC715DD8}">
      <text>
        <r>
          <rPr>
            <b/>
            <sz val="9"/>
            <color indexed="81"/>
            <rFont val="MS P ゴシック"/>
            <family val="3"/>
            <charset val="128"/>
          </rPr>
          <t>chiba:</t>
        </r>
        <r>
          <rPr>
            <sz val="9"/>
            <color indexed="81"/>
            <rFont val="MS P ゴシック"/>
            <family val="3"/>
            <charset val="128"/>
          </rPr>
          <t xml:space="preserve">
弱撥水樹脂</t>
        </r>
      </text>
    </comment>
    <comment ref="E1565" authorId="1" shapeId="0" xr:uid="{1B2AA908-81B2-496C-B350-B74E4D78B915}">
      <text>
        <r>
          <rPr>
            <b/>
            <sz val="9"/>
            <color indexed="81"/>
            <rFont val="MS P ゴシック"/>
            <family val="3"/>
            <charset val="128"/>
          </rPr>
          <t>chiba:</t>
        </r>
        <r>
          <rPr>
            <sz val="9"/>
            <color indexed="81"/>
            <rFont val="MS P ゴシック"/>
            <family val="3"/>
            <charset val="128"/>
          </rPr>
          <t xml:space="preserve">
弱撥水樹脂</t>
        </r>
      </text>
    </comment>
    <comment ref="E1566" authorId="1" shapeId="0" xr:uid="{85B1F2F8-D7A6-4A00-ACD3-EE0A1CE58FDC}">
      <text>
        <r>
          <rPr>
            <b/>
            <sz val="9"/>
            <color indexed="81"/>
            <rFont val="MS P ゴシック"/>
            <family val="3"/>
            <charset val="128"/>
          </rPr>
          <t>chiba:</t>
        </r>
        <r>
          <rPr>
            <sz val="9"/>
            <color indexed="81"/>
            <rFont val="MS P ゴシック"/>
            <family val="3"/>
            <charset val="128"/>
          </rPr>
          <t xml:space="preserve">
弱撥水樹脂</t>
        </r>
      </text>
    </comment>
    <comment ref="E1567" authorId="1" shapeId="0" xr:uid="{B6672D6E-C14F-4300-84EB-A5230B8DE1C8}">
      <text>
        <r>
          <rPr>
            <b/>
            <sz val="9"/>
            <color indexed="81"/>
            <rFont val="MS P ゴシック"/>
            <family val="3"/>
            <charset val="128"/>
          </rPr>
          <t>chiba:</t>
        </r>
        <r>
          <rPr>
            <sz val="9"/>
            <color indexed="81"/>
            <rFont val="MS P ゴシック"/>
            <family val="3"/>
            <charset val="128"/>
          </rPr>
          <t xml:space="preserve">
弱撥水樹脂</t>
        </r>
      </text>
    </comment>
    <comment ref="E1568" authorId="1" shapeId="0" xr:uid="{FB19505D-8AE3-4437-9133-14EB0BE82F87}">
      <text>
        <r>
          <rPr>
            <b/>
            <sz val="9"/>
            <color indexed="81"/>
            <rFont val="MS P ゴシック"/>
            <family val="3"/>
            <charset val="128"/>
          </rPr>
          <t>chiba:</t>
        </r>
        <r>
          <rPr>
            <sz val="9"/>
            <color indexed="81"/>
            <rFont val="MS P ゴシック"/>
            <family val="3"/>
            <charset val="128"/>
          </rPr>
          <t xml:space="preserve">
弱撥水樹脂</t>
        </r>
      </text>
    </comment>
    <comment ref="E1569" authorId="1" shapeId="0" xr:uid="{111B159D-4BC5-46B1-B603-B80DBE30AD4D}">
      <text>
        <r>
          <rPr>
            <b/>
            <sz val="9"/>
            <color indexed="81"/>
            <rFont val="MS P ゴシック"/>
            <family val="3"/>
            <charset val="128"/>
          </rPr>
          <t>chiba:</t>
        </r>
        <r>
          <rPr>
            <sz val="9"/>
            <color indexed="81"/>
            <rFont val="MS P ゴシック"/>
            <family val="3"/>
            <charset val="128"/>
          </rPr>
          <t xml:space="preserve">
弱撥水樹脂</t>
        </r>
      </text>
    </comment>
    <comment ref="E1570" authorId="1" shapeId="0" xr:uid="{93D3985A-D196-41AA-9026-7A4BA7C8A44D}">
      <text>
        <r>
          <rPr>
            <b/>
            <sz val="9"/>
            <color indexed="81"/>
            <rFont val="MS P ゴシック"/>
            <family val="3"/>
            <charset val="128"/>
          </rPr>
          <t>chiba:</t>
        </r>
        <r>
          <rPr>
            <sz val="9"/>
            <color indexed="81"/>
            <rFont val="MS P ゴシック"/>
            <family val="3"/>
            <charset val="128"/>
          </rPr>
          <t xml:space="preserve">
弱撥水樹脂</t>
        </r>
      </text>
    </comment>
    <comment ref="E1571" authorId="1" shapeId="0" xr:uid="{FF131CD4-AC18-4C09-917E-911A4B2474FA}">
      <text>
        <r>
          <rPr>
            <b/>
            <sz val="9"/>
            <color indexed="81"/>
            <rFont val="MS P ゴシック"/>
            <family val="3"/>
            <charset val="128"/>
          </rPr>
          <t>chiba:</t>
        </r>
        <r>
          <rPr>
            <sz val="9"/>
            <color indexed="81"/>
            <rFont val="MS P ゴシック"/>
            <family val="3"/>
            <charset val="128"/>
          </rPr>
          <t xml:space="preserve">
弱撥水樹脂</t>
        </r>
      </text>
    </comment>
    <comment ref="E1572" authorId="1" shapeId="0" xr:uid="{AC4F3B73-26E9-4244-B06D-CACA02A6B313}">
      <text>
        <r>
          <rPr>
            <b/>
            <sz val="9"/>
            <color indexed="81"/>
            <rFont val="MS P ゴシック"/>
            <family val="3"/>
            <charset val="128"/>
          </rPr>
          <t>chiba:</t>
        </r>
        <r>
          <rPr>
            <sz val="9"/>
            <color indexed="81"/>
            <rFont val="MS P ゴシック"/>
            <family val="3"/>
            <charset val="128"/>
          </rPr>
          <t xml:space="preserve">
弱撥水樹脂</t>
        </r>
      </text>
    </comment>
    <comment ref="E1573" authorId="1" shapeId="0" xr:uid="{D6035FBF-0C82-47AD-962B-CB89A1852C71}">
      <text>
        <r>
          <rPr>
            <b/>
            <sz val="9"/>
            <color indexed="81"/>
            <rFont val="MS P ゴシック"/>
            <family val="3"/>
            <charset val="128"/>
          </rPr>
          <t>chiba:</t>
        </r>
        <r>
          <rPr>
            <sz val="9"/>
            <color indexed="81"/>
            <rFont val="MS P ゴシック"/>
            <family val="3"/>
            <charset val="128"/>
          </rPr>
          <t xml:space="preserve">
弱撥水樹脂</t>
        </r>
      </text>
    </comment>
    <comment ref="E1574" authorId="1" shapeId="0" xr:uid="{E3E32796-8BCD-4B55-B91A-D73157D1D312}">
      <text>
        <r>
          <rPr>
            <b/>
            <sz val="9"/>
            <color indexed="81"/>
            <rFont val="MS P ゴシック"/>
            <family val="3"/>
            <charset val="128"/>
          </rPr>
          <t>chiba:</t>
        </r>
        <r>
          <rPr>
            <sz val="9"/>
            <color indexed="81"/>
            <rFont val="MS P ゴシック"/>
            <family val="3"/>
            <charset val="128"/>
          </rPr>
          <t xml:space="preserve">
弱撥水樹脂</t>
        </r>
      </text>
    </comment>
    <comment ref="E1575" authorId="1" shapeId="0" xr:uid="{4D70B77C-AEA5-4057-877D-23C06CB5ACA3}">
      <text>
        <r>
          <rPr>
            <b/>
            <sz val="9"/>
            <color indexed="81"/>
            <rFont val="MS P ゴシック"/>
            <family val="3"/>
            <charset val="128"/>
          </rPr>
          <t>chiba:</t>
        </r>
        <r>
          <rPr>
            <sz val="9"/>
            <color indexed="81"/>
            <rFont val="MS P ゴシック"/>
            <family val="3"/>
            <charset val="128"/>
          </rPr>
          <t xml:space="preserve">
弱撥水樹脂</t>
        </r>
      </text>
    </comment>
    <comment ref="E1576" authorId="1" shapeId="0" xr:uid="{C2268D6A-614E-40B5-9D92-8E05FDB1E2EC}">
      <text>
        <r>
          <rPr>
            <b/>
            <sz val="9"/>
            <color indexed="81"/>
            <rFont val="MS P ゴシック"/>
            <family val="3"/>
            <charset val="128"/>
          </rPr>
          <t>chiba:</t>
        </r>
        <r>
          <rPr>
            <sz val="9"/>
            <color indexed="81"/>
            <rFont val="MS P ゴシック"/>
            <family val="3"/>
            <charset val="128"/>
          </rPr>
          <t xml:space="preserve">
弱撥水樹脂</t>
        </r>
      </text>
    </comment>
    <comment ref="E1577" authorId="1" shapeId="0" xr:uid="{AA76697B-F1F0-4D01-A34E-3D71DA8ABA7B}">
      <text>
        <r>
          <rPr>
            <b/>
            <sz val="9"/>
            <color indexed="81"/>
            <rFont val="MS P ゴシック"/>
            <family val="3"/>
            <charset val="128"/>
          </rPr>
          <t>chiba:</t>
        </r>
        <r>
          <rPr>
            <sz val="9"/>
            <color indexed="81"/>
            <rFont val="MS P ゴシック"/>
            <family val="3"/>
            <charset val="128"/>
          </rPr>
          <t xml:space="preserve">
弱撥水樹脂</t>
        </r>
      </text>
    </comment>
    <comment ref="E1578" authorId="1" shapeId="0" xr:uid="{4ECE563B-E888-4652-97C9-176232E4B117}">
      <text>
        <r>
          <rPr>
            <b/>
            <sz val="9"/>
            <color indexed="81"/>
            <rFont val="MS P ゴシック"/>
            <family val="3"/>
            <charset val="128"/>
          </rPr>
          <t>chiba:</t>
        </r>
        <r>
          <rPr>
            <sz val="9"/>
            <color indexed="81"/>
            <rFont val="MS P ゴシック"/>
            <family val="3"/>
            <charset val="128"/>
          </rPr>
          <t xml:space="preserve">
弱撥水樹脂</t>
        </r>
      </text>
    </comment>
    <comment ref="E1579" authorId="1" shapeId="0" xr:uid="{89F2F6F1-638B-4E98-AC84-9104CAC80EF3}">
      <text>
        <r>
          <rPr>
            <b/>
            <sz val="9"/>
            <color indexed="81"/>
            <rFont val="MS P ゴシック"/>
            <family val="3"/>
            <charset val="128"/>
          </rPr>
          <t>chiba:</t>
        </r>
        <r>
          <rPr>
            <sz val="9"/>
            <color indexed="81"/>
            <rFont val="MS P ゴシック"/>
            <family val="3"/>
            <charset val="128"/>
          </rPr>
          <t xml:space="preserve">
弱撥水樹脂</t>
        </r>
      </text>
    </comment>
    <comment ref="E1580" authorId="1" shapeId="0" xr:uid="{F3DA6A0D-328B-4182-AC65-A25CB8D99EDC}">
      <text>
        <r>
          <rPr>
            <b/>
            <sz val="9"/>
            <color indexed="81"/>
            <rFont val="MS P ゴシック"/>
            <family val="3"/>
            <charset val="128"/>
          </rPr>
          <t>chiba:</t>
        </r>
        <r>
          <rPr>
            <sz val="9"/>
            <color indexed="81"/>
            <rFont val="MS P ゴシック"/>
            <family val="3"/>
            <charset val="128"/>
          </rPr>
          <t xml:space="preserve">
弱撥水樹脂</t>
        </r>
      </text>
    </comment>
    <comment ref="E1581" authorId="1" shapeId="0" xr:uid="{2C865792-8081-41E6-9F5B-2ECD0D77838D}">
      <text>
        <r>
          <rPr>
            <b/>
            <sz val="9"/>
            <color indexed="81"/>
            <rFont val="MS P ゴシック"/>
            <family val="3"/>
            <charset val="128"/>
          </rPr>
          <t>chiba:</t>
        </r>
        <r>
          <rPr>
            <sz val="9"/>
            <color indexed="81"/>
            <rFont val="MS P ゴシック"/>
            <family val="3"/>
            <charset val="128"/>
          </rPr>
          <t xml:space="preserve">
弱撥水樹脂</t>
        </r>
      </text>
    </comment>
    <comment ref="E1584" authorId="1" shapeId="0" xr:uid="{0950ABC3-125C-4353-83BA-5DAD3E19B04D}">
      <text>
        <r>
          <rPr>
            <b/>
            <sz val="9"/>
            <color indexed="81"/>
            <rFont val="MS P ゴシック"/>
            <family val="3"/>
            <charset val="128"/>
          </rPr>
          <t>chiba:</t>
        </r>
        <r>
          <rPr>
            <sz val="9"/>
            <color indexed="81"/>
            <rFont val="MS P ゴシック"/>
            <family val="3"/>
            <charset val="128"/>
          </rPr>
          <t xml:space="preserve">
弱撥水樹脂</t>
        </r>
      </text>
    </comment>
    <comment ref="E1585" authorId="1" shapeId="0" xr:uid="{EBFFDD27-ED59-4D08-8301-47B7466A6355}">
      <text>
        <r>
          <rPr>
            <b/>
            <sz val="9"/>
            <color indexed="81"/>
            <rFont val="MS P ゴシック"/>
            <family val="3"/>
            <charset val="128"/>
          </rPr>
          <t>chiba:</t>
        </r>
        <r>
          <rPr>
            <sz val="9"/>
            <color indexed="81"/>
            <rFont val="MS P ゴシック"/>
            <family val="3"/>
            <charset val="128"/>
          </rPr>
          <t xml:space="preserve">
弱撥水樹脂</t>
        </r>
      </text>
    </comment>
    <comment ref="E1586" authorId="1" shapeId="0" xr:uid="{F6EE24B7-5D6A-4BB6-84BC-A504C789150B}">
      <text>
        <r>
          <rPr>
            <b/>
            <sz val="9"/>
            <color indexed="81"/>
            <rFont val="MS P ゴシック"/>
            <family val="3"/>
            <charset val="128"/>
          </rPr>
          <t>chiba:</t>
        </r>
        <r>
          <rPr>
            <sz val="9"/>
            <color indexed="81"/>
            <rFont val="MS P ゴシック"/>
            <family val="3"/>
            <charset val="128"/>
          </rPr>
          <t xml:space="preserve">
弱撥水樹脂</t>
        </r>
      </text>
    </comment>
    <comment ref="E1587" authorId="1" shapeId="0" xr:uid="{F3B12B5D-6291-4A71-AD7D-DC49BDE85EA2}">
      <text>
        <r>
          <rPr>
            <b/>
            <sz val="9"/>
            <color indexed="81"/>
            <rFont val="MS P ゴシック"/>
            <family val="3"/>
            <charset val="128"/>
          </rPr>
          <t>chiba:</t>
        </r>
        <r>
          <rPr>
            <sz val="9"/>
            <color indexed="81"/>
            <rFont val="MS P ゴシック"/>
            <family val="3"/>
            <charset val="128"/>
          </rPr>
          <t xml:space="preserve">
弱撥水樹脂</t>
        </r>
      </text>
    </comment>
    <comment ref="E1588" authorId="1" shapeId="0" xr:uid="{7C4F18BE-8683-43BB-AB85-ED8150D20654}">
      <text>
        <r>
          <rPr>
            <b/>
            <sz val="9"/>
            <color indexed="81"/>
            <rFont val="MS P ゴシック"/>
            <family val="3"/>
            <charset val="128"/>
          </rPr>
          <t>chiba:</t>
        </r>
        <r>
          <rPr>
            <sz val="9"/>
            <color indexed="81"/>
            <rFont val="MS P ゴシック"/>
            <family val="3"/>
            <charset val="128"/>
          </rPr>
          <t xml:space="preserve">
弱撥水樹脂</t>
        </r>
      </text>
    </comment>
    <comment ref="E1591" authorId="1" shapeId="0" xr:uid="{3C9CF019-A9E1-48C5-AFD6-C8E236C223E5}">
      <text>
        <r>
          <rPr>
            <b/>
            <sz val="9"/>
            <color indexed="81"/>
            <rFont val="MS P ゴシック"/>
            <family val="3"/>
            <charset val="128"/>
          </rPr>
          <t>chiba:</t>
        </r>
        <r>
          <rPr>
            <sz val="9"/>
            <color indexed="81"/>
            <rFont val="MS P ゴシック"/>
            <family val="3"/>
            <charset val="128"/>
          </rPr>
          <t xml:space="preserve">
弱撥水樹脂</t>
        </r>
      </text>
    </comment>
    <comment ref="E1592" authorId="1" shapeId="0" xr:uid="{81472951-6943-413F-8DEB-B5BD39FE650D}">
      <text>
        <r>
          <rPr>
            <b/>
            <sz val="9"/>
            <color indexed="81"/>
            <rFont val="MS P ゴシック"/>
            <family val="3"/>
            <charset val="128"/>
          </rPr>
          <t>chiba:</t>
        </r>
        <r>
          <rPr>
            <sz val="9"/>
            <color indexed="81"/>
            <rFont val="MS P ゴシック"/>
            <family val="3"/>
            <charset val="128"/>
          </rPr>
          <t xml:space="preserve">
弱撥水樹脂</t>
        </r>
      </text>
    </comment>
    <comment ref="E1593" authorId="1" shapeId="0" xr:uid="{DEA315E8-A4AB-47E1-ABB9-60FF8724466F}">
      <text>
        <r>
          <rPr>
            <b/>
            <sz val="9"/>
            <color indexed="81"/>
            <rFont val="MS P ゴシック"/>
            <family val="3"/>
            <charset val="128"/>
          </rPr>
          <t>chiba:</t>
        </r>
        <r>
          <rPr>
            <sz val="9"/>
            <color indexed="81"/>
            <rFont val="MS P ゴシック"/>
            <family val="3"/>
            <charset val="128"/>
          </rPr>
          <t xml:space="preserve">
弱撥水樹脂</t>
        </r>
      </text>
    </comment>
    <comment ref="E1594" authorId="1" shapeId="0" xr:uid="{7E38DBE5-3395-4951-9FFD-96C309BDF719}">
      <text>
        <r>
          <rPr>
            <b/>
            <sz val="9"/>
            <color indexed="81"/>
            <rFont val="MS P ゴシック"/>
            <family val="3"/>
            <charset val="128"/>
          </rPr>
          <t>chiba:</t>
        </r>
        <r>
          <rPr>
            <sz val="9"/>
            <color indexed="81"/>
            <rFont val="MS P ゴシック"/>
            <family val="3"/>
            <charset val="128"/>
          </rPr>
          <t xml:space="preserve">
弱撥水樹脂</t>
        </r>
      </text>
    </comment>
    <comment ref="E1595" authorId="1" shapeId="0" xr:uid="{C2A6CC84-7DB5-4587-9B07-014D1673CF79}">
      <text>
        <r>
          <rPr>
            <b/>
            <sz val="9"/>
            <color indexed="81"/>
            <rFont val="MS P ゴシック"/>
            <family val="3"/>
            <charset val="128"/>
          </rPr>
          <t>chiba:</t>
        </r>
        <r>
          <rPr>
            <sz val="9"/>
            <color indexed="81"/>
            <rFont val="MS P ゴシック"/>
            <family val="3"/>
            <charset val="128"/>
          </rPr>
          <t xml:space="preserve">
弱撥水樹脂</t>
        </r>
      </text>
    </comment>
    <comment ref="K1604" authorId="0" shapeId="0" xr:uid="{AD27A244-A848-4B6C-BACE-534C2F7C5166}">
      <text>
        <r>
          <rPr>
            <b/>
            <sz val="9"/>
            <color indexed="81"/>
            <rFont val="MS P ゴシック"/>
            <family val="3"/>
            <charset val="128"/>
          </rPr>
          <t>sunfashion:</t>
        </r>
        <r>
          <rPr>
            <sz val="9"/>
            <color indexed="81"/>
            <rFont val="MS P ゴシック"/>
            <family val="3"/>
            <charset val="128"/>
          </rPr>
          <t xml:space="preserve">
abt 40%
レート125
</t>
        </r>
      </text>
    </comment>
    <comment ref="L1604" authorId="1" shapeId="0" xr:uid="{F294CB78-365E-4801-B566-1FCACB53B4F5}">
      <text>
        <r>
          <rPr>
            <b/>
            <sz val="9"/>
            <color indexed="81"/>
            <rFont val="MS P ゴシック"/>
            <family val="3"/>
            <charset val="128"/>
          </rPr>
          <t>chiba:</t>
        </r>
        <r>
          <rPr>
            <sz val="9"/>
            <color indexed="81"/>
            <rFont val="MS P ゴシック"/>
            <family val="3"/>
            <charset val="128"/>
          </rPr>
          <t xml:space="preserve">
顧客請求無し</t>
        </r>
      </text>
    </comment>
    <comment ref="K1608" authorId="0" shapeId="0" xr:uid="{DFAA6A8D-6B72-4980-8992-135AF62CF04B}">
      <text>
        <r>
          <rPr>
            <b/>
            <sz val="9"/>
            <color indexed="81"/>
            <rFont val="MS P ゴシック"/>
            <family val="3"/>
            <charset val="128"/>
          </rPr>
          <t>sunfashion:</t>
        </r>
        <r>
          <rPr>
            <sz val="9"/>
            <color indexed="81"/>
            <rFont val="MS P ゴシック"/>
            <family val="3"/>
            <charset val="128"/>
          </rPr>
          <t xml:space="preserve">
サンプル単価=1.33 x 1.5</t>
        </r>
      </text>
    </comment>
    <comment ref="P1608" authorId="0" shapeId="0" xr:uid="{7E7671C6-B64B-4E15-9D39-2BBECCC0F751}">
      <text>
        <r>
          <rPr>
            <b/>
            <sz val="9"/>
            <color indexed="81"/>
            <rFont val="MS P ゴシック"/>
            <family val="3"/>
            <charset val="128"/>
          </rPr>
          <t>sunfashion:</t>
        </r>
        <r>
          <rPr>
            <sz val="9"/>
            <color indexed="81"/>
            <rFont val="MS P ゴシック"/>
            <family val="3"/>
            <charset val="128"/>
          </rPr>
          <t xml:space="preserve">
先方にはサンプル単価で請求・工場からの請求は通常単価</t>
        </r>
      </text>
    </comment>
    <comment ref="K1609" authorId="0" shapeId="0" xr:uid="{3B11C83D-AF30-4A12-B461-EF64F0D5715E}">
      <text>
        <r>
          <rPr>
            <b/>
            <sz val="9"/>
            <color indexed="81"/>
            <rFont val="MS P ゴシック"/>
            <family val="3"/>
            <charset val="128"/>
          </rPr>
          <t>sunfashion:</t>
        </r>
        <r>
          <rPr>
            <sz val="9"/>
            <color indexed="81"/>
            <rFont val="MS P ゴシック"/>
            <family val="3"/>
            <charset val="128"/>
          </rPr>
          <t xml:space="preserve">
サンプル単価=1.33 x 1.5</t>
        </r>
      </text>
    </comment>
    <comment ref="P1609" authorId="0" shapeId="0" xr:uid="{520CF36E-6A11-4FE2-8D53-DB55DF7666D0}">
      <text>
        <r>
          <rPr>
            <b/>
            <sz val="9"/>
            <color indexed="81"/>
            <rFont val="MS P ゴシック"/>
            <family val="3"/>
            <charset val="128"/>
          </rPr>
          <t>sunfashion:</t>
        </r>
        <r>
          <rPr>
            <sz val="9"/>
            <color indexed="81"/>
            <rFont val="MS P ゴシック"/>
            <family val="3"/>
            <charset val="128"/>
          </rPr>
          <t xml:space="preserve">
先方にはサンプル単価で請求・工場からの請求は通常単価</t>
        </r>
      </text>
    </comment>
    <comment ref="K1644" authorId="1" shapeId="0" xr:uid="{B3EFAF57-F613-4675-B243-CC544044D92D}">
      <text>
        <r>
          <rPr>
            <b/>
            <sz val="9"/>
            <color indexed="81"/>
            <rFont val="MS P ゴシック"/>
            <family val="3"/>
            <charset val="128"/>
          </rPr>
          <t>chiba:</t>
        </r>
        <r>
          <rPr>
            <sz val="9"/>
            <color indexed="81"/>
            <rFont val="MS P ゴシック"/>
            <family val="3"/>
            <charset val="128"/>
          </rPr>
          <t xml:space="preserve">
Cannage + pointille degrade = € 500 in total で請求</t>
        </r>
      </text>
    </comment>
    <comment ref="K1645" authorId="1" shapeId="0" xr:uid="{A892A532-844D-4941-B962-E185971A5561}">
      <text>
        <r>
          <rPr>
            <b/>
            <sz val="9"/>
            <color indexed="81"/>
            <rFont val="MS P ゴシック"/>
            <family val="3"/>
            <charset val="128"/>
          </rPr>
          <t>chiba:</t>
        </r>
        <r>
          <rPr>
            <sz val="9"/>
            <color indexed="81"/>
            <rFont val="MS P ゴシック"/>
            <family val="3"/>
            <charset val="128"/>
          </rPr>
          <t xml:space="preserve">
Cannage + pointille degrade = € 500 in total で請求</t>
        </r>
      </text>
    </comment>
    <comment ref="K1648" authorId="0" shapeId="0" xr:uid="{0E25B771-144C-476C-BF00-3D375292D8EA}">
      <text>
        <r>
          <rPr>
            <b/>
            <sz val="9"/>
            <color indexed="81"/>
            <rFont val="MS P ゴシック"/>
            <family val="3"/>
            <charset val="128"/>
          </rPr>
          <t>sunfashion:</t>
        </r>
        <r>
          <rPr>
            <sz val="9"/>
            <color indexed="81"/>
            <rFont val="MS P ゴシック"/>
            <family val="3"/>
            <charset val="128"/>
          </rPr>
          <t xml:space="preserve">
前回単価に合わせて
67% （÷0.33)
125円</t>
        </r>
      </text>
    </comment>
    <comment ref="K1652" authorId="0" shapeId="0" xr:uid="{977EBB7A-7B54-4AD8-A142-05533A664405}">
      <text>
        <r>
          <rPr>
            <b/>
            <sz val="9"/>
            <color indexed="81"/>
            <rFont val="MS P ゴシック"/>
            <family val="3"/>
            <charset val="128"/>
          </rPr>
          <t>sunfashion:</t>
        </r>
        <r>
          <rPr>
            <sz val="9"/>
            <color indexed="81"/>
            <rFont val="MS P ゴシック"/>
            <family val="3"/>
            <charset val="128"/>
          </rPr>
          <t xml:space="preserve">
47%（max border  ÷0.53) 
レート125
</t>
        </r>
      </text>
    </comment>
    <comment ref="K1653" authorId="0" shapeId="0" xr:uid="{221CA981-6282-49EE-951E-A52533F181B7}">
      <text>
        <r>
          <rPr>
            <b/>
            <sz val="9"/>
            <color indexed="81"/>
            <rFont val="MS P ゴシック"/>
            <family val="3"/>
            <charset val="128"/>
          </rPr>
          <t>sunfashion:</t>
        </r>
        <r>
          <rPr>
            <sz val="9"/>
            <color indexed="81"/>
            <rFont val="MS P ゴシック"/>
            <family val="3"/>
            <charset val="128"/>
          </rPr>
          <t xml:space="preserve">
47%（max border  ÷0.53) 
レート125
</t>
        </r>
      </text>
    </comment>
    <comment ref="K1659" authorId="1" shapeId="0" xr:uid="{9E1A8747-ECA0-44D1-9A8E-23CA141DF7D8}">
      <text>
        <r>
          <rPr>
            <b/>
            <sz val="9"/>
            <color indexed="81"/>
            <rFont val="MS P ゴシック"/>
            <family val="3"/>
            <charset val="128"/>
          </rPr>
          <t>chiba:</t>
        </r>
        <r>
          <rPr>
            <sz val="9"/>
            <color indexed="81"/>
            <rFont val="MS P ゴシック"/>
            <family val="3"/>
            <charset val="128"/>
          </rPr>
          <t xml:space="preserve">
30.45*1.5</t>
        </r>
      </text>
    </comment>
    <comment ref="K1660" authorId="1" shapeId="0" xr:uid="{5623E0F6-9569-4656-80F5-C6105829C7A6}">
      <text>
        <r>
          <rPr>
            <b/>
            <sz val="9"/>
            <color indexed="81"/>
            <rFont val="MS P ゴシック"/>
            <family val="3"/>
            <charset val="128"/>
          </rPr>
          <t>chiba:</t>
        </r>
        <r>
          <rPr>
            <sz val="9"/>
            <color indexed="81"/>
            <rFont val="MS P ゴシック"/>
            <family val="3"/>
            <charset val="128"/>
          </rPr>
          <t xml:space="preserve">
30.45*1.5</t>
        </r>
      </text>
    </comment>
    <comment ref="J1661" authorId="1" shapeId="0" xr:uid="{43E5000D-A8B3-42C4-8E6C-9F14C6F9CF74}">
      <text>
        <r>
          <rPr>
            <b/>
            <sz val="9"/>
            <color indexed="81"/>
            <rFont val="MS P ゴシック"/>
            <family val="3"/>
            <charset val="128"/>
          </rPr>
          <t>chiba:</t>
        </r>
        <r>
          <rPr>
            <sz val="9"/>
            <color indexed="81"/>
            <rFont val="MS P ゴシック"/>
            <family val="3"/>
            <charset val="128"/>
          </rPr>
          <t xml:space="preserve">
S-9</t>
        </r>
      </text>
    </comment>
    <comment ref="K1661" authorId="1" shapeId="0" xr:uid="{823266FF-72D4-44C9-8996-18F74978A7B9}">
      <text>
        <r>
          <rPr>
            <b/>
            <sz val="9"/>
            <color indexed="81"/>
            <rFont val="MS P ゴシック"/>
            <family val="3"/>
            <charset val="128"/>
          </rPr>
          <t>chiba:</t>
        </r>
        <r>
          <rPr>
            <sz val="9"/>
            <color indexed="81"/>
            <rFont val="MS P ゴシック"/>
            <family val="3"/>
            <charset val="128"/>
          </rPr>
          <t xml:space="preserve">
38.4*1.5</t>
        </r>
      </text>
    </comment>
    <comment ref="K1662" authorId="1" shapeId="0" xr:uid="{98CB9F66-2790-44A2-ADD3-ED264287220E}">
      <text>
        <r>
          <rPr>
            <b/>
            <sz val="9"/>
            <color indexed="81"/>
            <rFont val="MS P ゴシック"/>
            <family val="3"/>
            <charset val="128"/>
          </rPr>
          <t>chiba:</t>
        </r>
        <r>
          <rPr>
            <sz val="9"/>
            <color indexed="81"/>
            <rFont val="MS P ゴシック"/>
            <family val="3"/>
            <charset val="128"/>
          </rPr>
          <t xml:space="preserve">
38.4*1.5</t>
        </r>
      </text>
    </comment>
    <comment ref="J1664" authorId="1" shapeId="0" xr:uid="{BF71964A-5207-47B2-84F9-F35D2D0066F0}">
      <text>
        <r>
          <rPr>
            <b/>
            <sz val="9"/>
            <color indexed="81"/>
            <rFont val="MS P ゴシック"/>
            <family val="3"/>
            <charset val="128"/>
          </rPr>
          <t>chiba:</t>
        </r>
        <r>
          <rPr>
            <sz val="9"/>
            <color indexed="81"/>
            <rFont val="MS P ゴシック"/>
            <family val="3"/>
            <charset val="128"/>
          </rPr>
          <t xml:space="preserve">
S-3</t>
        </r>
      </text>
    </comment>
    <comment ref="K1664" authorId="1" shapeId="0" xr:uid="{3A6491F2-A1B0-4A6F-9D85-E8F8832B16A3}">
      <text>
        <r>
          <rPr>
            <b/>
            <sz val="9"/>
            <color indexed="81"/>
            <rFont val="MS P ゴシック"/>
            <family val="3"/>
            <charset val="128"/>
          </rPr>
          <t>chiba:</t>
        </r>
        <r>
          <rPr>
            <sz val="9"/>
            <color indexed="81"/>
            <rFont val="MS P ゴシック"/>
            <family val="3"/>
            <charset val="128"/>
          </rPr>
          <t xml:space="preserve">
46.43*1.5</t>
        </r>
      </text>
    </comment>
    <comment ref="K1665" authorId="1" shapeId="0" xr:uid="{CA83C946-8774-40D8-B49A-0A0A5BF0A36A}">
      <text>
        <r>
          <rPr>
            <b/>
            <sz val="9"/>
            <color indexed="81"/>
            <rFont val="MS P ゴシック"/>
            <family val="3"/>
            <charset val="128"/>
          </rPr>
          <t>chiba:</t>
        </r>
        <r>
          <rPr>
            <sz val="9"/>
            <color indexed="81"/>
            <rFont val="MS P ゴシック"/>
            <family val="3"/>
            <charset val="128"/>
          </rPr>
          <t xml:space="preserve">
46.43*1.5</t>
        </r>
      </text>
    </comment>
    <comment ref="K1666" authorId="1" shapeId="0" xr:uid="{655590A7-81CC-4865-8958-5A52E669D434}">
      <text>
        <r>
          <rPr>
            <b/>
            <sz val="9"/>
            <color indexed="81"/>
            <rFont val="MS P ゴシック"/>
            <family val="3"/>
            <charset val="128"/>
          </rPr>
          <t>chiba:</t>
        </r>
        <r>
          <rPr>
            <sz val="9"/>
            <color indexed="81"/>
            <rFont val="MS P ゴシック"/>
            <family val="3"/>
            <charset val="128"/>
          </rPr>
          <t xml:space="preserve">
48.22*1.5</t>
        </r>
      </text>
    </comment>
    <comment ref="K1667" authorId="1" shapeId="0" xr:uid="{10BD826F-2F20-4B8E-B625-C1892B8CCD6B}">
      <text>
        <r>
          <rPr>
            <b/>
            <sz val="9"/>
            <color indexed="81"/>
            <rFont val="MS P ゴシック"/>
            <family val="3"/>
            <charset val="128"/>
          </rPr>
          <t>chiba:</t>
        </r>
        <r>
          <rPr>
            <sz val="9"/>
            <color indexed="81"/>
            <rFont val="MS P ゴシック"/>
            <family val="3"/>
            <charset val="128"/>
          </rPr>
          <t xml:space="preserve">
在庫からなのでバルク単価</t>
        </r>
      </text>
    </comment>
    <comment ref="P1667" authorId="1" shapeId="0" xr:uid="{8EE774CC-9499-4858-9E2C-173CD9217F09}">
      <text>
        <r>
          <rPr>
            <b/>
            <sz val="9"/>
            <color indexed="81"/>
            <rFont val="MS P ゴシック"/>
            <family val="3"/>
            <charset val="128"/>
          </rPr>
          <t>chiba:</t>
        </r>
        <r>
          <rPr>
            <sz val="9"/>
            <color indexed="81"/>
            <rFont val="MS P ゴシック"/>
            <family val="3"/>
            <charset val="128"/>
          </rPr>
          <t xml:space="preserve">
在庫からなのでバルク単価</t>
        </r>
      </text>
    </comment>
    <comment ref="J1668" authorId="1" shapeId="0" xr:uid="{F8B069D2-8F48-4C60-A1EA-FC4AA06C5BC6}">
      <text>
        <r>
          <rPr>
            <b/>
            <sz val="9"/>
            <color indexed="81"/>
            <rFont val="MS P ゴシック"/>
            <family val="3"/>
            <charset val="128"/>
          </rPr>
          <t>chiba:</t>
        </r>
        <r>
          <rPr>
            <sz val="9"/>
            <color indexed="81"/>
            <rFont val="MS P ゴシック"/>
            <family val="3"/>
            <charset val="128"/>
          </rPr>
          <t xml:space="preserve">
S-1</t>
        </r>
      </text>
    </comment>
    <comment ref="K1668" authorId="1" shapeId="0" xr:uid="{89369A5F-FFDC-4CD1-9257-2AAE2155714B}">
      <text>
        <r>
          <rPr>
            <b/>
            <sz val="9"/>
            <color indexed="81"/>
            <rFont val="MS P ゴシック"/>
            <family val="3"/>
            <charset val="128"/>
          </rPr>
          <t>chiba:</t>
        </r>
        <r>
          <rPr>
            <sz val="9"/>
            <color indexed="81"/>
            <rFont val="MS P ゴシック"/>
            <family val="3"/>
            <charset val="128"/>
          </rPr>
          <t xml:space="preserve">
44.2*1.5</t>
        </r>
      </text>
    </comment>
    <comment ref="K1669" authorId="1" shapeId="0" xr:uid="{FC42455E-6A5E-4B8E-B6A3-1AB00CAA67F6}">
      <text>
        <r>
          <rPr>
            <b/>
            <sz val="9"/>
            <color indexed="81"/>
            <rFont val="MS P ゴシック"/>
            <family val="3"/>
            <charset val="128"/>
          </rPr>
          <t>chiba:</t>
        </r>
        <r>
          <rPr>
            <sz val="9"/>
            <color indexed="81"/>
            <rFont val="MS P ゴシック"/>
            <family val="3"/>
            <charset val="128"/>
          </rPr>
          <t xml:space="preserve">
44.2*1.5</t>
        </r>
      </text>
    </comment>
    <comment ref="J1671" authorId="1" shapeId="0" xr:uid="{A9729E3D-A630-4D8A-BCCB-6976D0E4B084}">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K1671" authorId="1" shapeId="0" xr:uid="{DE453F61-0FC8-464B-89F1-BFA932F211E8}">
      <text>
        <r>
          <rPr>
            <b/>
            <sz val="9"/>
            <color indexed="81"/>
            <rFont val="MS P ゴシック"/>
            <family val="3"/>
            <charset val="128"/>
          </rPr>
          <t>chiba:</t>
        </r>
        <r>
          <rPr>
            <sz val="9"/>
            <color indexed="81"/>
            <rFont val="MS P ゴシック"/>
            <family val="3"/>
            <charset val="128"/>
          </rPr>
          <t xml:space="preserve">
在庫からなのでバルク単価</t>
        </r>
      </text>
    </comment>
    <comment ref="P1671" authorId="1" shapeId="0" xr:uid="{58DD28E5-0C9F-431E-B9CC-44B329D63E57}">
      <text>
        <r>
          <rPr>
            <b/>
            <sz val="9"/>
            <color indexed="81"/>
            <rFont val="MS P ゴシック"/>
            <family val="3"/>
            <charset val="128"/>
          </rPr>
          <t>chiba:</t>
        </r>
        <r>
          <rPr>
            <sz val="9"/>
            <color indexed="81"/>
            <rFont val="MS P ゴシック"/>
            <family val="3"/>
            <charset val="128"/>
          </rPr>
          <t xml:space="preserve">
在庫からなのでバルク単価</t>
        </r>
      </text>
    </comment>
    <comment ref="J1672" authorId="1" shapeId="0" xr:uid="{04248170-106F-4E5B-BD2F-34600F8E7928}">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K1672" authorId="1" shapeId="0" xr:uid="{F714755B-1CD4-47CC-A486-899779DB21FF}">
      <text>
        <r>
          <rPr>
            <b/>
            <sz val="9"/>
            <color indexed="81"/>
            <rFont val="MS P ゴシック"/>
            <family val="3"/>
            <charset val="128"/>
          </rPr>
          <t>chiba:</t>
        </r>
        <r>
          <rPr>
            <sz val="9"/>
            <color indexed="81"/>
            <rFont val="MS P ゴシック"/>
            <family val="3"/>
            <charset val="128"/>
          </rPr>
          <t xml:space="preserve">
在庫からなのでバルク単価</t>
        </r>
      </text>
    </comment>
    <comment ref="P1672" authorId="1" shapeId="0" xr:uid="{F82E0DB7-6E74-40B6-8420-E55E113ECCE4}">
      <text>
        <r>
          <rPr>
            <b/>
            <sz val="9"/>
            <color indexed="81"/>
            <rFont val="MS P ゴシック"/>
            <family val="3"/>
            <charset val="128"/>
          </rPr>
          <t>chiba:</t>
        </r>
        <r>
          <rPr>
            <sz val="9"/>
            <color indexed="81"/>
            <rFont val="MS P ゴシック"/>
            <family val="3"/>
            <charset val="128"/>
          </rPr>
          <t xml:space="preserve">
在庫からなのでバルク単価</t>
        </r>
      </text>
    </comment>
    <comment ref="K1673" authorId="1" shapeId="0" xr:uid="{15690D03-90CB-408D-A789-3143FDD75C2E}">
      <text>
        <r>
          <rPr>
            <b/>
            <sz val="9"/>
            <color indexed="81"/>
            <rFont val="MS P ゴシック"/>
            <family val="3"/>
            <charset val="128"/>
          </rPr>
          <t>chiba:</t>
        </r>
        <r>
          <rPr>
            <sz val="9"/>
            <color indexed="81"/>
            <rFont val="MS P ゴシック"/>
            <family val="3"/>
            <charset val="128"/>
          </rPr>
          <t xml:space="preserve">
在庫からなのでバルク単価</t>
        </r>
      </text>
    </comment>
    <comment ref="P1673" authorId="1" shapeId="0" xr:uid="{C686868F-95E9-4C19-B41A-32157C6E3C98}">
      <text>
        <r>
          <rPr>
            <b/>
            <sz val="9"/>
            <color indexed="81"/>
            <rFont val="MS P ゴシック"/>
            <family val="3"/>
            <charset val="128"/>
          </rPr>
          <t>chiba:</t>
        </r>
        <r>
          <rPr>
            <sz val="9"/>
            <color indexed="81"/>
            <rFont val="MS P ゴシック"/>
            <family val="3"/>
            <charset val="128"/>
          </rPr>
          <t xml:space="preserve">
在庫からなのでバルク単価</t>
        </r>
      </text>
    </comment>
    <comment ref="K1674" authorId="1" shapeId="0" xr:uid="{F5BDF3C6-2C96-4AD0-A64F-86EFEC30C4B9}">
      <text>
        <r>
          <rPr>
            <b/>
            <sz val="9"/>
            <color indexed="81"/>
            <rFont val="MS P ゴシック"/>
            <family val="3"/>
            <charset val="128"/>
          </rPr>
          <t>chiba:</t>
        </r>
        <r>
          <rPr>
            <sz val="9"/>
            <color indexed="81"/>
            <rFont val="MS P ゴシック"/>
            <family val="3"/>
            <charset val="128"/>
          </rPr>
          <t xml:space="preserve">
43.67*1.5</t>
        </r>
      </text>
    </comment>
    <comment ref="K1675" authorId="1" shapeId="0" xr:uid="{02248D72-26BD-41F3-B6F8-E6575001C410}">
      <text>
        <r>
          <rPr>
            <b/>
            <sz val="9"/>
            <color indexed="81"/>
            <rFont val="MS P ゴシック"/>
            <family val="3"/>
            <charset val="128"/>
          </rPr>
          <t>chiba:</t>
        </r>
        <r>
          <rPr>
            <sz val="9"/>
            <color indexed="81"/>
            <rFont val="MS P ゴシック"/>
            <family val="3"/>
            <charset val="128"/>
          </rPr>
          <t xml:space="preserve">
43.67*1.5</t>
        </r>
      </text>
    </comment>
    <comment ref="J1676" authorId="1" shapeId="0" xr:uid="{D968A07D-15F8-4086-B90E-436A6AB2CD4E}">
      <text>
        <r>
          <rPr>
            <b/>
            <sz val="9"/>
            <color indexed="81"/>
            <rFont val="MS P ゴシック"/>
            <family val="3"/>
            <charset val="128"/>
          </rPr>
          <t>chiba:</t>
        </r>
        <r>
          <rPr>
            <sz val="9"/>
            <color indexed="81"/>
            <rFont val="MS P ゴシック"/>
            <family val="3"/>
            <charset val="128"/>
          </rPr>
          <t xml:space="preserve">
S-2</t>
        </r>
      </text>
    </comment>
    <comment ref="K1676" authorId="1" shapeId="0" xr:uid="{D79D18A2-1827-4F53-8A1E-F51E408EE82A}">
      <text>
        <r>
          <rPr>
            <b/>
            <sz val="9"/>
            <color indexed="81"/>
            <rFont val="MS P ゴシック"/>
            <family val="3"/>
            <charset val="128"/>
          </rPr>
          <t>chiba:</t>
        </r>
        <r>
          <rPr>
            <sz val="9"/>
            <color indexed="81"/>
            <rFont val="MS P ゴシック"/>
            <family val="3"/>
            <charset val="128"/>
          </rPr>
          <t xml:space="preserve">
17.06*1.5</t>
        </r>
      </text>
    </comment>
    <comment ref="K1677" authorId="1" shapeId="0" xr:uid="{74D14106-2279-4718-BF9B-28430E788CEA}">
      <text>
        <r>
          <rPr>
            <b/>
            <sz val="9"/>
            <color indexed="81"/>
            <rFont val="MS P ゴシック"/>
            <family val="3"/>
            <charset val="128"/>
          </rPr>
          <t>chiba:</t>
        </r>
        <r>
          <rPr>
            <sz val="9"/>
            <color indexed="81"/>
            <rFont val="MS P ゴシック"/>
            <family val="3"/>
            <charset val="128"/>
          </rPr>
          <t xml:space="preserve">
17.06*1.5</t>
        </r>
      </text>
    </comment>
    <comment ref="J1679" authorId="1" shapeId="0" xr:uid="{84CDA687-6AA8-4121-AE80-5C67BEAC83AD}">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K1679" authorId="1" shapeId="0" xr:uid="{770DB87D-FE9B-4408-B5D9-2E38EF9AA1E6}">
      <text>
        <r>
          <rPr>
            <b/>
            <sz val="9"/>
            <color indexed="81"/>
            <rFont val="MS P ゴシック"/>
            <family val="3"/>
            <charset val="128"/>
          </rPr>
          <t>chiba:</t>
        </r>
        <r>
          <rPr>
            <sz val="9"/>
            <color indexed="81"/>
            <rFont val="MS P ゴシック"/>
            <family val="3"/>
            <charset val="128"/>
          </rPr>
          <t xml:space="preserve">
在庫からなのでバルク単価</t>
        </r>
      </text>
    </comment>
    <comment ref="P1679" authorId="1" shapeId="0" xr:uid="{F30DE9AF-0786-49B9-8DE6-898EB26CAD80}">
      <text>
        <r>
          <rPr>
            <b/>
            <sz val="9"/>
            <color indexed="81"/>
            <rFont val="MS P ゴシック"/>
            <family val="3"/>
            <charset val="128"/>
          </rPr>
          <t>chiba:</t>
        </r>
        <r>
          <rPr>
            <sz val="9"/>
            <color indexed="81"/>
            <rFont val="MS P ゴシック"/>
            <family val="3"/>
            <charset val="128"/>
          </rPr>
          <t xml:space="preserve">
在庫からなのでバルク単価</t>
        </r>
      </text>
    </comment>
    <comment ref="J1680" authorId="1" shapeId="0" xr:uid="{68F8893A-F080-4E17-9BAB-DBE03265B536}">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K1680" authorId="1" shapeId="0" xr:uid="{E94A9F4C-F20B-4025-AF63-146E1827125D}">
      <text>
        <r>
          <rPr>
            <b/>
            <sz val="9"/>
            <color indexed="81"/>
            <rFont val="MS P ゴシック"/>
            <family val="3"/>
            <charset val="128"/>
          </rPr>
          <t>chiba:</t>
        </r>
        <r>
          <rPr>
            <sz val="9"/>
            <color indexed="81"/>
            <rFont val="MS P ゴシック"/>
            <family val="3"/>
            <charset val="128"/>
          </rPr>
          <t xml:space="preserve">
在庫からなのでバルク単価</t>
        </r>
      </text>
    </comment>
    <comment ref="P1680" authorId="1" shapeId="0" xr:uid="{CCDC735D-F13C-46D4-BC97-3F939BB1E4B8}">
      <text>
        <r>
          <rPr>
            <b/>
            <sz val="9"/>
            <color indexed="81"/>
            <rFont val="MS P ゴシック"/>
            <family val="3"/>
            <charset val="128"/>
          </rPr>
          <t>chiba:</t>
        </r>
        <r>
          <rPr>
            <sz val="9"/>
            <color indexed="81"/>
            <rFont val="MS P ゴシック"/>
            <family val="3"/>
            <charset val="128"/>
          </rPr>
          <t xml:space="preserve">
在庫からなのでバルク単価</t>
        </r>
      </text>
    </comment>
    <comment ref="P1697" authorId="1" shapeId="0" xr:uid="{3F380C62-3BF1-4CE1-AA25-819B9F9F0B17}">
      <text>
        <r>
          <rPr>
            <b/>
            <sz val="9"/>
            <color indexed="81"/>
            <rFont val="MS P ゴシック"/>
            <family val="3"/>
            <charset val="128"/>
          </rPr>
          <t>chiba:</t>
        </r>
        <r>
          <rPr>
            <sz val="9"/>
            <color indexed="81"/>
            <rFont val="MS P ゴシック"/>
            <family val="3"/>
            <charset val="128"/>
          </rPr>
          <t xml:space="preserve">
2024.1月より24.2円/M
</t>
        </r>
      </text>
    </comment>
    <comment ref="K1701" authorId="0" shapeId="0" xr:uid="{47AC3E80-C0DD-4945-B0B2-9E09AA2ECAAC}">
      <text>
        <r>
          <rPr>
            <b/>
            <sz val="9"/>
            <color indexed="81"/>
            <rFont val="MS P ゴシック"/>
            <family val="3"/>
            <charset val="128"/>
          </rPr>
          <t>sunfashion:</t>
        </r>
        <r>
          <rPr>
            <sz val="9"/>
            <color indexed="81"/>
            <rFont val="MS P ゴシック"/>
            <family val="3"/>
            <charset val="128"/>
          </rPr>
          <t xml:space="preserve">
40 % 
125</t>
        </r>
      </text>
    </comment>
    <comment ref="K1706" authorId="0" shapeId="0" xr:uid="{1553C61C-89CA-4CB8-84A4-4257BBE612DB}">
      <text>
        <r>
          <rPr>
            <b/>
            <sz val="9"/>
            <color indexed="81"/>
            <rFont val="MS P ゴシック"/>
            <family val="3"/>
            <charset val="128"/>
          </rPr>
          <t>sunfashion:</t>
        </r>
        <r>
          <rPr>
            <sz val="9"/>
            <color indexed="81"/>
            <rFont val="MS P ゴシック"/>
            <family val="3"/>
            <charset val="128"/>
          </rPr>
          <t xml:space="preserve">
34% （÷ 0.66) 
125円</t>
        </r>
      </text>
    </comment>
    <comment ref="P1706" authorId="1" shapeId="0" xr:uid="{7E2FF6BC-B11D-42C6-B534-F16EE06C5F43}">
      <text>
        <r>
          <rPr>
            <b/>
            <sz val="9"/>
            <color indexed="81"/>
            <rFont val="MS P ゴシック"/>
            <family val="3"/>
            <charset val="128"/>
          </rPr>
          <t>chiba:</t>
        </r>
        <r>
          <rPr>
            <sz val="9"/>
            <color indexed="81"/>
            <rFont val="MS P ゴシック"/>
            <family val="3"/>
            <charset val="128"/>
          </rPr>
          <t xml:space="preserve">
次回から520円</t>
        </r>
      </text>
    </comment>
    <comment ref="E1709" authorId="0" shapeId="0" xr:uid="{555B475C-2784-4897-9E97-829CA7366D45}">
      <text>
        <r>
          <rPr>
            <b/>
            <sz val="9"/>
            <color indexed="81"/>
            <rFont val="MS P ゴシック"/>
            <family val="3"/>
            <charset val="128"/>
          </rPr>
          <t>sunfashion:</t>
        </r>
        <r>
          <rPr>
            <sz val="9"/>
            <color indexed="81"/>
            <rFont val="MS P ゴシック"/>
            <family val="3"/>
            <charset val="128"/>
          </rPr>
          <t xml:space="preserve">
KF 4005 D/# F-3431</t>
        </r>
      </text>
    </comment>
    <comment ref="P1709" authorId="1" shapeId="0" xr:uid="{C5ED160B-D9E9-4454-AC3F-7CC3A348FCCD}">
      <text>
        <r>
          <rPr>
            <b/>
            <sz val="9"/>
            <color indexed="81"/>
            <rFont val="MS P ゴシック"/>
            <family val="3"/>
            <charset val="128"/>
          </rPr>
          <t>chiba:</t>
        </r>
        <r>
          <rPr>
            <sz val="9"/>
            <color indexed="81"/>
            <rFont val="MS P ゴシック"/>
            <family val="3"/>
            <charset val="128"/>
          </rPr>
          <t xml:space="preserve">
見積もりは輸出梱包+30で計算</t>
        </r>
      </text>
    </comment>
    <comment ref="E1710" authorId="0" shapeId="0" xr:uid="{740C947F-42DC-4568-ABFA-2AC8834F9942}">
      <text>
        <r>
          <rPr>
            <b/>
            <sz val="9"/>
            <color indexed="81"/>
            <rFont val="MS P ゴシック"/>
            <family val="3"/>
            <charset val="128"/>
          </rPr>
          <t>sunfashion:</t>
        </r>
        <r>
          <rPr>
            <sz val="9"/>
            <color indexed="81"/>
            <rFont val="MS P ゴシック"/>
            <family val="3"/>
            <charset val="128"/>
          </rPr>
          <t xml:space="preserve">
KF 4005 D/# F-3431</t>
        </r>
      </text>
    </comment>
    <comment ref="P1710" authorId="1" shapeId="0" xr:uid="{3BB47B6E-F6F3-4183-A3A1-82FD9E9770D5}">
      <text>
        <r>
          <rPr>
            <b/>
            <sz val="9"/>
            <color indexed="81"/>
            <rFont val="MS P ゴシック"/>
            <family val="3"/>
            <charset val="128"/>
          </rPr>
          <t>chiba:</t>
        </r>
        <r>
          <rPr>
            <sz val="9"/>
            <color indexed="81"/>
            <rFont val="MS P ゴシック"/>
            <family val="3"/>
            <charset val="128"/>
          </rPr>
          <t xml:space="preserve">
見積もりは輸出梱包+30で計算</t>
        </r>
      </text>
    </comment>
    <comment ref="E1711" authorId="0" shapeId="0" xr:uid="{4E9ACF2F-042B-4590-A007-A8A4F0428D63}">
      <text>
        <r>
          <rPr>
            <b/>
            <sz val="9"/>
            <color indexed="81"/>
            <rFont val="MS P ゴシック"/>
            <family val="3"/>
            <charset val="128"/>
          </rPr>
          <t>sunfashion:</t>
        </r>
        <r>
          <rPr>
            <sz val="9"/>
            <color indexed="81"/>
            <rFont val="MS P ゴシック"/>
            <family val="3"/>
            <charset val="128"/>
          </rPr>
          <t xml:space="preserve">
KF 4005 D/# F-3431</t>
        </r>
      </text>
    </comment>
    <comment ref="P1711" authorId="1" shapeId="0" xr:uid="{B7A12EEA-8659-4F5E-A5BA-95B339FC8F70}">
      <text>
        <r>
          <rPr>
            <b/>
            <sz val="9"/>
            <color indexed="81"/>
            <rFont val="MS P ゴシック"/>
            <family val="3"/>
            <charset val="128"/>
          </rPr>
          <t>chiba:</t>
        </r>
        <r>
          <rPr>
            <sz val="9"/>
            <color indexed="81"/>
            <rFont val="MS P ゴシック"/>
            <family val="3"/>
            <charset val="128"/>
          </rPr>
          <t xml:space="preserve">
見積もりは輸出梱包+30で計算</t>
        </r>
      </text>
    </comment>
    <comment ref="E1712" authorId="0" shapeId="0" xr:uid="{5CAD4D9C-A617-4744-8EA2-3C2DD92304CE}">
      <text>
        <r>
          <rPr>
            <b/>
            <sz val="9"/>
            <color indexed="81"/>
            <rFont val="MS P ゴシック"/>
            <family val="3"/>
            <charset val="128"/>
          </rPr>
          <t>sunfashion:</t>
        </r>
        <r>
          <rPr>
            <sz val="9"/>
            <color indexed="81"/>
            <rFont val="MS P ゴシック"/>
            <family val="3"/>
            <charset val="128"/>
          </rPr>
          <t xml:space="preserve">
KF 4005 D/# F-3431</t>
        </r>
      </text>
    </comment>
    <comment ref="P1712" authorId="1" shapeId="0" xr:uid="{BCE9B368-2603-4EBE-B351-8F0CE72A4781}">
      <text>
        <r>
          <rPr>
            <b/>
            <sz val="9"/>
            <color indexed="81"/>
            <rFont val="MS P ゴシック"/>
            <family val="3"/>
            <charset val="128"/>
          </rPr>
          <t>chiba:</t>
        </r>
        <r>
          <rPr>
            <sz val="9"/>
            <color indexed="81"/>
            <rFont val="MS P ゴシック"/>
            <family val="3"/>
            <charset val="128"/>
          </rPr>
          <t xml:space="preserve">
見積もりは輸出梱包+30で計算</t>
        </r>
      </text>
    </comment>
    <comment ref="K1747" authorId="0" shapeId="0" xr:uid="{6A209C72-B11F-4D35-B181-2869D0A71FDE}">
      <text>
        <r>
          <rPr>
            <b/>
            <sz val="9"/>
            <color indexed="81"/>
            <rFont val="MS P ゴシック"/>
            <family val="3"/>
            <charset val="128"/>
          </rPr>
          <t>sunfashion:</t>
        </r>
        <r>
          <rPr>
            <sz val="9"/>
            <color indexed="81"/>
            <rFont val="MS P ゴシック"/>
            <family val="3"/>
            <charset val="128"/>
          </rPr>
          <t xml:space="preserve">
30% 
125</t>
        </r>
      </text>
    </comment>
    <comment ref="K1749" authorId="0" shapeId="0" xr:uid="{60BEEA4B-EE2E-4737-B57B-E45623CBAAAA}">
      <text>
        <r>
          <rPr>
            <b/>
            <sz val="9"/>
            <color indexed="81"/>
            <rFont val="MS P ゴシック"/>
            <family val="3"/>
            <charset val="128"/>
          </rPr>
          <t>sunfashion:</t>
        </r>
        <r>
          <rPr>
            <sz val="9"/>
            <color indexed="81"/>
            <rFont val="MS P ゴシック"/>
            <family val="3"/>
            <charset val="128"/>
          </rPr>
          <t xml:space="preserve">
30% 
125</t>
        </r>
      </text>
    </comment>
    <comment ref="K1799" authorId="0" shapeId="0" xr:uid="{7EAAE28E-56D7-412F-8C9A-10CDB5DE06C9}">
      <text>
        <r>
          <rPr>
            <b/>
            <sz val="9"/>
            <color indexed="81"/>
            <rFont val="MS P ゴシック"/>
            <family val="3"/>
            <charset val="128"/>
          </rPr>
          <t>sunfashion:</t>
        </r>
        <r>
          <rPr>
            <sz val="9"/>
            <color indexed="81"/>
            <rFont val="MS P ゴシック"/>
            <family val="3"/>
            <charset val="128"/>
          </rPr>
          <t xml:space="preserve">
34% （÷ 0.66) 
125円</t>
        </r>
      </text>
    </comment>
    <comment ref="E1819" authorId="1" shapeId="0" xr:uid="{EC6EBDD0-41DA-466A-8D0B-3E8A36F64B93}">
      <text>
        <r>
          <rPr>
            <b/>
            <sz val="9"/>
            <color indexed="81"/>
            <rFont val="MS P ゴシック"/>
            <family val="3"/>
            <charset val="128"/>
          </rPr>
          <t>chiba:</t>
        </r>
        <r>
          <rPr>
            <sz val="9"/>
            <color indexed="81"/>
            <rFont val="MS P ゴシック"/>
            <family val="3"/>
            <charset val="128"/>
          </rPr>
          <t xml:space="preserve">
社内在庫より</t>
        </r>
      </text>
    </comment>
    <comment ref="K1823" authorId="0" shapeId="0" xr:uid="{4290D32A-54E2-4692-9A5D-930E6B527AD1}">
      <text>
        <r>
          <rPr>
            <b/>
            <sz val="9"/>
            <color indexed="81"/>
            <rFont val="MS P ゴシック"/>
            <family val="3"/>
            <charset val="128"/>
          </rPr>
          <t>sunfashion:</t>
        </r>
        <r>
          <rPr>
            <sz val="9"/>
            <color indexed="81"/>
            <rFont val="MS P ゴシック"/>
            <family val="3"/>
            <charset val="128"/>
          </rPr>
          <t xml:space="preserve">
40 % 
125</t>
        </r>
      </text>
    </comment>
    <comment ref="E1827" authorId="1" shapeId="0" xr:uid="{4334B39D-CBCD-4026-AE19-7F7A3BFE224D}">
      <text>
        <r>
          <rPr>
            <b/>
            <sz val="9"/>
            <color indexed="81"/>
            <rFont val="MS P ゴシック"/>
            <family val="3"/>
            <charset val="128"/>
          </rPr>
          <t>chiba:</t>
        </r>
        <r>
          <rPr>
            <sz val="9"/>
            <color indexed="81"/>
            <rFont val="MS P ゴシック"/>
            <family val="3"/>
            <charset val="128"/>
          </rPr>
          <t xml:space="preserve">
PI# 6568</t>
        </r>
      </text>
    </comment>
    <comment ref="K1837" authorId="0" shapeId="0" xr:uid="{8ADCBE44-8C02-49D5-ACD6-2E35BF19377A}">
      <text>
        <r>
          <rPr>
            <b/>
            <sz val="9"/>
            <color indexed="81"/>
            <rFont val="MS P ゴシック"/>
            <family val="3"/>
            <charset val="128"/>
          </rPr>
          <t>sunfashion:</t>
        </r>
        <r>
          <rPr>
            <sz val="9"/>
            <color indexed="81"/>
            <rFont val="MS P ゴシック"/>
            <family val="3"/>
            <charset val="128"/>
          </rPr>
          <t xml:space="preserve">
30% 
125</t>
        </r>
      </text>
    </comment>
    <comment ref="K1841" authorId="0" shapeId="0" xr:uid="{959D2213-45BA-4E43-A8C2-6F0323B4D44C}">
      <text>
        <r>
          <rPr>
            <b/>
            <sz val="9"/>
            <color indexed="81"/>
            <rFont val="MS P ゴシック"/>
            <family val="3"/>
            <charset val="128"/>
          </rPr>
          <t>sunfashion:</t>
        </r>
        <r>
          <rPr>
            <sz val="9"/>
            <color indexed="81"/>
            <rFont val="MS P ゴシック"/>
            <family val="3"/>
            <charset val="128"/>
          </rPr>
          <t xml:space="preserve">
40 % 
125</t>
        </r>
      </text>
    </comment>
    <comment ref="K1842" authorId="0" shapeId="0" xr:uid="{BAE22B05-AA4F-4434-BA15-8A29C61E9EA0}">
      <text>
        <r>
          <rPr>
            <b/>
            <sz val="9"/>
            <color indexed="81"/>
            <rFont val="MS P ゴシック"/>
            <family val="3"/>
            <charset val="128"/>
          </rPr>
          <t>sunfashion:</t>
        </r>
        <r>
          <rPr>
            <sz val="9"/>
            <color indexed="81"/>
            <rFont val="MS P ゴシック"/>
            <family val="3"/>
            <charset val="128"/>
          </rPr>
          <t xml:space="preserve">
34% （÷ 0.66) 
125円</t>
        </r>
      </text>
    </comment>
    <comment ref="P1865" authorId="1" shapeId="0" xr:uid="{3D273DA9-E2FF-43CE-8102-C9EDF5D17700}">
      <text>
        <r>
          <rPr>
            <b/>
            <sz val="9"/>
            <color indexed="81"/>
            <rFont val="MS P ゴシック"/>
            <family val="3"/>
            <charset val="128"/>
          </rPr>
          <t>chiba:</t>
        </r>
        <r>
          <rPr>
            <sz val="9"/>
            <color indexed="81"/>
            <rFont val="MS P ゴシック"/>
            <family val="3"/>
            <charset val="128"/>
          </rPr>
          <t xml:space="preserve">
137mベースの単価
</t>
        </r>
      </text>
    </comment>
    <comment ref="L1876" authorId="1" shapeId="0" xr:uid="{A823DF88-EAD7-4A7B-A3F5-1C0D43036D98}">
      <text>
        <r>
          <rPr>
            <b/>
            <sz val="9"/>
            <color indexed="81"/>
            <rFont val="MS P ゴシック"/>
            <family val="3"/>
            <charset val="128"/>
          </rPr>
          <t>chiba:</t>
        </r>
        <r>
          <rPr>
            <sz val="9"/>
            <color indexed="81"/>
            <rFont val="MS P ゴシック"/>
            <family val="3"/>
            <charset val="128"/>
          </rPr>
          <t xml:space="preserve">
今回は請求なし</t>
        </r>
      </text>
    </comment>
    <comment ref="K1879" authorId="0" shapeId="0" xr:uid="{7E480B31-BFF2-48D4-8746-E2378D1FD238}">
      <text>
        <r>
          <rPr>
            <b/>
            <sz val="9"/>
            <color indexed="81"/>
            <rFont val="MS P ゴシック"/>
            <family val="3"/>
            <charset val="128"/>
          </rPr>
          <t>sunfashion:</t>
        </r>
        <r>
          <rPr>
            <sz val="9"/>
            <color indexed="81"/>
            <rFont val="MS P ゴシック"/>
            <family val="3"/>
            <charset val="128"/>
          </rPr>
          <t xml:space="preserve">
30% 
125</t>
        </r>
      </text>
    </comment>
    <comment ref="E1887" authorId="1" shapeId="0" xr:uid="{55C527A5-4D15-4A26-8B58-EEBF10816EAB}">
      <text>
        <r>
          <rPr>
            <b/>
            <sz val="9"/>
            <color indexed="81"/>
            <rFont val="MS P ゴシック"/>
            <family val="3"/>
            <charset val="128"/>
          </rPr>
          <t>chiba:</t>
        </r>
        <r>
          <rPr>
            <sz val="9"/>
            <color indexed="81"/>
            <rFont val="MS P ゴシック"/>
            <family val="3"/>
            <charset val="128"/>
          </rPr>
          <t xml:space="preserve">
KKF9225  D/# 1</t>
        </r>
      </text>
    </comment>
    <comment ref="E1898" authorId="4" shapeId="0" xr:uid="{ADFCFDA7-22AF-475C-9ECC-7B19041C6892}">
      <text>
        <r>
          <rPr>
            <b/>
            <sz val="14"/>
            <color indexed="81"/>
            <rFont val="MS P ゴシック"/>
            <family val="3"/>
            <charset val="128"/>
          </rPr>
          <t>a.hamada:</t>
        </r>
        <r>
          <rPr>
            <sz val="14"/>
            <color indexed="81"/>
            <rFont val="MS P ゴシック"/>
            <family val="3"/>
            <charset val="128"/>
          </rPr>
          <t xml:space="preserve">
PI# 7040</t>
        </r>
      </text>
    </comment>
    <comment ref="K1903" authorId="0" shapeId="0" xr:uid="{521FA2AB-CB2E-4D0E-83CD-A448AC7FF116}">
      <text>
        <r>
          <rPr>
            <b/>
            <sz val="9"/>
            <color indexed="81"/>
            <rFont val="MS P ゴシック"/>
            <family val="3"/>
            <charset val="128"/>
          </rPr>
          <t>sunfashion:</t>
        </r>
        <r>
          <rPr>
            <sz val="9"/>
            <color indexed="81"/>
            <rFont val="MS P ゴシック"/>
            <family val="3"/>
            <charset val="128"/>
          </rPr>
          <t xml:space="preserve">
40 % 
125</t>
        </r>
      </text>
    </comment>
    <comment ref="P1907" authorId="1" shapeId="0" xr:uid="{9B6C1F32-D336-443B-BA28-EF5668B62316}">
      <text>
        <r>
          <rPr>
            <b/>
            <sz val="9"/>
            <color indexed="81"/>
            <rFont val="MS P ゴシック"/>
            <family val="3"/>
            <charset val="128"/>
          </rPr>
          <t>chiba:</t>
        </r>
        <r>
          <rPr>
            <sz val="9"/>
            <color indexed="81"/>
            <rFont val="MS P ゴシック"/>
            <family val="3"/>
            <charset val="128"/>
          </rPr>
          <t xml:space="preserve">
5月より96円
</t>
        </r>
      </text>
    </comment>
    <comment ref="P1908" authorId="1" shapeId="0" xr:uid="{763AFF9B-BD4E-43A9-9D00-167EC7D09E23}">
      <text>
        <r>
          <rPr>
            <b/>
            <sz val="9"/>
            <color indexed="81"/>
            <rFont val="MS P ゴシック"/>
            <family val="3"/>
            <charset val="128"/>
          </rPr>
          <t>chiba:</t>
        </r>
        <r>
          <rPr>
            <sz val="9"/>
            <color indexed="81"/>
            <rFont val="MS P ゴシック"/>
            <family val="3"/>
            <charset val="128"/>
          </rPr>
          <t xml:space="preserve">
5月より96円
</t>
        </r>
      </text>
    </comment>
    <comment ref="P1909" authorId="1" shapeId="0" xr:uid="{A6EAA200-5F69-4910-A2B1-841CEDFA5AFC}">
      <text>
        <r>
          <rPr>
            <b/>
            <sz val="9"/>
            <color indexed="81"/>
            <rFont val="MS P ゴシック"/>
            <family val="3"/>
            <charset val="128"/>
          </rPr>
          <t>chiba:</t>
        </r>
        <r>
          <rPr>
            <sz val="9"/>
            <color indexed="81"/>
            <rFont val="MS P ゴシック"/>
            <family val="3"/>
            <charset val="128"/>
          </rPr>
          <t xml:space="preserve">
5月より96円
</t>
        </r>
      </text>
    </comment>
    <comment ref="K2007" authorId="1" shapeId="0" xr:uid="{EA61A536-C3D7-432F-8C05-9C1024ABCCAB}">
      <text>
        <r>
          <rPr>
            <b/>
            <sz val="9"/>
            <color indexed="81"/>
            <rFont val="MS P ゴシック"/>
            <family val="3"/>
            <charset val="128"/>
          </rPr>
          <t>chiba:</t>
        </r>
        <r>
          <rPr>
            <sz val="9"/>
            <color indexed="81"/>
            <rFont val="MS P ゴシック"/>
            <family val="3"/>
            <charset val="128"/>
          </rPr>
          <t xml:space="preserve">
カット代込みの単価に合わせて計算</t>
        </r>
      </text>
    </comment>
    <comment ref="K2010" authorId="0" shapeId="0" xr:uid="{33EAEE8B-C747-4442-A666-E29252AD9AD6}">
      <text>
        <r>
          <rPr>
            <b/>
            <sz val="9"/>
            <color indexed="81"/>
            <rFont val="MS P ゴシック"/>
            <family val="3"/>
            <charset val="128"/>
          </rPr>
          <t>sunfashion:</t>
        </r>
        <r>
          <rPr>
            <sz val="9"/>
            <color indexed="81"/>
            <rFont val="MS P ゴシック"/>
            <family val="3"/>
            <charset val="128"/>
          </rPr>
          <t xml:space="preserve">
40 % 
125</t>
        </r>
      </text>
    </comment>
    <comment ref="P2045" authorId="1" shapeId="0" xr:uid="{346FED89-06FF-4A0B-A6B6-97CA5170963C}">
      <text>
        <r>
          <rPr>
            <b/>
            <sz val="9"/>
            <color indexed="81"/>
            <rFont val="MS P ゴシック"/>
            <family val="3"/>
            <charset val="128"/>
          </rPr>
          <t>chiba:</t>
        </r>
        <r>
          <rPr>
            <sz val="9"/>
            <color indexed="81"/>
            <rFont val="MS P ゴシック"/>
            <family val="3"/>
            <charset val="128"/>
          </rPr>
          <t xml:space="preserve">
社内在庫より・在庫限り廃番</t>
        </r>
      </text>
    </comment>
    <comment ref="P2046" authorId="1" shapeId="0" xr:uid="{0FA69861-629C-43AE-8775-E4D2D47A5B2B}">
      <text>
        <r>
          <rPr>
            <b/>
            <sz val="9"/>
            <color indexed="81"/>
            <rFont val="MS P ゴシック"/>
            <family val="3"/>
            <charset val="128"/>
          </rPr>
          <t>chiba:</t>
        </r>
        <r>
          <rPr>
            <sz val="9"/>
            <color indexed="81"/>
            <rFont val="MS P ゴシック"/>
            <family val="3"/>
            <charset val="128"/>
          </rPr>
          <t xml:space="preserve">
社内在庫より・在庫限り廃番</t>
        </r>
      </text>
    </comment>
    <comment ref="L2052" authorId="1" shapeId="0" xr:uid="{63B98240-0B3E-4EB9-9A9C-1F52E3DBBE4D}">
      <text>
        <r>
          <rPr>
            <b/>
            <sz val="9"/>
            <color indexed="81"/>
            <rFont val="MS P ゴシック"/>
            <family val="3"/>
            <charset val="128"/>
          </rPr>
          <t>chiba:</t>
        </r>
        <r>
          <rPr>
            <sz val="9"/>
            <color indexed="81"/>
            <rFont val="MS P ゴシック"/>
            <family val="3"/>
            <charset val="128"/>
          </rPr>
          <t xml:space="preserve">
請求無し</t>
        </r>
      </text>
    </comment>
    <comment ref="P2059" authorId="1" shapeId="0" xr:uid="{0F23A8DC-5AF5-4375-9B67-A819CEC76880}">
      <text>
        <r>
          <rPr>
            <b/>
            <sz val="9"/>
            <color indexed="81"/>
            <rFont val="MS P ゴシック"/>
            <family val="3"/>
            <charset val="128"/>
          </rPr>
          <t>chiba:</t>
        </r>
        <r>
          <rPr>
            <sz val="9"/>
            <color indexed="81"/>
            <rFont val="MS P ゴシック"/>
            <family val="3"/>
            <charset val="128"/>
          </rPr>
          <t xml:space="preserve">
運賃1000+カット代1000</t>
        </r>
      </text>
    </comment>
    <comment ref="P2065" authorId="1" shapeId="0" xr:uid="{477A6825-DFDB-4CAB-BA80-ED9E9E0C9F09}">
      <text>
        <r>
          <rPr>
            <b/>
            <sz val="9"/>
            <color indexed="81"/>
            <rFont val="MS P ゴシック"/>
            <family val="3"/>
            <charset val="128"/>
          </rPr>
          <t>chiba:</t>
        </r>
        <r>
          <rPr>
            <sz val="9"/>
            <color indexed="81"/>
            <rFont val="MS P ゴシック"/>
            <family val="3"/>
            <charset val="128"/>
          </rPr>
          <t xml:space="preserve">
輸出単価</t>
        </r>
      </text>
    </comment>
    <comment ref="P2066" authorId="1" shapeId="0" xr:uid="{D04F4D03-4002-417E-AD42-C5FEB1466675}">
      <text>
        <r>
          <rPr>
            <b/>
            <sz val="9"/>
            <color indexed="81"/>
            <rFont val="MS P ゴシック"/>
            <family val="3"/>
            <charset val="128"/>
          </rPr>
          <t>chiba:</t>
        </r>
        <r>
          <rPr>
            <sz val="9"/>
            <color indexed="81"/>
            <rFont val="MS P ゴシック"/>
            <family val="3"/>
            <charset val="128"/>
          </rPr>
          <t xml:space="preserve">
輸出単価</t>
        </r>
      </text>
    </comment>
    <comment ref="P2067" authorId="1" shapeId="0" xr:uid="{6A1A1CE8-5BFC-460C-BE14-D48A0238F37B}">
      <text>
        <r>
          <rPr>
            <b/>
            <sz val="9"/>
            <color indexed="81"/>
            <rFont val="MS P ゴシック"/>
            <family val="3"/>
            <charset val="128"/>
          </rPr>
          <t>chiba:</t>
        </r>
        <r>
          <rPr>
            <sz val="9"/>
            <color indexed="81"/>
            <rFont val="MS P ゴシック"/>
            <family val="3"/>
            <charset val="128"/>
          </rPr>
          <t xml:space="preserve">
輸出単価</t>
        </r>
      </text>
    </comment>
    <comment ref="P2068" authorId="1" shapeId="0" xr:uid="{A660A6D5-1AD5-46B1-B39A-E3D87868A3EB}">
      <text>
        <r>
          <rPr>
            <b/>
            <sz val="9"/>
            <color indexed="81"/>
            <rFont val="MS P ゴシック"/>
            <family val="3"/>
            <charset val="128"/>
          </rPr>
          <t>chiba:</t>
        </r>
        <r>
          <rPr>
            <sz val="9"/>
            <color indexed="81"/>
            <rFont val="MS P ゴシック"/>
            <family val="3"/>
            <charset val="128"/>
          </rPr>
          <t xml:space="preserve">
輸出単価</t>
        </r>
      </text>
    </comment>
    <comment ref="P2069" authorId="1" shapeId="0" xr:uid="{533AD47A-1EBB-46F1-A4F0-B65B9F779855}">
      <text>
        <r>
          <rPr>
            <b/>
            <sz val="9"/>
            <color indexed="81"/>
            <rFont val="MS P ゴシック"/>
            <family val="3"/>
            <charset val="128"/>
          </rPr>
          <t>chiba:</t>
        </r>
        <r>
          <rPr>
            <sz val="9"/>
            <color indexed="81"/>
            <rFont val="MS P ゴシック"/>
            <family val="3"/>
            <charset val="128"/>
          </rPr>
          <t xml:space="preserve">
輸出単価</t>
        </r>
      </text>
    </comment>
    <comment ref="L2095" authorId="1" shapeId="0" xr:uid="{FADA3307-625A-4BCA-B1B2-AA940F5EEC72}">
      <text>
        <r>
          <rPr>
            <b/>
            <sz val="9"/>
            <color indexed="81"/>
            <rFont val="MS P ゴシック"/>
            <family val="3"/>
            <charset val="128"/>
          </rPr>
          <t>chiba:</t>
        </r>
        <r>
          <rPr>
            <sz val="9"/>
            <color indexed="81"/>
            <rFont val="MS P ゴシック"/>
            <family val="3"/>
            <charset val="128"/>
          </rPr>
          <t xml:space="preserve">
先方への請求なし</t>
        </r>
      </text>
    </comment>
    <comment ref="K2109" authorId="1" shapeId="0" xr:uid="{2354BEF7-A4C2-4FF3-BBB7-83ED81B8A987}">
      <text>
        <r>
          <rPr>
            <b/>
            <sz val="9"/>
            <color indexed="81"/>
            <rFont val="MS P ゴシック"/>
            <family val="3"/>
            <charset val="128"/>
          </rPr>
          <t>chiba:</t>
        </r>
        <r>
          <rPr>
            <sz val="9"/>
            <color indexed="81"/>
            <rFont val="MS P ゴシック"/>
            <family val="3"/>
            <charset val="128"/>
          </rPr>
          <t xml:space="preserve">
キバタ生産アップチャージ +100円
こみ580+100+100に合わせて計算</t>
        </r>
      </text>
    </comment>
    <comment ref="P2109" authorId="1" shapeId="0" xr:uid="{5E535A54-0660-41B3-82D1-E1636BDCD552}">
      <text>
        <r>
          <rPr>
            <b/>
            <sz val="9"/>
            <color indexed="81"/>
            <rFont val="MS P ゴシック"/>
            <family val="3"/>
            <charset val="128"/>
          </rPr>
          <t>chiba:</t>
        </r>
        <r>
          <rPr>
            <sz val="9"/>
            <color indexed="81"/>
            <rFont val="MS P ゴシック"/>
            <family val="3"/>
            <charset val="128"/>
          </rPr>
          <t xml:space="preserve">
キバタ生産アップチャージ +100円
こみ580+100+100に合わせて計算</t>
        </r>
      </text>
    </comment>
    <comment ref="K2128" authorId="0" shapeId="0" xr:uid="{FA28E578-0F3C-4259-AAA8-15696B927A75}">
      <text>
        <r>
          <rPr>
            <b/>
            <sz val="9"/>
            <color indexed="81"/>
            <rFont val="MS P ゴシック"/>
            <family val="3"/>
            <charset val="128"/>
          </rPr>
          <t>sunfashion:</t>
        </r>
        <r>
          <rPr>
            <sz val="9"/>
            <color indexed="81"/>
            <rFont val="MS P ゴシック"/>
            <family val="3"/>
            <charset val="128"/>
          </rPr>
          <t xml:space="preserve">
47%（max border  ÷0.53) 
レート125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chiba</author>
    <author>sunfashion</author>
    <author>fujimoto</author>
    <author>fukumoto</author>
  </authors>
  <commentList>
    <comment ref="F13" authorId="0" shapeId="0" xr:uid="{0A6752A3-ABFA-4008-A575-7598D8AEEB18}">
      <text>
        <r>
          <rPr>
            <b/>
            <sz val="9"/>
            <color indexed="81"/>
            <rFont val="ＭＳ Ｐゴシック"/>
            <family val="3"/>
            <charset val="128"/>
          </rPr>
          <t>chiba:</t>
        </r>
        <r>
          <rPr>
            <sz val="9"/>
            <color indexed="81"/>
            <rFont val="ＭＳ Ｐゴシック"/>
            <family val="3"/>
            <charset val="128"/>
          </rPr>
          <t xml:space="preserve">
USD 3.79/m をベースに　ユーロ x 0.85 で計算= 6617M の時の特価</t>
        </r>
      </text>
    </comment>
    <comment ref="F14" authorId="0" shapeId="0" xr:uid="{198CC222-9A20-4330-8C8C-4741C80AB645}">
      <text>
        <r>
          <rPr>
            <b/>
            <sz val="9"/>
            <color indexed="81"/>
            <rFont val="ＭＳ Ｐゴシック"/>
            <family val="3"/>
            <charset val="128"/>
          </rPr>
          <t>chiba:</t>
        </r>
        <r>
          <rPr>
            <sz val="9"/>
            <color indexed="81"/>
            <rFont val="ＭＳ Ｐゴシック"/>
            <family val="3"/>
            <charset val="128"/>
          </rPr>
          <t xml:space="preserve">
USD 3.79/m をベースに　ユーロ x 0.85 で計算= 6617M の時の特価</t>
        </r>
      </text>
    </comment>
    <comment ref="F15" authorId="0" shapeId="0" xr:uid="{56F5F83A-D923-468D-89FE-B0A3BED4D202}">
      <text>
        <r>
          <rPr>
            <b/>
            <sz val="9"/>
            <color indexed="81"/>
            <rFont val="ＭＳ Ｐゴシック"/>
            <family val="3"/>
            <charset val="128"/>
          </rPr>
          <t>chiba:</t>
        </r>
        <r>
          <rPr>
            <sz val="9"/>
            <color indexed="81"/>
            <rFont val="ＭＳ Ｐゴシック"/>
            <family val="3"/>
            <charset val="128"/>
          </rPr>
          <t xml:space="preserve">
USD 3.79/m をベースに　ユーロ x 0.85 で計算= 6617M の時の特価</t>
        </r>
      </text>
    </comment>
    <comment ref="F16" authorId="0" shapeId="0" xr:uid="{0D1DD72B-4DDF-4694-B9D3-E34792197A10}">
      <text>
        <r>
          <rPr>
            <b/>
            <sz val="9"/>
            <color indexed="81"/>
            <rFont val="ＭＳ Ｐゴシック"/>
            <family val="3"/>
            <charset val="128"/>
          </rPr>
          <t>chiba:</t>
        </r>
        <r>
          <rPr>
            <sz val="9"/>
            <color indexed="81"/>
            <rFont val="ＭＳ Ｐゴシック"/>
            <family val="3"/>
            <charset val="128"/>
          </rPr>
          <t xml:space="preserve">
USD 3.79/m をベースに　ユーロ x 0.85 で計算= 6617M の時の特価</t>
        </r>
      </text>
    </comment>
    <comment ref="F63" authorId="0" shapeId="0" xr:uid="{758FC46A-DF04-4A4B-8515-9F3A3D758BFA}">
      <text>
        <r>
          <rPr>
            <sz val="9"/>
            <color indexed="81"/>
            <rFont val="ＭＳ Ｐゴシック"/>
            <family val="3"/>
            <charset val="128"/>
          </rPr>
          <t xml:space="preserve">バルク特価のUSD 2.15/m をベースに　ユーロ x 0.88 で計算
</t>
        </r>
      </text>
    </comment>
    <comment ref="F64" authorId="0" shapeId="0" xr:uid="{C26FC0C8-723E-4E27-A7C1-16D6B56FBB49}">
      <text>
        <r>
          <rPr>
            <sz val="9"/>
            <color indexed="81"/>
            <rFont val="ＭＳ Ｐゴシック"/>
            <family val="3"/>
            <charset val="128"/>
          </rPr>
          <t xml:space="preserve">バルク特価のUSD 2.15/m をベースに　ユーロ x 0.88 で計算
</t>
        </r>
      </text>
    </comment>
    <comment ref="F65" authorId="0" shapeId="0" xr:uid="{BCD09138-FCC7-4C09-B4F8-F68D2845A808}">
      <text>
        <r>
          <rPr>
            <sz val="9"/>
            <color indexed="81"/>
            <rFont val="ＭＳ Ｐゴシック"/>
            <family val="3"/>
            <charset val="128"/>
          </rPr>
          <t xml:space="preserve">バルク特価のUSD 2.15/m をベースに　ユーロ x 0.88 で計算
</t>
        </r>
      </text>
    </comment>
    <comment ref="F66" authorId="0" shapeId="0" xr:uid="{FC110412-C004-4EB6-B126-EAE35059D08A}">
      <text>
        <r>
          <rPr>
            <sz val="9"/>
            <color indexed="81"/>
            <rFont val="ＭＳ Ｐゴシック"/>
            <family val="3"/>
            <charset val="128"/>
          </rPr>
          <t xml:space="preserve">バルク特価のUSD 2.15/m をベースに　ユーロ x 0.88 で計算
</t>
        </r>
      </text>
    </comment>
    <comment ref="F67" authorId="0" shapeId="0" xr:uid="{E4D0959C-F6A2-489A-A352-33A4D566AAFD}">
      <text>
        <r>
          <rPr>
            <sz val="9"/>
            <color indexed="81"/>
            <rFont val="ＭＳ Ｐゴシック"/>
            <family val="3"/>
            <charset val="128"/>
          </rPr>
          <t xml:space="preserve">バルク特価のUSD 1.22/m をベースに　ユーロ x 0.88 で計算
</t>
        </r>
      </text>
    </comment>
    <comment ref="F68" authorId="0" shapeId="0" xr:uid="{48F06E84-106E-48C0-91AA-A708C4654CC9}">
      <text>
        <r>
          <rPr>
            <sz val="9"/>
            <color indexed="81"/>
            <rFont val="ＭＳ Ｐゴシック"/>
            <family val="3"/>
            <charset val="128"/>
          </rPr>
          <t xml:space="preserve">バルク特価のUSD 1.22/m をベースに　ユーロ x 0.88 で計算
</t>
        </r>
      </text>
    </comment>
    <comment ref="F69" authorId="0" shapeId="0" xr:uid="{DC99024F-FB83-4443-9677-9290758747AC}">
      <text>
        <r>
          <rPr>
            <sz val="9"/>
            <color indexed="81"/>
            <rFont val="ＭＳ Ｐゴシック"/>
            <family val="3"/>
            <charset val="128"/>
          </rPr>
          <t xml:space="preserve">バルク特価のUSD 1.22/m をベースに　ユーロ x 0.88 で計算
</t>
        </r>
      </text>
    </comment>
    <comment ref="H73" authorId="0" shapeId="0" xr:uid="{ED56D8A3-A35D-4ABC-8258-CA49AF66FDFC}">
      <text>
        <r>
          <rPr>
            <sz val="9"/>
            <color indexed="81"/>
            <rFont val="ＭＳ Ｐゴシック"/>
            <family val="3"/>
            <charset val="128"/>
          </rPr>
          <t xml:space="preserve">バルク特価のUSD 2.15/m をベースに　ユーロ x 0.88 で計算
</t>
        </r>
      </text>
    </comment>
    <comment ref="H74" authorId="0" shapeId="0" xr:uid="{ABDA0694-24AD-474D-BD1F-3A36970416AD}">
      <text>
        <r>
          <rPr>
            <sz val="9"/>
            <color indexed="81"/>
            <rFont val="ＭＳ Ｐゴシック"/>
            <family val="3"/>
            <charset val="128"/>
          </rPr>
          <t xml:space="preserve">バルク特価のUSD 2.15/m をベースに　ユーロ x 0.88 で計算
</t>
        </r>
      </text>
    </comment>
    <comment ref="H75" authorId="0" shapeId="0" xr:uid="{F0E3A359-F706-443D-80B5-39DD3D60ECEB}">
      <text>
        <r>
          <rPr>
            <sz val="9"/>
            <color indexed="81"/>
            <rFont val="ＭＳ Ｐゴシック"/>
            <family val="3"/>
            <charset val="128"/>
          </rPr>
          <t xml:space="preserve">バルク特価のUSD 2.15/m をベースに　ユーロ x 0.88 で計算
</t>
        </r>
      </text>
    </comment>
    <comment ref="H76" authorId="0" shapeId="0" xr:uid="{2BF6E9B6-EBCF-49AD-BEAA-22E902C4CF64}">
      <text>
        <r>
          <rPr>
            <sz val="9"/>
            <color indexed="81"/>
            <rFont val="ＭＳ Ｐゴシック"/>
            <family val="3"/>
            <charset val="128"/>
          </rPr>
          <t xml:space="preserve">バルク特価のUSD 2.15/m をベースに　ユーロ x 0.88 で計算
</t>
        </r>
      </text>
    </comment>
    <comment ref="H77" authorId="0" shapeId="0" xr:uid="{7D07B535-04D8-4DF2-AC74-6324B7A55A7B}">
      <text>
        <r>
          <rPr>
            <sz val="9"/>
            <color indexed="81"/>
            <rFont val="ＭＳ Ｐゴシック"/>
            <family val="3"/>
            <charset val="128"/>
          </rPr>
          <t xml:space="preserve">バルク特価のUSD 1.22/m をベースに　ユーロ x 0.88 で計算
</t>
        </r>
      </text>
    </comment>
    <comment ref="H78" authorId="0" shapeId="0" xr:uid="{CD3AAF76-30F6-4B64-ABBE-7A97AC5BE593}">
      <text>
        <r>
          <rPr>
            <sz val="9"/>
            <color indexed="81"/>
            <rFont val="ＭＳ Ｐゴシック"/>
            <family val="3"/>
            <charset val="128"/>
          </rPr>
          <t xml:space="preserve">バルク特価のUSD 1.22/m をベースに　ユーロ x 0.88 で計算
</t>
        </r>
      </text>
    </comment>
    <comment ref="H79" authorId="0" shapeId="0" xr:uid="{016285FA-B4FD-4BE5-B22F-7E49E5DF28CE}">
      <text>
        <r>
          <rPr>
            <sz val="9"/>
            <color indexed="81"/>
            <rFont val="ＭＳ Ｐゴシック"/>
            <family val="3"/>
            <charset val="128"/>
          </rPr>
          <t xml:space="preserve">バルク特価のUSD 1.22/m をベースに　ユーロ x 0.88 で計算
</t>
        </r>
      </text>
    </comment>
    <comment ref="F191" authorId="0" shapeId="0" xr:uid="{9A0B9307-32BC-4803-A7B5-7CFE29EA8306}">
      <text>
        <r>
          <rPr>
            <sz val="9"/>
            <color indexed="81"/>
            <rFont val="ＭＳ Ｐゴシック"/>
            <family val="3"/>
            <charset val="128"/>
          </rPr>
          <t xml:space="preserve">バルク特価のUSD 2.15/m をベースに　ユーロ x 0.88 で計算
</t>
        </r>
      </text>
    </comment>
    <comment ref="F192" authorId="0" shapeId="0" xr:uid="{81F3B259-6E06-4F34-9F7F-8D6454D42420}">
      <text>
        <r>
          <rPr>
            <sz val="9"/>
            <color indexed="81"/>
            <rFont val="ＭＳ Ｐゴシック"/>
            <family val="3"/>
            <charset val="128"/>
          </rPr>
          <t xml:space="preserve">バルク特価のUSD 2.15/m をベースに　ユーロ x 0.88 で計算
</t>
        </r>
      </text>
    </comment>
    <comment ref="F193" authorId="0" shapeId="0" xr:uid="{C6F1531B-9F96-476D-8CCC-72A6F3980C59}">
      <text>
        <r>
          <rPr>
            <sz val="9"/>
            <color indexed="81"/>
            <rFont val="ＭＳ Ｐゴシック"/>
            <family val="3"/>
            <charset val="128"/>
          </rPr>
          <t xml:space="preserve">バルク特価のUSD 2.15/m をベースに　ユーロ x 0.88 で計算
</t>
        </r>
      </text>
    </comment>
    <comment ref="F195" authorId="0" shapeId="0" xr:uid="{95527A7F-3EA9-4830-AC64-DCBDAAD53780}">
      <text>
        <r>
          <rPr>
            <sz val="9"/>
            <color indexed="81"/>
            <rFont val="ＭＳ Ｐゴシック"/>
            <family val="3"/>
            <charset val="128"/>
          </rPr>
          <t xml:space="preserve">バルク特価のUSD 2.15/m をベースに　ユーロ x 0.88 で計算
</t>
        </r>
      </text>
    </comment>
    <comment ref="F196" authorId="0" shapeId="0" xr:uid="{79142424-0428-4C1A-9C5F-976665954DB8}">
      <text>
        <r>
          <rPr>
            <sz val="9"/>
            <color indexed="81"/>
            <rFont val="ＭＳ Ｐゴシック"/>
            <family val="3"/>
            <charset val="128"/>
          </rPr>
          <t xml:space="preserve">バルク特価のUSD 2.15/m をベースに　ユーロ x 0.88 で計算
</t>
        </r>
      </text>
    </comment>
    <comment ref="F197" authorId="0" shapeId="0" xr:uid="{0659D652-B9F3-4FD6-B1A8-0E91BAE0E8D2}">
      <text>
        <r>
          <rPr>
            <sz val="9"/>
            <color indexed="81"/>
            <rFont val="ＭＳ Ｐゴシック"/>
            <family val="3"/>
            <charset val="128"/>
          </rPr>
          <t xml:space="preserve">バルク特価のUSD 2.15/m をベースに　ユーロ x 0.88 で計算
</t>
        </r>
      </text>
    </comment>
    <comment ref="F198" authorId="0" shapeId="0" xr:uid="{2AF44F25-2129-479B-B1D1-9317EB15B81B}">
      <text>
        <r>
          <rPr>
            <sz val="9"/>
            <color indexed="81"/>
            <rFont val="ＭＳ Ｐゴシック"/>
            <family val="3"/>
            <charset val="128"/>
          </rPr>
          <t xml:space="preserve">バルク特価のUSD 2.15/m をベースに　ユーロ x 0.88 で計算
</t>
        </r>
      </text>
    </comment>
    <comment ref="F200" authorId="0" shapeId="0" xr:uid="{A752196E-0ABD-449E-A0FF-C8487BBD379A}">
      <text>
        <r>
          <rPr>
            <sz val="9"/>
            <color indexed="81"/>
            <rFont val="ＭＳ Ｐゴシック"/>
            <family val="3"/>
            <charset val="128"/>
          </rPr>
          <t xml:space="preserve">バルク特価のUSD 2.15/m をベースに　ユーロ x 0.88 で計算
</t>
        </r>
      </text>
    </comment>
    <comment ref="F201" authorId="0" shapeId="0" xr:uid="{BEB30541-FD26-4053-B5FE-086C38F45AB0}">
      <text>
        <r>
          <rPr>
            <sz val="9"/>
            <color indexed="81"/>
            <rFont val="ＭＳ Ｐゴシック"/>
            <family val="3"/>
            <charset val="128"/>
          </rPr>
          <t xml:space="preserve">バルク特価のUSD 2.15/m をベースに　ユーロ x 0.88 で計算
</t>
        </r>
      </text>
    </comment>
    <comment ref="F202" authorId="0" shapeId="0" xr:uid="{13ABA7A8-C8B5-4259-B50A-87F763E33746}">
      <text>
        <r>
          <rPr>
            <sz val="9"/>
            <color indexed="81"/>
            <rFont val="ＭＳ Ｐゴシック"/>
            <family val="3"/>
            <charset val="128"/>
          </rPr>
          <t xml:space="preserve">バルク特価のUSD 2.15/m をベースに　ユーロ x 0.88 で計算
</t>
        </r>
      </text>
    </comment>
    <comment ref="F203" authorId="0" shapeId="0" xr:uid="{B7E370DC-FECD-468D-8479-845B27742D94}">
      <text>
        <r>
          <rPr>
            <sz val="9"/>
            <color indexed="81"/>
            <rFont val="ＭＳ Ｐゴシック"/>
            <family val="3"/>
            <charset val="128"/>
          </rPr>
          <t xml:space="preserve">バルク特価のUSD 2.15/m をベースに　ユーロ x 0.88 で計算
</t>
        </r>
      </text>
    </comment>
    <comment ref="F210" authorId="0" shapeId="0" xr:uid="{CB74E1B8-FEC5-461A-B077-B72463C70418}">
      <text>
        <r>
          <rPr>
            <sz val="9"/>
            <color indexed="81"/>
            <rFont val="ＭＳ Ｐゴシック"/>
            <family val="3"/>
            <charset val="128"/>
          </rPr>
          <t xml:space="preserve">バルク特価のUSD 1.22/m をベースに　ユーロ x 0.88 で計算
</t>
        </r>
      </text>
    </comment>
    <comment ref="F213" authorId="0" shapeId="0" xr:uid="{22B05CF5-9B13-4F7F-B497-1F08BFF4D4C2}">
      <text>
        <r>
          <rPr>
            <sz val="9"/>
            <color indexed="81"/>
            <rFont val="ＭＳ Ｐゴシック"/>
            <family val="3"/>
            <charset val="128"/>
          </rPr>
          <t xml:space="preserve">バルク特価のUSD 1.22/m をベースに　ユーロ x 0.88 で計算
</t>
        </r>
      </text>
    </comment>
    <comment ref="F214" authorId="0" shapeId="0" xr:uid="{27A3B249-8DA6-49D2-AD0D-7A2932E8E230}">
      <text>
        <r>
          <rPr>
            <sz val="9"/>
            <color indexed="81"/>
            <rFont val="ＭＳ Ｐゴシック"/>
            <family val="3"/>
            <charset val="128"/>
          </rPr>
          <t xml:space="preserve">バルク特価のUSD 1.22/m をベースに　ユーロ x 0.88 で計算
</t>
        </r>
      </text>
    </comment>
    <comment ref="F215" authorId="0" shapeId="0" xr:uid="{2E673A04-33B4-4445-ACFB-E4A6A4613143}">
      <text>
        <r>
          <rPr>
            <b/>
            <sz val="9"/>
            <color indexed="81"/>
            <rFont val="ＭＳ Ｐゴシック"/>
            <family val="3"/>
            <charset val="128"/>
          </rPr>
          <t xml:space="preserve">chiba:
Mill's Black </t>
        </r>
        <r>
          <rPr>
            <sz val="9"/>
            <color indexed="81"/>
            <rFont val="ＭＳ Ｐゴシック"/>
            <family val="3"/>
            <charset val="128"/>
          </rPr>
          <t xml:space="preserve">単価のUSD 1.92/m をベースに　ユーロ x 0.88 で計算
</t>
        </r>
      </text>
    </comment>
    <comment ref="F217" authorId="0" shapeId="0" xr:uid="{57258FA8-274A-452C-88A6-7862B0A69CE6}">
      <text>
        <r>
          <rPr>
            <sz val="9"/>
            <color indexed="81"/>
            <rFont val="ＭＳ Ｐゴシック"/>
            <family val="3"/>
            <charset val="128"/>
          </rPr>
          <t xml:space="preserve">染色込み単価 USD 1.53/m をベースにユーロ x 0.9 
</t>
        </r>
      </text>
    </comment>
    <comment ref="F220" authorId="0" shapeId="0" xr:uid="{1006D81E-90B6-4FE2-BB95-86A417DC8623}">
      <text>
        <r>
          <rPr>
            <sz val="9"/>
            <color indexed="81"/>
            <rFont val="ＭＳ Ｐゴシック"/>
            <family val="3"/>
            <charset val="128"/>
          </rPr>
          <t xml:space="preserve">バルク特価のUSD 1.22/m をベースに　ユーロ x 0.88 で計算
</t>
        </r>
      </text>
    </comment>
    <comment ref="F224" authorId="0" shapeId="0" xr:uid="{82C7E22D-0D3A-4B22-973D-6303FF1E9C5F}">
      <text>
        <r>
          <rPr>
            <sz val="9"/>
            <color indexed="81"/>
            <rFont val="ＭＳ Ｐゴシック"/>
            <family val="3"/>
            <charset val="128"/>
          </rPr>
          <t xml:space="preserve">バルク特価のUSD 1.22/m をベースに　ユーロ x 0.88 で計算
</t>
        </r>
      </text>
    </comment>
    <comment ref="F227" authorId="0" shapeId="0" xr:uid="{AF9705ED-BB8B-4983-8ECE-6439A536488C}">
      <text>
        <r>
          <rPr>
            <sz val="9"/>
            <color indexed="81"/>
            <rFont val="ＭＳ Ｐゴシック"/>
            <family val="3"/>
            <charset val="128"/>
          </rPr>
          <t xml:space="preserve">バルク特価のUSD 1.22/m をベースに　ユーロ x 0.88 で計算
</t>
        </r>
      </text>
    </comment>
    <comment ref="F229" authorId="0" shapeId="0" xr:uid="{F7D56F35-245E-4604-AFD9-7A1A529827C8}">
      <text>
        <r>
          <rPr>
            <sz val="9"/>
            <color indexed="81"/>
            <rFont val="ＭＳ Ｐゴシック"/>
            <family val="3"/>
            <charset val="128"/>
          </rPr>
          <t xml:space="preserve">バルク特価のUSD 1.22/m をベースに　ユーロ x 0.88 で計算
</t>
        </r>
      </text>
    </comment>
    <comment ref="F234" authorId="0" shapeId="0" xr:uid="{E974E8D7-301D-4086-BA44-F94688410066}">
      <text>
        <r>
          <rPr>
            <b/>
            <sz val="9"/>
            <color indexed="81"/>
            <rFont val="ＭＳ Ｐゴシック"/>
            <family val="3"/>
            <charset val="128"/>
          </rPr>
          <t xml:space="preserve">chiba:
Mill's Black </t>
        </r>
        <r>
          <rPr>
            <sz val="9"/>
            <color indexed="81"/>
            <rFont val="ＭＳ Ｐゴシック"/>
            <family val="3"/>
            <charset val="128"/>
          </rPr>
          <t xml:space="preserve">単価(特別単価）のUSD 1.79/m に合わせて　ユーロ x 0.88 で計算
</t>
        </r>
      </text>
    </comment>
    <comment ref="F235" authorId="0" shapeId="0" xr:uid="{E43BE154-7288-438B-9A6C-46EFE36DFEEA}">
      <text>
        <r>
          <rPr>
            <b/>
            <sz val="9"/>
            <color indexed="81"/>
            <rFont val="ＭＳ Ｐゴシック"/>
            <family val="3"/>
            <charset val="128"/>
          </rPr>
          <t xml:space="preserve">chiba:
Mill's Black </t>
        </r>
        <r>
          <rPr>
            <sz val="9"/>
            <color indexed="81"/>
            <rFont val="ＭＳ Ｐゴシック"/>
            <family val="3"/>
            <charset val="128"/>
          </rPr>
          <t xml:space="preserve">単価(特別単価）のUSD1.20/m に合わせて　ユーロ x 0.88 で計算
</t>
        </r>
      </text>
    </comment>
    <comment ref="E286" authorId="0" shapeId="0" xr:uid="{B9DC7BD5-F913-495D-B4B1-8CAEF90EF5D5}">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87" authorId="0" shapeId="0" xr:uid="{70A345D8-D6B5-4FCC-8930-942F215766D8}">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88" authorId="0" shapeId="0" xr:uid="{9924BA7F-EA73-454B-BAB6-7433DE68D0B3}">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89" authorId="0" shapeId="0" xr:uid="{7CC5A41A-404D-42CD-AB6A-57EAF4797777}">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0" authorId="0" shapeId="0" xr:uid="{833E0EE0-E6F5-4E63-B134-46D22E9B38C9}">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1" authorId="0" shapeId="0" xr:uid="{1A2BB7E3-ABFF-412C-9A9F-94820865D587}">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2" authorId="0" shapeId="0" xr:uid="{C66DBB89-EC57-4F08-A868-71E32CB8FA02}">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3" authorId="0" shapeId="0" xr:uid="{3449B433-8A5B-40DE-83BD-587EAE399465}">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4" authorId="0" shapeId="0" xr:uid="{02A202F8-0CDB-457B-86A6-79AA6E1ED6FB}">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5" authorId="0" shapeId="0" xr:uid="{EDE4F209-E602-4CE4-B1F2-1D061D9A9D38}">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6" authorId="0" shapeId="0" xr:uid="{888FC7A5-7F08-41DF-9B13-9AED91263DCB}">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7" authorId="0" shapeId="0" xr:uid="{5BCEA305-893C-41A6-B6E6-63DA0F3F9C32}">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298" authorId="0" shapeId="0" xr:uid="{C2F7DC8C-C14D-4EA4-8DE0-2B47BA068B88}">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370" authorId="0" shapeId="0" xr:uid="{2277B11A-D3A2-4460-B09D-23E1C2C799FC}">
      <text>
        <r>
          <rPr>
            <b/>
            <sz val="9"/>
            <color indexed="81"/>
            <rFont val="ＭＳ Ｐゴシック"/>
            <family val="3"/>
            <charset val="128"/>
          </rPr>
          <t>chiba:</t>
        </r>
        <r>
          <rPr>
            <sz val="9"/>
            <color indexed="81"/>
            <rFont val="ＭＳ Ｐゴシック"/>
            <family val="3"/>
            <charset val="128"/>
          </rPr>
          <t xml:space="preserve">
通常€ 5.90/m
バルク特価 € 5.24/m
</t>
        </r>
      </text>
    </comment>
    <comment ref="E371" authorId="0" shapeId="0" xr:uid="{9E36EC1E-C547-4EAE-B6B0-9D3E641E7193}">
      <text>
        <r>
          <rPr>
            <b/>
            <sz val="9"/>
            <color indexed="81"/>
            <rFont val="ＭＳ Ｐゴシック"/>
            <family val="3"/>
            <charset val="128"/>
          </rPr>
          <t>chiba:</t>
        </r>
        <r>
          <rPr>
            <sz val="9"/>
            <color indexed="81"/>
            <rFont val="ＭＳ Ｐゴシック"/>
            <family val="3"/>
            <charset val="128"/>
          </rPr>
          <t xml:space="preserve">
通常€ 5.90/m
バルク特価 € 5.24/m
</t>
        </r>
      </text>
    </comment>
    <comment ref="E372" authorId="0" shapeId="0" xr:uid="{CAF11F53-4354-44EA-A087-0D86CB86E7B7}">
      <text>
        <r>
          <rPr>
            <b/>
            <sz val="9"/>
            <color indexed="81"/>
            <rFont val="ＭＳ Ｐゴシック"/>
            <family val="3"/>
            <charset val="128"/>
          </rPr>
          <t>chiba:</t>
        </r>
        <r>
          <rPr>
            <sz val="9"/>
            <color indexed="81"/>
            <rFont val="ＭＳ Ｐゴシック"/>
            <family val="3"/>
            <charset val="128"/>
          </rPr>
          <t xml:space="preserve">
通常€ 5.90/m
バルク特価 € 5.24/m
</t>
        </r>
      </text>
    </comment>
    <comment ref="E379" authorId="0" shapeId="0" xr:uid="{515B7BE3-CF7A-4DB2-B9D4-66C8103B8DC4}">
      <text>
        <r>
          <rPr>
            <b/>
            <sz val="9"/>
            <color indexed="81"/>
            <rFont val="ＭＳ Ｐゴシック"/>
            <family val="3"/>
            <charset val="128"/>
          </rPr>
          <t>chiba:</t>
        </r>
        <r>
          <rPr>
            <sz val="9"/>
            <color indexed="81"/>
            <rFont val="ＭＳ Ｐゴシック"/>
            <family val="3"/>
            <charset val="128"/>
          </rPr>
          <t xml:space="preserve">
通常€ 5.90/m
バルク特価 € 5.24/m
</t>
        </r>
      </text>
    </comment>
    <comment ref="E380" authorId="0" shapeId="0" xr:uid="{997DBB48-D0B9-4E4B-ADA9-3FFC9660620A}">
      <text>
        <r>
          <rPr>
            <b/>
            <sz val="9"/>
            <color indexed="81"/>
            <rFont val="ＭＳ Ｐゴシック"/>
            <family val="3"/>
            <charset val="128"/>
          </rPr>
          <t>chiba:</t>
        </r>
        <r>
          <rPr>
            <sz val="9"/>
            <color indexed="81"/>
            <rFont val="ＭＳ Ｐゴシック"/>
            <family val="3"/>
            <charset val="128"/>
          </rPr>
          <t xml:space="preserve">
通常€ 5.90/m
バルク特価 € 5.24/m
</t>
        </r>
      </text>
    </comment>
    <comment ref="E381" authorId="0" shapeId="0" xr:uid="{FAC943F3-C936-4E09-A1D5-677CA92C0455}">
      <text>
        <r>
          <rPr>
            <b/>
            <sz val="9"/>
            <color indexed="81"/>
            <rFont val="ＭＳ Ｐゴシック"/>
            <family val="3"/>
            <charset val="128"/>
          </rPr>
          <t>chiba:</t>
        </r>
        <r>
          <rPr>
            <sz val="9"/>
            <color indexed="81"/>
            <rFont val="ＭＳ Ｐゴシック"/>
            <family val="3"/>
            <charset val="128"/>
          </rPr>
          <t xml:space="preserve">
通常€ 5.90/m
バルク特価 € 5.24/m
</t>
        </r>
      </text>
    </comment>
    <comment ref="C389" authorId="0" shapeId="0" xr:uid="{17AF77AD-5846-4043-88D8-1C73CF1C35B6}">
      <text>
        <r>
          <rPr>
            <b/>
            <sz val="9"/>
            <color indexed="81"/>
            <rFont val="ＭＳ Ｐゴシック"/>
            <family val="3"/>
            <charset val="128"/>
          </rPr>
          <t>chiba:</t>
        </r>
        <r>
          <rPr>
            <sz val="9"/>
            <color indexed="81"/>
            <rFont val="ＭＳ Ｐゴシック"/>
            <family val="3"/>
            <charset val="128"/>
          </rPr>
          <t xml:space="preserve">
染色代込み単価</t>
        </r>
      </text>
    </comment>
    <comment ref="C390" authorId="0" shapeId="0" xr:uid="{CB08B709-E326-470E-A782-2CA48327105A}">
      <text>
        <r>
          <rPr>
            <b/>
            <sz val="9"/>
            <color indexed="81"/>
            <rFont val="ＭＳ Ｐゴシック"/>
            <family val="3"/>
            <charset val="128"/>
          </rPr>
          <t>chiba:</t>
        </r>
        <r>
          <rPr>
            <sz val="9"/>
            <color indexed="81"/>
            <rFont val="ＭＳ Ｐゴシック"/>
            <family val="3"/>
            <charset val="128"/>
          </rPr>
          <t xml:space="preserve">
染色代込み単価</t>
        </r>
      </text>
    </comment>
    <comment ref="C392" authorId="0" shapeId="0" xr:uid="{529E76A4-651F-4D1E-83C5-479DBCB033BF}">
      <text>
        <r>
          <rPr>
            <b/>
            <sz val="9"/>
            <color indexed="81"/>
            <rFont val="ＭＳ Ｐゴシック"/>
            <family val="3"/>
            <charset val="128"/>
          </rPr>
          <t>chiba:</t>
        </r>
        <r>
          <rPr>
            <sz val="9"/>
            <color indexed="81"/>
            <rFont val="ＭＳ Ｐゴシック"/>
            <family val="3"/>
            <charset val="128"/>
          </rPr>
          <t xml:space="preserve">
染色代込み単価</t>
        </r>
      </text>
    </comment>
    <comment ref="C393" authorId="0" shapeId="0" xr:uid="{13892A5B-753C-407D-80A1-C481F035DBBA}">
      <text>
        <r>
          <rPr>
            <b/>
            <sz val="9"/>
            <color indexed="81"/>
            <rFont val="ＭＳ Ｐゴシック"/>
            <family val="3"/>
            <charset val="128"/>
          </rPr>
          <t>chiba:</t>
        </r>
        <r>
          <rPr>
            <sz val="9"/>
            <color indexed="81"/>
            <rFont val="ＭＳ Ｐゴシック"/>
            <family val="3"/>
            <charset val="128"/>
          </rPr>
          <t xml:space="preserve">
染色代込み単価</t>
        </r>
      </text>
    </comment>
    <comment ref="C395" authorId="0" shapeId="0" xr:uid="{A1DF0871-9803-41DE-9FEE-4EF7F020F4B0}">
      <text>
        <r>
          <rPr>
            <b/>
            <sz val="9"/>
            <color indexed="81"/>
            <rFont val="ＭＳ Ｐゴシック"/>
            <family val="3"/>
            <charset val="128"/>
          </rPr>
          <t>chiba:</t>
        </r>
        <r>
          <rPr>
            <sz val="9"/>
            <color indexed="81"/>
            <rFont val="ＭＳ Ｐゴシック"/>
            <family val="3"/>
            <charset val="128"/>
          </rPr>
          <t xml:space="preserve">
染色代込み単価</t>
        </r>
      </text>
    </comment>
    <comment ref="C396" authorId="0" shapeId="0" xr:uid="{1E8510D9-B8DC-4976-B2AB-E4B8BFCA80CA}">
      <text>
        <r>
          <rPr>
            <b/>
            <sz val="9"/>
            <color indexed="81"/>
            <rFont val="ＭＳ Ｐゴシック"/>
            <family val="3"/>
            <charset val="128"/>
          </rPr>
          <t>chiba:</t>
        </r>
        <r>
          <rPr>
            <sz val="9"/>
            <color indexed="81"/>
            <rFont val="ＭＳ Ｐゴシック"/>
            <family val="3"/>
            <charset val="128"/>
          </rPr>
          <t xml:space="preserve">
染色代込み単価</t>
        </r>
      </text>
    </comment>
    <comment ref="C398" authorId="0" shapeId="0" xr:uid="{7F151FBB-9691-4DDE-9810-E893456C5150}">
      <text>
        <r>
          <rPr>
            <b/>
            <sz val="9"/>
            <color indexed="81"/>
            <rFont val="ＭＳ Ｐゴシック"/>
            <family val="3"/>
            <charset val="128"/>
          </rPr>
          <t>chiba:</t>
        </r>
        <r>
          <rPr>
            <sz val="9"/>
            <color indexed="81"/>
            <rFont val="ＭＳ Ｐゴシック"/>
            <family val="3"/>
            <charset val="128"/>
          </rPr>
          <t xml:space="preserve">
染色代込み単価</t>
        </r>
      </text>
    </comment>
    <comment ref="C406" authorId="0" shapeId="0" xr:uid="{838BE5B0-6F71-4F92-B7A0-940B9C90287F}">
      <text>
        <r>
          <rPr>
            <b/>
            <sz val="9"/>
            <color indexed="81"/>
            <rFont val="ＭＳ Ｐゴシック"/>
            <family val="3"/>
            <charset val="128"/>
          </rPr>
          <t>chiba:</t>
        </r>
        <r>
          <rPr>
            <sz val="9"/>
            <color indexed="81"/>
            <rFont val="ＭＳ Ｐゴシック"/>
            <family val="3"/>
            <charset val="128"/>
          </rPr>
          <t xml:space="preserve">
染色代込み単価</t>
        </r>
      </text>
    </comment>
    <comment ref="C407" authorId="0" shapeId="0" xr:uid="{03D24043-A7B6-4184-93BF-52DC549AAF91}">
      <text>
        <r>
          <rPr>
            <b/>
            <sz val="9"/>
            <color indexed="81"/>
            <rFont val="ＭＳ Ｐゴシック"/>
            <family val="3"/>
            <charset val="128"/>
          </rPr>
          <t>chiba:</t>
        </r>
        <r>
          <rPr>
            <sz val="9"/>
            <color indexed="81"/>
            <rFont val="ＭＳ Ｐゴシック"/>
            <family val="3"/>
            <charset val="128"/>
          </rPr>
          <t xml:space="preserve">
染色代込み単価</t>
        </r>
      </text>
    </comment>
    <comment ref="C408" authorId="0" shapeId="0" xr:uid="{7FA8CC38-9F17-444D-85D8-9AACBD213C3E}">
      <text>
        <r>
          <rPr>
            <b/>
            <sz val="9"/>
            <color indexed="81"/>
            <rFont val="ＭＳ Ｐゴシック"/>
            <family val="3"/>
            <charset val="128"/>
          </rPr>
          <t>chiba:</t>
        </r>
        <r>
          <rPr>
            <sz val="9"/>
            <color indexed="81"/>
            <rFont val="ＭＳ Ｐゴシック"/>
            <family val="3"/>
            <charset val="128"/>
          </rPr>
          <t xml:space="preserve">
染色代込み単価</t>
        </r>
      </text>
    </comment>
    <comment ref="C410" authorId="0" shapeId="0" xr:uid="{D0A0D477-F124-4035-A70B-E53473BBBF73}">
      <text>
        <r>
          <rPr>
            <b/>
            <sz val="9"/>
            <color indexed="81"/>
            <rFont val="ＭＳ Ｐゴシック"/>
            <family val="3"/>
            <charset val="128"/>
          </rPr>
          <t xml:space="preserve">chiba:
50%
</t>
        </r>
      </text>
    </comment>
    <comment ref="C411" authorId="0" shapeId="0" xr:uid="{6B7BBAA8-9779-49BD-B0BF-D4DF112445F8}">
      <text>
        <r>
          <rPr>
            <b/>
            <sz val="9"/>
            <color indexed="81"/>
            <rFont val="ＭＳ Ｐゴシック"/>
            <family val="3"/>
            <charset val="128"/>
          </rPr>
          <t xml:space="preserve">chiba:
50%
</t>
        </r>
      </text>
    </comment>
    <comment ref="C412" authorId="0" shapeId="0" xr:uid="{FD3626D1-ECCA-49C7-AD88-B21308BCDD90}">
      <text>
        <r>
          <rPr>
            <b/>
            <sz val="9"/>
            <color indexed="81"/>
            <rFont val="ＭＳ Ｐゴシック"/>
            <family val="3"/>
            <charset val="128"/>
          </rPr>
          <t>chiba:</t>
        </r>
        <r>
          <rPr>
            <sz val="9"/>
            <color indexed="81"/>
            <rFont val="ＭＳ Ｐゴシック"/>
            <family val="3"/>
            <charset val="128"/>
          </rPr>
          <t xml:space="preserve">
染色代/カット代込み単価</t>
        </r>
      </text>
    </comment>
    <comment ref="C420" authorId="0" shapeId="0" xr:uid="{365D1031-960A-4542-9FF6-56825A2E7411}">
      <text>
        <r>
          <rPr>
            <b/>
            <sz val="9"/>
            <color indexed="81"/>
            <rFont val="ＭＳ Ｐゴシック"/>
            <family val="3"/>
            <charset val="128"/>
          </rPr>
          <t>chiba:</t>
        </r>
        <r>
          <rPr>
            <sz val="9"/>
            <color indexed="81"/>
            <rFont val="ＭＳ Ｐゴシック"/>
            <family val="3"/>
            <charset val="128"/>
          </rPr>
          <t xml:space="preserve">
染色代込み単価</t>
        </r>
      </text>
    </comment>
    <comment ref="C421" authorId="0" shapeId="0" xr:uid="{4EEF8DDD-81A1-4A1D-9959-210A48A08979}">
      <text>
        <r>
          <rPr>
            <b/>
            <sz val="9"/>
            <color indexed="81"/>
            <rFont val="ＭＳ Ｐゴシック"/>
            <family val="3"/>
            <charset val="128"/>
          </rPr>
          <t>chiba:</t>
        </r>
        <r>
          <rPr>
            <sz val="9"/>
            <color indexed="81"/>
            <rFont val="ＭＳ Ｐゴシック"/>
            <family val="3"/>
            <charset val="128"/>
          </rPr>
          <t xml:space="preserve">
染色代込み単価</t>
        </r>
      </text>
    </comment>
    <comment ref="C461" authorId="0" shapeId="0" xr:uid="{7751049A-DAF9-4041-9CD5-8BAD06C29CEB}">
      <text>
        <r>
          <rPr>
            <b/>
            <sz val="9"/>
            <color indexed="81"/>
            <rFont val="ＭＳ Ｐゴシック"/>
            <family val="3"/>
            <charset val="128"/>
          </rPr>
          <t>chiba:</t>
        </r>
        <r>
          <rPr>
            <sz val="9"/>
            <color indexed="81"/>
            <rFont val="ＭＳ Ｐゴシック"/>
            <family val="3"/>
            <charset val="128"/>
          </rPr>
          <t xml:space="preserve">
染色代込み
</t>
        </r>
      </text>
    </comment>
    <comment ref="C462" authorId="0" shapeId="0" xr:uid="{27F10CA4-DC33-40AA-B334-8EA0129D69FA}">
      <text>
        <r>
          <rPr>
            <b/>
            <sz val="9"/>
            <color indexed="81"/>
            <rFont val="ＭＳ Ｐゴシック"/>
            <family val="3"/>
            <charset val="128"/>
          </rPr>
          <t>chiba:</t>
        </r>
        <r>
          <rPr>
            <sz val="9"/>
            <color indexed="81"/>
            <rFont val="ＭＳ Ｐゴシック"/>
            <family val="3"/>
            <charset val="128"/>
          </rPr>
          <t xml:space="preserve">
染色代込み
</t>
        </r>
      </text>
    </comment>
    <comment ref="A472" authorId="0" shapeId="0" xr:uid="{BC5B4BB6-AEC2-4784-B969-A67E9978242E}">
      <text>
        <r>
          <rPr>
            <b/>
            <sz val="9"/>
            <color indexed="81"/>
            <rFont val="ＭＳ Ｐゴシック"/>
            <family val="3"/>
            <charset val="128"/>
          </rPr>
          <t>chiba:</t>
        </r>
        <r>
          <rPr>
            <sz val="9"/>
            <color indexed="81"/>
            <rFont val="ＭＳ Ｐゴシック"/>
            <family val="3"/>
            <charset val="128"/>
          </rPr>
          <t xml:space="preserve">
Original Marine Color </t>
        </r>
      </text>
    </comment>
    <comment ref="E472" authorId="0" shapeId="0" xr:uid="{0B76E583-020D-4395-9980-344D1C0E3722}">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A473" authorId="0" shapeId="0" xr:uid="{21A5F41F-C7BE-4567-B25F-3E6A815D346D}">
      <text>
        <r>
          <rPr>
            <b/>
            <sz val="9"/>
            <color indexed="81"/>
            <rFont val="ＭＳ Ｐゴシック"/>
            <family val="3"/>
            <charset val="128"/>
          </rPr>
          <t>chiba:</t>
        </r>
        <r>
          <rPr>
            <sz val="9"/>
            <color indexed="81"/>
            <rFont val="ＭＳ Ｐゴシック"/>
            <family val="3"/>
            <charset val="128"/>
          </rPr>
          <t xml:space="preserve">
New Marine Color </t>
        </r>
      </text>
    </comment>
    <comment ref="E473" authorId="0" shapeId="0" xr:uid="{12A6C953-5119-45CC-A237-754B2398935F}">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E476" authorId="0" shapeId="0" xr:uid="{3F9F4CF3-F713-4BAA-B9B8-0C3981782E39}">
      <text>
        <r>
          <rPr>
            <b/>
            <sz val="9"/>
            <color indexed="81"/>
            <rFont val="ＭＳ Ｐゴシック"/>
            <family val="3"/>
            <charset val="128"/>
          </rPr>
          <t>chiba:</t>
        </r>
        <r>
          <rPr>
            <sz val="9"/>
            <color indexed="81"/>
            <rFont val="ＭＳ Ｐゴシック"/>
            <family val="3"/>
            <charset val="128"/>
          </rPr>
          <t xml:space="preserve">
染色代込み
</t>
        </r>
      </text>
    </comment>
    <comment ref="E477" authorId="0" shapeId="0" xr:uid="{5EB09651-59E7-4791-AE62-88488FA4590F}">
      <text>
        <r>
          <rPr>
            <b/>
            <sz val="9"/>
            <color indexed="81"/>
            <rFont val="ＭＳ Ｐゴシック"/>
            <family val="3"/>
            <charset val="128"/>
          </rPr>
          <t>chiba:</t>
        </r>
        <r>
          <rPr>
            <sz val="9"/>
            <color indexed="81"/>
            <rFont val="ＭＳ Ｐゴシック"/>
            <family val="3"/>
            <charset val="128"/>
          </rPr>
          <t xml:space="preserve">
染色代込み
</t>
        </r>
      </text>
    </comment>
    <comment ref="F485" authorId="0" shapeId="0" xr:uid="{4781AE3B-CAE6-407E-90B7-0F0C7875C3FE}">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F486" authorId="0" shapeId="0" xr:uid="{E42D4281-FF35-45E6-991A-6773D21BEA65}">
      <text>
        <r>
          <rPr>
            <b/>
            <sz val="9"/>
            <color indexed="81"/>
            <rFont val="ＭＳ Ｐゴシック"/>
            <family val="3"/>
            <charset val="128"/>
          </rPr>
          <t>chiba:</t>
        </r>
        <r>
          <rPr>
            <sz val="9"/>
            <color indexed="81"/>
            <rFont val="ＭＳ Ｐゴシック"/>
            <family val="3"/>
            <charset val="128"/>
          </rPr>
          <t xml:space="preserve">
染色代込み
特別単価→÷0.75÷128</t>
        </r>
      </text>
    </comment>
    <comment ref="C503" authorId="0" shapeId="0" xr:uid="{1201C2A0-5B95-4005-8302-A1665821CDDA}">
      <text>
        <r>
          <rPr>
            <b/>
            <sz val="9"/>
            <color indexed="81"/>
            <rFont val="ＭＳ Ｐゴシック"/>
            <family val="3"/>
            <charset val="128"/>
          </rPr>
          <t>chiba:</t>
        </r>
        <r>
          <rPr>
            <sz val="9"/>
            <color indexed="81"/>
            <rFont val="ＭＳ Ｐゴシック"/>
            <family val="3"/>
            <charset val="128"/>
          </rPr>
          <t xml:space="preserve">
レート 110
</t>
        </r>
      </text>
    </comment>
    <comment ref="C525" authorId="0" shapeId="0" xr:uid="{3C2C4D4D-F6D7-49EC-BDB0-D8F23C359805}">
      <text>
        <r>
          <rPr>
            <b/>
            <sz val="9"/>
            <color indexed="81"/>
            <rFont val="ＭＳ Ｐゴシック"/>
            <family val="3"/>
            <charset val="128"/>
          </rPr>
          <t>chiba:</t>
        </r>
        <r>
          <rPr>
            <sz val="9"/>
            <color indexed="81"/>
            <rFont val="ＭＳ Ｐゴシック"/>
            <family val="3"/>
            <charset val="128"/>
          </rPr>
          <t xml:space="preserve">
染色込み
レート 120
</t>
        </r>
      </text>
    </comment>
    <comment ref="D525" authorId="0" shapeId="0" xr:uid="{C850E583-32B8-47A3-A3C2-C4A313382EFB}">
      <text>
        <r>
          <rPr>
            <b/>
            <sz val="9"/>
            <color indexed="81"/>
            <rFont val="ＭＳ Ｐゴシック"/>
            <family val="3"/>
            <charset val="128"/>
          </rPr>
          <t>chiba:</t>
        </r>
        <r>
          <rPr>
            <sz val="9"/>
            <color indexed="81"/>
            <rFont val="ＭＳ Ｐゴシック"/>
            <family val="3"/>
            <charset val="128"/>
          </rPr>
          <t xml:space="preserve">
染色込み
レート 120
</t>
        </r>
      </text>
    </comment>
    <comment ref="C526" authorId="0" shapeId="0" xr:uid="{1D9BDF1D-AFBF-4DEF-8EA6-1AC698C36F14}">
      <text>
        <r>
          <rPr>
            <b/>
            <sz val="9"/>
            <color indexed="81"/>
            <rFont val="ＭＳ Ｐゴシック"/>
            <family val="3"/>
            <charset val="128"/>
          </rPr>
          <t>chiba:</t>
        </r>
        <r>
          <rPr>
            <sz val="9"/>
            <color indexed="81"/>
            <rFont val="ＭＳ Ｐゴシック"/>
            <family val="3"/>
            <charset val="128"/>
          </rPr>
          <t xml:space="preserve">
染色込み
レート 120
</t>
        </r>
      </text>
    </comment>
    <comment ref="D526" authorId="0" shapeId="0" xr:uid="{3FDB05B8-A5E9-4920-9CE8-08229F527FFD}">
      <text>
        <r>
          <rPr>
            <b/>
            <sz val="9"/>
            <color indexed="81"/>
            <rFont val="ＭＳ Ｐゴシック"/>
            <family val="3"/>
            <charset val="128"/>
          </rPr>
          <t>chiba:</t>
        </r>
        <r>
          <rPr>
            <sz val="9"/>
            <color indexed="81"/>
            <rFont val="ＭＳ Ｐゴシック"/>
            <family val="3"/>
            <charset val="128"/>
          </rPr>
          <t xml:space="preserve">
染色込み
レート 120
</t>
        </r>
      </text>
    </comment>
    <comment ref="C527" authorId="0" shapeId="0" xr:uid="{627EF50F-7801-4908-9F6D-AA7739EF6F25}">
      <text>
        <r>
          <rPr>
            <b/>
            <sz val="9"/>
            <color indexed="81"/>
            <rFont val="ＭＳ Ｐゴシック"/>
            <family val="3"/>
            <charset val="128"/>
          </rPr>
          <t>chiba:</t>
        </r>
        <r>
          <rPr>
            <sz val="9"/>
            <color indexed="81"/>
            <rFont val="ＭＳ Ｐゴシック"/>
            <family val="3"/>
            <charset val="128"/>
          </rPr>
          <t xml:space="preserve">
染色込み
レート 120
</t>
        </r>
      </text>
    </comment>
    <comment ref="D527" authorId="0" shapeId="0" xr:uid="{FB96B654-B71E-4962-A0EF-31A526965EF6}">
      <text>
        <r>
          <rPr>
            <b/>
            <sz val="9"/>
            <color indexed="81"/>
            <rFont val="ＭＳ Ｐゴシック"/>
            <family val="3"/>
            <charset val="128"/>
          </rPr>
          <t>chiba:</t>
        </r>
        <r>
          <rPr>
            <sz val="9"/>
            <color indexed="81"/>
            <rFont val="ＭＳ Ｐゴシック"/>
            <family val="3"/>
            <charset val="128"/>
          </rPr>
          <t xml:space="preserve">
染色込み
レート 120
</t>
        </r>
      </text>
    </comment>
    <comment ref="C528" authorId="0" shapeId="0" xr:uid="{65EF006C-D80E-4194-A228-BEB851A5100B}">
      <text>
        <r>
          <rPr>
            <b/>
            <sz val="9"/>
            <color indexed="81"/>
            <rFont val="ＭＳ Ｐゴシック"/>
            <family val="3"/>
            <charset val="128"/>
          </rPr>
          <t>chiba:</t>
        </r>
        <r>
          <rPr>
            <sz val="9"/>
            <color indexed="81"/>
            <rFont val="ＭＳ Ｐゴシック"/>
            <family val="3"/>
            <charset val="128"/>
          </rPr>
          <t xml:space="preserve">
レート 110
</t>
        </r>
      </text>
    </comment>
    <comment ref="D528" authorId="0" shapeId="0" xr:uid="{D23DF793-AE79-41D7-8A20-2E58DE52125D}">
      <text>
        <r>
          <rPr>
            <b/>
            <sz val="9"/>
            <color indexed="81"/>
            <rFont val="ＭＳ Ｐゴシック"/>
            <family val="3"/>
            <charset val="128"/>
          </rPr>
          <t>chiba:</t>
        </r>
        <r>
          <rPr>
            <sz val="9"/>
            <color indexed="81"/>
            <rFont val="ＭＳ Ｐゴシック"/>
            <family val="3"/>
            <charset val="128"/>
          </rPr>
          <t xml:space="preserve">
染色込み
レート 120
</t>
        </r>
      </text>
    </comment>
    <comment ref="C529" authorId="0" shapeId="0" xr:uid="{CD1E2B8A-925C-40BF-93FD-68CAB255CF41}">
      <text>
        <r>
          <rPr>
            <b/>
            <sz val="9"/>
            <color indexed="81"/>
            <rFont val="ＭＳ Ｐゴシック"/>
            <family val="3"/>
            <charset val="128"/>
          </rPr>
          <t>chiba:</t>
        </r>
        <r>
          <rPr>
            <sz val="9"/>
            <color indexed="81"/>
            <rFont val="ＭＳ Ｐゴシック"/>
            <family val="3"/>
            <charset val="128"/>
          </rPr>
          <t xml:space="preserve">
Blackに合わせて計算
レート 120
</t>
        </r>
      </text>
    </comment>
    <comment ref="D529" authorId="0" shapeId="0" xr:uid="{B1D6B7B3-A681-42D1-98D6-AAA46661AE62}">
      <text>
        <r>
          <rPr>
            <b/>
            <sz val="9"/>
            <color indexed="81"/>
            <rFont val="ＭＳ Ｐゴシック"/>
            <family val="3"/>
            <charset val="128"/>
          </rPr>
          <t>chiba:</t>
        </r>
        <r>
          <rPr>
            <sz val="9"/>
            <color indexed="81"/>
            <rFont val="ＭＳ Ｐゴシック"/>
            <family val="3"/>
            <charset val="128"/>
          </rPr>
          <t xml:space="preserve">
染色込み
レート 120
</t>
        </r>
      </text>
    </comment>
    <comment ref="D530" authorId="0" shapeId="0" xr:uid="{02386FB4-14A5-4E26-89A3-02FC0CB3EB02}">
      <text>
        <r>
          <rPr>
            <b/>
            <sz val="9"/>
            <color indexed="81"/>
            <rFont val="ＭＳ Ｐゴシック"/>
            <family val="3"/>
            <charset val="128"/>
          </rPr>
          <t>chiba:</t>
        </r>
        <r>
          <rPr>
            <sz val="9"/>
            <color indexed="81"/>
            <rFont val="ＭＳ Ｐゴシック"/>
            <family val="3"/>
            <charset val="128"/>
          </rPr>
          <t xml:space="preserve">
染色込み
レート 120
</t>
        </r>
      </text>
    </comment>
    <comment ref="C534" authorId="0" shapeId="0" xr:uid="{7FADD6CE-AD78-47F1-BDD7-78F318D1EDF2}">
      <text>
        <r>
          <rPr>
            <b/>
            <sz val="9"/>
            <color indexed="81"/>
            <rFont val="ＭＳ Ｐゴシック"/>
            <family val="3"/>
            <charset val="128"/>
          </rPr>
          <t>chiba:</t>
        </r>
        <r>
          <rPr>
            <sz val="9"/>
            <color indexed="81"/>
            <rFont val="ＭＳ Ｐゴシック"/>
            <family val="3"/>
            <charset val="128"/>
          </rPr>
          <t xml:space="preserve">
染色代込み
</t>
        </r>
      </text>
    </comment>
    <comment ref="C535" authorId="0" shapeId="0" xr:uid="{A1CFDC9A-1D0C-4BAF-B220-32E9F9C589C5}">
      <text>
        <r>
          <rPr>
            <b/>
            <sz val="9"/>
            <color indexed="81"/>
            <rFont val="ＭＳ Ｐゴシック"/>
            <family val="3"/>
            <charset val="128"/>
          </rPr>
          <t>chiba:</t>
        </r>
        <r>
          <rPr>
            <sz val="9"/>
            <color indexed="81"/>
            <rFont val="ＭＳ Ｐゴシック"/>
            <family val="3"/>
            <charset val="128"/>
          </rPr>
          <t xml:space="preserve">
染色代込み
</t>
        </r>
      </text>
    </comment>
    <comment ref="C541" authorId="0" shapeId="0" xr:uid="{183993DE-8D74-4C4F-99C5-9C4B0D968E70}">
      <text>
        <r>
          <rPr>
            <b/>
            <sz val="9"/>
            <color indexed="81"/>
            <rFont val="ＭＳ Ｐゴシック"/>
            <family val="3"/>
            <charset val="128"/>
          </rPr>
          <t>chiba:</t>
        </r>
        <r>
          <rPr>
            <sz val="9"/>
            <color indexed="81"/>
            <rFont val="ＭＳ Ｐゴシック"/>
            <family val="3"/>
            <charset val="128"/>
          </rPr>
          <t xml:space="preserve">
染色代込み
</t>
        </r>
      </text>
    </comment>
    <comment ref="C542" authorId="0" shapeId="0" xr:uid="{15EB5DAA-FEE7-4CA1-A3BA-6D7B76A84D03}">
      <text>
        <r>
          <rPr>
            <b/>
            <sz val="9"/>
            <color indexed="81"/>
            <rFont val="ＭＳ Ｐゴシック"/>
            <family val="3"/>
            <charset val="128"/>
          </rPr>
          <t>chiba:</t>
        </r>
        <r>
          <rPr>
            <sz val="9"/>
            <color indexed="81"/>
            <rFont val="ＭＳ Ｐゴシック"/>
            <family val="3"/>
            <charset val="128"/>
          </rPr>
          <t xml:space="preserve">
染色代込み
</t>
        </r>
      </text>
    </comment>
    <comment ref="E578" authorId="0" shapeId="0" xr:uid="{23E090C6-68D1-44E1-902F-6D371B62A62B}">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E579" authorId="0" shapeId="0" xr:uid="{A921AE82-A4CD-4D83-BDDB-D15EF7DA2CE5}">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C584" authorId="0" shapeId="0" xr:uid="{7E232075-5570-4945-8D31-EA40F16DE323}">
      <text>
        <r>
          <rPr>
            <b/>
            <sz val="9"/>
            <color indexed="81"/>
            <rFont val="ＭＳ Ｐゴシック"/>
            <family val="3"/>
            <charset val="128"/>
          </rPr>
          <t xml:space="preserve">chiba:
染色込み単価に合わせて計算
€ = ￥115
 </t>
        </r>
        <r>
          <rPr>
            <sz val="9"/>
            <color indexed="81"/>
            <rFont val="ＭＳ Ｐゴシック"/>
            <family val="3"/>
            <charset val="128"/>
          </rPr>
          <t xml:space="preserve">
</t>
        </r>
      </text>
    </comment>
    <comment ref="C589" authorId="0" shapeId="0" xr:uid="{E3526E2C-3E51-473B-8F93-1CE79A80CFA4}">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C594" authorId="0" shapeId="0" xr:uid="{2252DC2F-686B-41F0-BA7E-5E98316B84EA}">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C595" authorId="0" shapeId="0" xr:uid="{39CF5FA5-EA1E-4151-AF49-53AB0A4F353B}">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C596" authorId="0" shapeId="0" xr:uid="{A1BCEAC4-2681-47AF-8FFC-924404EE5048}">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F602" authorId="0" shapeId="0" xr:uid="{026DD7A9-6C44-432C-982F-3BBE59E945E3}">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F603" authorId="0" shapeId="0" xr:uid="{C97FCCEC-460A-4498-B1A9-3C6EFC5EA6AB}">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F604" authorId="0" shapeId="0" xr:uid="{4EBF8E96-52B1-4F26-BE42-56B390D9F8DB}">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F605" authorId="0" shapeId="0" xr:uid="{AA226E74-AD24-417A-9EE3-DC56C70BD0A2}">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D609" authorId="0" shapeId="0" xr:uid="{66E16CAA-AAB3-43A5-B4F6-7E0FF3FAF57E}">
      <text>
        <r>
          <rPr>
            <b/>
            <sz val="9"/>
            <color indexed="81"/>
            <rFont val="ＭＳ Ｐゴシック"/>
            <family val="3"/>
            <charset val="128"/>
          </rPr>
          <t xml:space="preserve">chiba:
染色込み単価に合わせて計算
€ = ￥115
</t>
        </r>
        <r>
          <rPr>
            <sz val="9"/>
            <color indexed="81"/>
            <rFont val="ＭＳ Ｐゴシック"/>
            <family val="3"/>
            <charset val="128"/>
          </rPr>
          <t xml:space="preserve">
</t>
        </r>
      </text>
    </comment>
    <comment ref="D610" authorId="0" shapeId="0" xr:uid="{A948FA17-749E-4F91-A8FC-FDE7E5DA3169}">
      <text>
        <r>
          <rPr>
            <b/>
            <sz val="9"/>
            <color indexed="81"/>
            <rFont val="ＭＳ Ｐゴシック"/>
            <family val="3"/>
            <charset val="128"/>
          </rPr>
          <t xml:space="preserve">chiba:
染色込み単価に合わせて計算
€ = ￥115
</t>
        </r>
        <r>
          <rPr>
            <sz val="9"/>
            <color indexed="81"/>
            <rFont val="ＭＳ Ｐゴシック"/>
            <family val="3"/>
            <charset val="128"/>
          </rPr>
          <t xml:space="preserve">
</t>
        </r>
      </text>
    </comment>
    <comment ref="D611" authorId="0" shapeId="0" xr:uid="{9D6CEB45-F75B-4F8D-B729-02B0215E363A}">
      <text>
        <r>
          <rPr>
            <b/>
            <sz val="9"/>
            <color indexed="81"/>
            <rFont val="ＭＳ Ｐゴシック"/>
            <family val="3"/>
            <charset val="128"/>
          </rPr>
          <t xml:space="preserve">chiba:
染色込み単価に合わせて計算
€ = ￥115
</t>
        </r>
        <r>
          <rPr>
            <sz val="9"/>
            <color indexed="81"/>
            <rFont val="ＭＳ Ｐゴシック"/>
            <family val="3"/>
            <charset val="128"/>
          </rPr>
          <t xml:space="preserve">
</t>
        </r>
      </text>
    </comment>
    <comment ref="E617" authorId="0" shapeId="0" xr:uid="{CD02D817-B312-4DAB-B807-A4FEAD59337F}">
      <text>
        <r>
          <rPr>
            <b/>
            <sz val="9"/>
            <color indexed="81"/>
            <rFont val="ＭＳ Ｐゴシック"/>
            <family val="3"/>
            <charset val="128"/>
          </rPr>
          <t>chiba:</t>
        </r>
        <r>
          <rPr>
            <sz val="9"/>
            <color indexed="81"/>
            <rFont val="ＭＳ Ｐゴシック"/>
            <family val="3"/>
            <charset val="128"/>
          </rPr>
          <t xml:space="preserve">
Black単価に合わせて計算
€ = ￥115</t>
        </r>
      </text>
    </comment>
    <comment ref="E618" authorId="0" shapeId="0" xr:uid="{E5626E4A-117C-47FC-9019-7923FB344383}">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C627" authorId="0" shapeId="0" xr:uid="{8693C308-1314-4526-BC18-6B3A716B5907}">
      <text>
        <r>
          <rPr>
            <b/>
            <sz val="9"/>
            <color indexed="81"/>
            <rFont val="ＭＳ Ｐゴシック"/>
            <family val="3"/>
            <charset val="128"/>
          </rPr>
          <t>chiba:</t>
        </r>
        <r>
          <rPr>
            <sz val="9"/>
            <color indexed="81"/>
            <rFont val="ＭＳ Ｐゴシック"/>
            <family val="3"/>
            <charset val="128"/>
          </rPr>
          <t xml:space="preserve">
Black単価に合わせて計算
€ = ￥110</t>
        </r>
      </text>
    </comment>
    <comment ref="C628" authorId="0" shapeId="0" xr:uid="{5DD9B150-EBAF-4F75-B2B1-F03C465B66F6}">
      <text>
        <r>
          <rPr>
            <b/>
            <sz val="9"/>
            <color indexed="81"/>
            <rFont val="ＭＳ Ｐゴシック"/>
            <family val="3"/>
            <charset val="128"/>
          </rPr>
          <t>chiba:</t>
        </r>
        <r>
          <rPr>
            <sz val="9"/>
            <color indexed="81"/>
            <rFont val="ＭＳ Ｐゴシック"/>
            <family val="3"/>
            <charset val="128"/>
          </rPr>
          <t xml:space="preserve">
Black単価に合わせて計算
€ = ￥110</t>
        </r>
      </text>
    </comment>
    <comment ref="F633" authorId="0" shapeId="0" xr:uid="{ADA71B4F-0D70-4838-8B5D-AD879D901FF6}">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F634" authorId="0" shapeId="0" xr:uid="{1B0CE531-BE4F-400E-BE3F-D277E21D3937}">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F635" authorId="0" shapeId="0" xr:uid="{3AFCD378-E57E-4C73-9231-7C957BB46F9A}">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F636" authorId="0" shapeId="0" xr:uid="{50D95741-123C-4338-9CA6-BE7DA29E13DC}">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F637" authorId="0" shapeId="0" xr:uid="{F09EFEFF-CB19-415C-BEDB-26BF9C5EFC95}">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F638" authorId="0" shapeId="0" xr:uid="{38916582-AA3A-4FCB-886E-90CE92D6ADC0}">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F639" authorId="0" shapeId="0" xr:uid="{8CF1986E-BBC3-4B08-B56C-CF9FE9421F92}">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F640" authorId="0" shapeId="0" xr:uid="{16565788-58A7-42AD-B349-31856A99FBDF}">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C649" authorId="0" shapeId="0" xr:uid="{90EA4836-AF64-4DCB-93C9-E02434A4CAE0}">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C650" authorId="0" shapeId="0" xr:uid="{5A6D5DF9-A409-43A4-A45D-FADF471F5998}">
      <text>
        <r>
          <rPr>
            <b/>
            <sz val="9"/>
            <color indexed="81"/>
            <rFont val="ＭＳ Ｐゴシック"/>
            <family val="3"/>
            <charset val="128"/>
          </rPr>
          <t>chiba:</t>
        </r>
        <r>
          <rPr>
            <sz val="9"/>
            <color indexed="81"/>
            <rFont val="ＭＳ Ｐゴシック"/>
            <family val="3"/>
            <charset val="128"/>
          </rPr>
          <t xml:space="preserve">
Black単価に合わせて計算
</t>
        </r>
        <r>
          <rPr>
            <sz val="9"/>
            <color indexed="81"/>
            <rFont val="ＭＳ Ｐゴシック"/>
            <family val="3"/>
            <charset val="128"/>
          </rPr>
          <t>€</t>
        </r>
        <r>
          <rPr>
            <sz val="9"/>
            <color indexed="81"/>
            <rFont val="ＭＳ Ｐゴシック"/>
            <family val="3"/>
            <charset val="128"/>
          </rPr>
          <t xml:space="preserve"> = ￥115</t>
        </r>
      </text>
    </comment>
    <comment ref="E655" authorId="0" shapeId="0" xr:uid="{3EB79BA5-BDD8-4BB9-B9AF-908B2A5ED493}">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E656" authorId="0" shapeId="0" xr:uid="{7D5E8BFB-FCC6-4310-BE60-29C44D3BB0D6}">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E657" authorId="0" shapeId="0" xr:uid="{81E881D0-464B-42FB-B631-6E8BF869CB4E}">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E658" authorId="0" shapeId="0" xr:uid="{1BEE666E-F005-4452-8C33-D8FB04EF4B14}">
      <text>
        <r>
          <rPr>
            <b/>
            <sz val="9"/>
            <color indexed="81"/>
            <rFont val="ＭＳ Ｐゴシック"/>
            <family val="3"/>
            <charset val="128"/>
          </rPr>
          <t>chiba:</t>
        </r>
        <r>
          <rPr>
            <sz val="9"/>
            <color indexed="81"/>
            <rFont val="ＭＳ Ｐゴシック"/>
            <family val="3"/>
            <charset val="128"/>
          </rPr>
          <t xml:space="preserve">
€ = ￥115
特別単価 88 + Dye 30 + テスト代6/m = 124÷0.75÷115= €1.45/m</t>
        </r>
      </text>
    </comment>
    <comment ref="E659" authorId="0" shapeId="0" xr:uid="{3C4AD084-03D9-469D-9A7E-6A13E64B3D38}">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E660" authorId="0" shapeId="0" xr:uid="{EEA1FEC8-0896-4469-8640-F3898982F1B4}">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E661" authorId="0" shapeId="0" xr:uid="{EDF01B4F-9B8E-4E75-A0D8-35B73C341618}">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E662" authorId="0" shapeId="0" xr:uid="{36716BE3-E172-4F1A-9046-7B1280B57ABF}">
      <text>
        <r>
          <rPr>
            <b/>
            <sz val="9"/>
            <color indexed="81"/>
            <rFont val="ＭＳ Ｐゴシック"/>
            <family val="3"/>
            <charset val="128"/>
          </rPr>
          <t>chiba:</t>
        </r>
        <r>
          <rPr>
            <sz val="9"/>
            <color indexed="81"/>
            <rFont val="ＭＳ Ｐゴシック"/>
            <family val="3"/>
            <charset val="128"/>
          </rPr>
          <t xml:space="preserve">
€ = ￥115
特別単価 92 + Dye 30 + テスト代4/m = 126÷0.7÷115= €1.57/m</t>
        </r>
      </text>
    </comment>
    <comment ref="C673" authorId="0" shapeId="0" xr:uid="{8D65C636-D9A9-4D99-881A-580CC1298B4A}">
      <text>
        <r>
          <rPr>
            <b/>
            <sz val="9"/>
            <color indexed="81"/>
            <rFont val="ＭＳ Ｐゴシック"/>
            <family val="3"/>
            <charset val="128"/>
          </rPr>
          <t>chiba:</t>
        </r>
        <r>
          <rPr>
            <sz val="9"/>
            <color indexed="81"/>
            <rFont val="ＭＳ Ｐゴシック"/>
            <family val="3"/>
            <charset val="128"/>
          </rPr>
          <t xml:space="preserve">
染色込み単価に合わせて計算
€ = ￥115</t>
        </r>
      </text>
    </comment>
    <comment ref="C700" authorId="0" shapeId="0" xr:uid="{897ACA9A-D076-465D-A5E2-D4ACC461B992}">
      <text>
        <r>
          <rPr>
            <b/>
            <sz val="9"/>
            <color indexed="81"/>
            <rFont val="ＭＳ Ｐゴシック"/>
            <family val="3"/>
            <charset val="128"/>
          </rPr>
          <t xml:space="preserve">chiba:
染色込み単価に合わせて計算
€ = ￥110
</t>
        </r>
        <r>
          <rPr>
            <sz val="9"/>
            <color indexed="81"/>
            <rFont val="ＭＳ Ｐゴシック"/>
            <family val="3"/>
            <charset val="128"/>
          </rPr>
          <t xml:space="preserve">
</t>
        </r>
      </text>
    </comment>
    <comment ref="C701" authorId="0" shapeId="0" xr:uid="{03C67784-2C10-4D79-9596-0CED5E3C4135}">
      <text>
        <r>
          <rPr>
            <b/>
            <sz val="9"/>
            <color indexed="81"/>
            <rFont val="ＭＳ Ｐゴシック"/>
            <family val="3"/>
            <charset val="128"/>
          </rPr>
          <t xml:space="preserve">chiba:
染色込み単価に合わせて計算
€ = ￥110
</t>
        </r>
        <r>
          <rPr>
            <sz val="9"/>
            <color indexed="81"/>
            <rFont val="ＭＳ Ｐゴシック"/>
            <family val="3"/>
            <charset val="128"/>
          </rPr>
          <t xml:space="preserve">
</t>
        </r>
      </text>
    </comment>
    <comment ref="C719" authorId="0" shapeId="0" xr:uid="{FFE4101C-D05B-41F3-8D04-811AB5E4B1C6}">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C720" authorId="0" shapeId="0" xr:uid="{A11B4456-0D21-44CF-BC7E-10FF3D720CBA}">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C721" authorId="0" shapeId="0" xr:uid="{0C682BF7-C2E6-40B6-BB8B-34BE3DE4870F}">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C722" authorId="0" shapeId="0" xr:uid="{9FB27FCF-2E2E-4FCE-A8EA-D8C386294A8D}">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C723" authorId="0" shapeId="0" xr:uid="{C9F8CB13-2B98-4A80-BF2E-4D5EBC13AE32}">
      <text>
        <r>
          <rPr>
            <b/>
            <sz val="9"/>
            <color indexed="81"/>
            <rFont val="ＭＳ Ｐゴシック"/>
            <family val="3"/>
            <charset val="128"/>
          </rPr>
          <t>chiba:</t>
        </r>
        <r>
          <rPr>
            <sz val="9"/>
            <color indexed="81"/>
            <rFont val="ＭＳ Ｐゴシック"/>
            <family val="3"/>
            <charset val="128"/>
          </rPr>
          <t xml:space="preserve">
染色込み単価に合わせて計算
€ = ￥110
</t>
        </r>
      </text>
    </comment>
    <comment ref="F744" authorId="0" shapeId="0" xr:uid="{77593347-1504-4F15-8252-56B8BDB1839B}">
      <text>
        <r>
          <rPr>
            <b/>
            <sz val="9"/>
            <color indexed="81"/>
            <rFont val="MS P ゴシック"/>
            <family val="3"/>
            <charset val="128"/>
          </rPr>
          <t>chiba:</t>
        </r>
        <r>
          <rPr>
            <sz val="9"/>
            <color indexed="81"/>
            <rFont val="MS P ゴシック"/>
            <family val="3"/>
            <charset val="128"/>
          </rPr>
          <t xml:space="preserve">
レート€ 1 = 110
</t>
        </r>
      </text>
    </comment>
    <comment ref="F745" authorId="0" shapeId="0" xr:uid="{EB379FB5-E660-4B25-9355-B5E0128E8578}">
      <text>
        <r>
          <rPr>
            <b/>
            <sz val="9"/>
            <color indexed="81"/>
            <rFont val="MS P ゴシック"/>
            <family val="3"/>
            <charset val="128"/>
          </rPr>
          <t>chiba:</t>
        </r>
        <r>
          <rPr>
            <sz val="9"/>
            <color indexed="81"/>
            <rFont val="MS P ゴシック"/>
            <family val="3"/>
            <charset val="128"/>
          </rPr>
          <t xml:space="preserve">
レート€ 1 = 110
</t>
        </r>
      </text>
    </comment>
    <comment ref="F746" authorId="0" shapeId="0" xr:uid="{F7AE9347-AA4F-4C8B-B4B3-CE30FAB3A9A8}">
      <text>
        <r>
          <rPr>
            <b/>
            <sz val="9"/>
            <color indexed="81"/>
            <rFont val="MS P ゴシック"/>
            <family val="3"/>
            <charset val="128"/>
          </rPr>
          <t>chiba:</t>
        </r>
        <r>
          <rPr>
            <sz val="9"/>
            <color indexed="81"/>
            <rFont val="MS P ゴシック"/>
            <family val="3"/>
            <charset val="128"/>
          </rPr>
          <t xml:space="preserve">
レート€ 1 = 110
</t>
        </r>
      </text>
    </comment>
    <comment ref="E767" authorId="0" shapeId="0" xr:uid="{5FC6F94D-6550-443E-A93A-604CA540CE12}">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E768" authorId="0" shapeId="0" xr:uid="{3E084ECA-ECDE-4962-8704-3533F1C0FB6C}">
      <text>
        <r>
          <rPr>
            <b/>
            <sz val="9"/>
            <color indexed="81"/>
            <rFont val="ＭＳ Ｐゴシック"/>
            <family val="3"/>
            <charset val="128"/>
          </rPr>
          <t>chiba:
染色込み単価に合わせて計算
€ = ￥115</t>
        </r>
        <r>
          <rPr>
            <sz val="9"/>
            <color indexed="81"/>
            <rFont val="ＭＳ Ｐゴシック"/>
            <family val="3"/>
            <charset val="128"/>
          </rPr>
          <t xml:space="preserve">
</t>
        </r>
      </text>
    </comment>
    <comment ref="A778" authorId="0" shapeId="0" xr:uid="{FF2C1C89-093A-4A2A-A3CF-B76E2759D25D}">
      <text>
        <r>
          <rPr>
            <b/>
            <sz val="9"/>
            <color indexed="81"/>
            <rFont val="MS P ゴシック"/>
            <family val="3"/>
            <charset val="128"/>
          </rPr>
          <t>chiba:</t>
        </r>
        <r>
          <rPr>
            <sz val="9"/>
            <color indexed="81"/>
            <rFont val="MS P ゴシック"/>
            <family val="3"/>
            <charset val="128"/>
          </rPr>
          <t xml:space="preserve">
FWL-21908 &amp; FWL-21909 MIX </t>
        </r>
      </text>
    </comment>
    <comment ref="C778" authorId="0" shapeId="0" xr:uid="{8C459600-DD68-4CA6-8112-EC0E428990C2}">
      <text>
        <r>
          <rPr>
            <b/>
            <sz val="9"/>
            <color indexed="81"/>
            <rFont val="ＭＳ Ｐゴシック"/>
            <family val="3"/>
            <charset val="128"/>
          </rPr>
          <t>chiba:
染色込み単価に合わせて計算
€ = ￥110</t>
        </r>
        <r>
          <rPr>
            <sz val="9"/>
            <color indexed="81"/>
            <rFont val="ＭＳ Ｐゴシック"/>
            <family val="3"/>
            <charset val="128"/>
          </rPr>
          <t xml:space="preserve">
</t>
        </r>
      </text>
    </comment>
    <comment ref="F783" authorId="0" shapeId="0" xr:uid="{5A1BE121-47C2-43F3-8E2F-6CFF3193B8FD}">
      <text>
        <r>
          <rPr>
            <b/>
            <sz val="9"/>
            <color indexed="81"/>
            <rFont val="MS P ゴシック"/>
            <family val="3"/>
            <charset val="128"/>
          </rPr>
          <t>chiba:</t>
        </r>
        <r>
          <rPr>
            <sz val="9"/>
            <color indexed="81"/>
            <rFont val="MS P ゴシック"/>
            <family val="3"/>
            <charset val="128"/>
          </rPr>
          <t xml:space="preserve">
レート€ 1 = 110
</t>
        </r>
      </text>
    </comment>
    <comment ref="E793" authorId="0" shapeId="0" xr:uid="{564C8F4F-F013-46BB-965F-FF643A4A525E}">
      <text>
        <r>
          <rPr>
            <b/>
            <sz val="9"/>
            <color indexed="81"/>
            <rFont val="ＭＳ Ｐゴシック"/>
            <family val="3"/>
            <charset val="128"/>
          </rPr>
          <t>chiba:
染色込み単価に合わせて計算
€ = ￥110</t>
        </r>
        <r>
          <rPr>
            <sz val="9"/>
            <color indexed="81"/>
            <rFont val="ＭＳ Ｐゴシック"/>
            <family val="3"/>
            <charset val="128"/>
          </rPr>
          <t xml:space="preserve">
</t>
        </r>
      </text>
    </comment>
    <comment ref="C798" authorId="0" shapeId="0" xr:uid="{27A55C9A-B492-42AE-A73B-9635E7CFDF4F}">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C799" authorId="0" shapeId="0" xr:uid="{A37926E9-F9C9-4DFB-A1FC-42EC4C38B171}">
      <text>
        <r>
          <rPr>
            <b/>
            <sz val="9"/>
            <color indexed="81"/>
            <rFont val="ＭＳ Ｐゴシック"/>
            <family val="3"/>
            <charset val="128"/>
          </rPr>
          <t>chiba:
染色込み単価に合わせて計算 25%
€ = ￥110</t>
        </r>
        <r>
          <rPr>
            <sz val="9"/>
            <color indexed="81"/>
            <rFont val="ＭＳ Ｐゴシック"/>
            <family val="3"/>
            <charset val="128"/>
          </rPr>
          <t xml:space="preserve">
</t>
        </r>
      </text>
    </comment>
    <comment ref="C803" authorId="0" shapeId="0" xr:uid="{343D0BD7-BE2E-40EB-87A6-BA92B855F0B2}">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C804" authorId="0" shapeId="0" xr:uid="{73388BBF-CAE5-4CE3-B312-145D839F6199}">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C805" authorId="0" shapeId="0" xr:uid="{CF58CA8F-661B-4B2F-A49B-037EAD3E7A84}">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C811" authorId="0" shapeId="0" xr:uid="{AB093993-1496-4B6E-9073-D47FAC9DB718}">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C812" authorId="0" shapeId="0" xr:uid="{980684C6-0916-4B34-AE82-3874FB32CC6E}">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E816" authorId="0" shapeId="0" xr:uid="{0D141840-FC50-4D38-95EB-1DADA1CCAC8A}">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E817" authorId="0" shapeId="0" xr:uid="{838387E0-7FC2-4DBE-AB0D-2103604AFEBA}">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F825" authorId="1" shapeId="0" xr:uid="{9E3C967F-B1A4-46E5-AD0A-4C3B4EFB7442}">
      <text>
        <r>
          <rPr>
            <b/>
            <sz val="9"/>
            <color indexed="81"/>
            <rFont val="MS P ゴシック"/>
            <family val="3"/>
            <charset val="128"/>
          </rPr>
          <t>sunfashion:</t>
        </r>
        <r>
          <rPr>
            <sz val="9"/>
            <color indexed="81"/>
            <rFont val="MS P ゴシック"/>
            <family val="3"/>
            <charset val="128"/>
          </rPr>
          <t xml:space="preserve">
25% 
レート110円
</t>
        </r>
      </text>
    </comment>
    <comment ref="F826" authorId="1" shapeId="0" xr:uid="{7B8C26DE-930C-41EF-A1B3-9CF4AA4AC9B9}">
      <text>
        <r>
          <rPr>
            <b/>
            <sz val="9"/>
            <color indexed="81"/>
            <rFont val="MS P ゴシック"/>
            <family val="3"/>
            <charset val="128"/>
          </rPr>
          <t>sunfashion:</t>
        </r>
        <r>
          <rPr>
            <sz val="9"/>
            <color indexed="81"/>
            <rFont val="MS P ゴシック"/>
            <family val="3"/>
            <charset val="128"/>
          </rPr>
          <t xml:space="preserve">
25% 
レート110円
</t>
        </r>
      </text>
    </comment>
    <comment ref="F838" authorId="0" shapeId="0" xr:uid="{1A211CE7-A3DF-4142-972D-FA5432A4C193}">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F839" authorId="0" shapeId="0" xr:uid="{48497FD3-2288-4E13-82AE-B2A9BD1F82AC}">
      <text>
        <r>
          <rPr>
            <b/>
            <sz val="9"/>
            <color indexed="81"/>
            <rFont val="ＭＳ Ｐゴシック"/>
            <family val="3"/>
            <charset val="128"/>
          </rPr>
          <t xml:space="preserve">chiba:
染色込み単価に合わせて計算
€ = ￥120 </t>
        </r>
        <r>
          <rPr>
            <sz val="9"/>
            <color indexed="81"/>
            <rFont val="ＭＳ Ｐゴシック"/>
            <family val="3"/>
            <charset val="128"/>
          </rPr>
          <t xml:space="preserve">
</t>
        </r>
      </text>
    </comment>
    <comment ref="E846" authorId="0" shapeId="0" xr:uid="{42B4374E-8448-43A5-86B1-0BE50F236CC4}">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E847" authorId="0" shapeId="0" xr:uid="{8F455D1F-A473-471E-956D-06658FFD0876}">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F851" authorId="0" shapeId="0" xr:uid="{F245AECC-283B-4CB2-A472-380B28E33A6D}">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F852" authorId="0" shapeId="0" xr:uid="{6DEF8A8B-6C2F-42F9-830C-A1241CB50FA3}">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F855" authorId="0" shapeId="0" xr:uid="{B43522E8-2ED0-48B7-8A0D-6B4BC3C6C68F}">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E859" authorId="0" shapeId="0" xr:uid="{ADD20345-ABB3-4F86-9DCB-3257EB0EEEA8}">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E860" authorId="0" shapeId="0" xr:uid="{ED38876B-5EBA-499E-8ECE-F30DAC9147AC}">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C876" authorId="2" shapeId="0" xr:uid="{20E5FB27-238B-4937-AF4F-132B09F414CB}">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C877" authorId="2" shapeId="0" xr:uid="{45837D74-4D76-4C3D-8C1A-32E0E7569DB7}">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C878" authorId="2" shapeId="0" xr:uid="{F46A0E36-1E62-4ED9-9214-7D501CC69282}">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F888" authorId="0" shapeId="0" xr:uid="{99DCF076-D857-48A5-8167-D9CACB3C60C6}">
      <text>
        <r>
          <rPr>
            <b/>
            <sz val="9"/>
            <color indexed="81"/>
            <rFont val="MS P ゴシック"/>
            <family val="3"/>
            <charset val="128"/>
          </rPr>
          <t>chiba:</t>
        </r>
        <r>
          <rPr>
            <sz val="9"/>
            <color indexed="81"/>
            <rFont val="MS P ゴシック"/>
            <family val="3"/>
            <charset val="128"/>
          </rPr>
          <t xml:space="preserve">
レート€ 1 = 110
</t>
        </r>
      </text>
    </comment>
    <comment ref="F889" authorId="0" shapeId="0" xr:uid="{80EB159A-9BA5-443B-9BE5-4DB5D5C31760}">
      <text>
        <r>
          <rPr>
            <b/>
            <sz val="9"/>
            <color indexed="81"/>
            <rFont val="MS P ゴシック"/>
            <family val="3"/>
            <charset val="128"/>
          </rPr>
          <t>chiba:</t>
        </r>
        <r>
          <rPr>
            <sz val="9"/>
            <color indexed="81"/>
            <rFont val="MS P ゴシック"/>
            <family val="3"/>
            <charset val="128"/>
          </rPr>
          <t xml:space="preserve">
レート€ 1 = 110
</t>
        </r>
      </text>
    </comment>
    <comment ref="D894" authorId="0" shapeId="0" xr:uid="{D5ACD824-29A5-4737-A1AE-D2A1ECB44D35}">
      <text>
        <r>
          <rPr>
            <b/>
            <sz val="9"/>
            <color indexed="81"/>
            <rFont val="MS P ゴシック"/>
            <family val="3"/>
            <charset val="128"/>
          </rPr>
          <t>chiba:</t>
        </r>
        <r>
          <rPr>
            <sz val="9"/>
            <color indexed="81"/>
            <rFont val="MS P ゴシック"/>
            <family val="3"/>
            <charset val="128"/>
          </rPr>
          <t xml:space="preserve">
40%
レート110</t>
        </r>
      </text>
    </comment>
    <comment ref="D895" authorId="0" shapeId="0" xr:uid="{D0F13FA1-4679-4913-952C-D55075925DB6}">
      <text>
        <r>
          <rPr>
            <b/>
            <sz val="9"/>
            <color indexed="81"/>
            <rFont val="MS P ゴシック"/>
            <family val="3"/>
            <charset val="128"/>
          </rPr>
          <t>chiba:</t>
        </r>
        <r>
          <rPr>
            <sz val="9"/>
            <color indexed="81"/>
            <rFont val="MS P ゴシック"/>
            <family val="3"/>
            <charset val="128"/>
          </rPr>
          <t xml:space="preserve">
40%
レート110</t>
        </r>
      </text>
    </comment>
    <comment ref="C907" authorId="0" shapeId="0" xr:uid="{0E7710E3-4448-45D8-AF02-29145F3D9172}">
      <text>
        <r>
          <rPr>
            <b/>
            <sz val="9"/>
            <color indexed="81"/>
            <rFont val="ＭＳ Ｐゴシック"/>
            <family val="3"/>
            <charset val="128"/>
          </rPr>
          <t>chiba:</t>
        </r>
        <r>
          <rPr>
            <sz val="9"/>
            <color indexed="81"/>
            <rFont val="ＭＳ Ｐゴシック"/>
            <family val="3"/>
            <charset val="128"/>
          </rPr>
          <t xml:space="preserve">
Black単価に合わせて計算
30% 
€ = ￥110</t>
        </r>
      </text>
    </comment>
    <comment ref="C908" authorId="0" shapeId="0" xr:uid="{2903B3DA-F608-4957-84FD-F15C7EBD4592}">
      <text>
        <r>
          <rPr>
            <b/>
            <sz val="9"/>
            <color indexed="81"/>
            <rFont val="ＭＳ Ｐゴシック"/>
            <family val="3"/>
            <charset val="128"/>
          </rPr>
          <t>chiba:</t>
        </r>
        <r>
          <rPr>
            <sz val="9"/>
            <color indexed="81"/>
            <rFont val="ＭＳ Ｐゴシック"/>
            <family val="3"/>
            <charset val="128"/>
          </rPr>
          <t xml:space="preserve">
Black単価に合わせて計算
30% 
€ = ￥110</t>
        </r>
      </text>
    </comment>
    <comment ref="C909" authorId="2" shapeId="0" xr:uid="{8746DC33-FD9A-4B82-A375-46728CCF4919}">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C910" authorId="2" shapeId="0" xr:uid="{8D95E976-5986-4D4E-9CB1-0B33F74A091F}">
      <text>
        <r>
          <rPr>
            <b/>
            <sz val="9"/>
            <color indexed="81"/>
            <rFont val="MS P ゴシック"/>
            <family val="3"/>
            <charset val="128"/>
          </rPr>
          <t xml:space="preserve">染色込み単価で計算
30％
</t>
        </r>
        <r>
          <rPr>
            <b/>
            <sz val="9"/>
            <color indexed="81"/>
            <rFont val="ＭＳ Ｐゴシック"/>
            <family val="3"/>
            <charset val="128"/>
          </rPr>
          <t>€</t>
        </r>
        <r>
          <rPr>
            <b/>
            <sz val="9"/>
            <color indexed="81"/>
            <rFont val="MS P ゴシック"/>
            <family val="3"/>
            <charset val="128"/>
          </rPr>
          <t xml:space="preserve"> = ￥110
</t>
        </r>
      </text>
    </comment>
    <comment ref="F914" authorId="0" shapeId="0" xr:uid="{D8B6CE81-2CE9-4EEF-9618-3A60C2E80A12}">
      <text>
        <r>
          <rPr>
            <b/>
            <sz val="9"/>
            <color indexed="81"/>
            <rFont val="MS P ゴシック"/>
            <family val="3"/>
            <charset val="128"/>
          </rPr>
          <t>chiba:</t>
        </r>
        <r>
          <rPr>
            <sz val="9"/>
            <color indexed="81"/>
            <rFont val="MS P ゴシック"/>
            <family val="3"/>
            <charset val="128"/>
          </rPr>
          <t xml:space="preserve">
40%
レート110</t>
        </r>
      </text>
    </comment>
    <comment ref="G927" authorId="0" shapeId="0" xr:uid="{54504D5E-0030-4C80-AF36-3B12485ED947}">
      <text>
        <r>
          <rPr>
            <b/>
            <sz val="9"/>
            <color indexed="81"/>
            <rFont val="MS P ゴシック"/>
            <family val="3"/>
            <charset val="128"/>
          </rPr>
          <t>chiba:</t>
        </r>
        <r>
          <rPr>
            <sz val="9"/>
            <color indexed="81"/>
            <rFont val="MS P ゴシック"/>
            <family val="3"/>
            <charset val="128"/>
          </rPr>
          <t xml:space="preserve">
25% 
レート 110 </t>
        </r>
      </text>
    </comment>
    <comment ref="G928" authorId="0" shapeId="0" xr:uid="{68B56C6D-3773-4D4D-A3DA-A4E245C4D3C2}">
      <text>
        <r>
          <rPr>
            <b/>
            <sz val="9"/>
            <color indexed="81"/>
            <rFont val="MS P ゴシック"/>
            <family val="3"/>
            <charset val="128"/>
          </rPr>
          <t>chiba:</t>
        </r>
        <r>
          <rPr>
            <sz val="9"/>
            <color indexed="81"/>
            <rFont val="MS P ゴシック"/>
            <family val="3"/>
            <charset val="128"/>
          </rPr>
          <t xml:space="preserve">
25% 
レート 110 </t>
        </r>
      </text>
    </comment>
    <comment ref="G929" authorId="0" shapeId="0" xr:uid="{FD1EE1B7-4126-4E10-9DA5-E2BE952952C9}">
      <text>
        <r>
          <rPr>
            <b/>
            <sz val="9"/>
            <color indexed="81"/>
            <rFont val="MS P ゴシック"/>
            <family val="3"/>
            <charset val="128"/>
          </rPr>
          <t>chiba:</t>
        </r>
        <r>
          <rPr>
            <sz val="9"/>
            <color indexed="81"/>
            <rFont val="MS P ゴシック"/>
            <family val="3"/>
            <charset val="128"/>
          </rPr>
          <t xml:space="preserve">
25% 
レート 110 </t>
        </r>
      </text>
    </comment>
    <comment ref="G930" authorId="0" shapeId="0" xr:uid="{A72B7CD8-E208-4318-BCF8-7E5AC85E49D3}">
      <text>
        <r>
          <rPr>
            <b/>
            <sz val="9"/>
            <color indexed="81"/>
            <rFont val="MS P ゴシック"/>
            <family val="3"/>
            <charset val="128"/>
          </rPr>
          <t>chiba:</t>
        </r>
        <r>
          <rPr>
            <sz val="9"/>
            <color indexed="81"/>
            <rFont val="MS P ゴシック"/>
            <family val="3"/>
            <charset val="128"/>
          </rPr>
          <t xml:space="preserve">
25% 
レート 110 </t>
        </r>
      </text>
    </comment>
    <comment ref="G931" authorId="0" shapeId="0" xr:uid="{C701CE22-0608-40F0-8C8C-C1E86CF79E66}">
      <text>
        <r>
          <rPr>
            <b/>
            <sz val="9"/>
            <color indexed="81"/>
            <rFont val="MS P ゴシック"/>
            <family val="3"/>
            <charset val="128"/>
          </rPr>
          <t>chiba:</t>
        </r>
        <r>
          <rPr>
            <sz val="9"/>
            <color indexed="81"/>
            <rFont val="MS P ゴシック"/>
            <family val="3"/>
            <charset val="128"/>
          </rPr>
          <t xml:space="preserve">
25% 
レート 110 </t>
        </r>
      </text>
    </comment>
    <comment ref="G932" authorId="0" shapeId="0" xr:uid="{1F82929F-32FC-4F5B-869E-783D2BC7E8F9}">
      <text>
        <r>
          <rPr>
            <b/>
            <sz val="9"/>
            <color indexed="81"/>
            <rFont val="MS P ゴシック"/>
            <family val="3"/>
            <charset val="128"/>
          </rPr>
          <t>chiba:</t>
        </r>
        <r>
          <rPr>
            <sz val="9"/>
            <color indexed="81"/>
            <rFont val="MS P ゴシック"/>
            <family val="3"/>
            <charset val="128"/>
          </rPr>
          <t xml:space="preserve">
25% 
レート 110 </t>
        </r>
      </text>
    </comment>
    <comment ref="F945" authorId="0" shapeId="0" xr:uid="{36068F15-7D78-4C08-971C-0C51AC037D13}">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F946" authorId="0" shapeId="0" xr:uid="{8C3DB2E2-7B23-4219-B3C3-5BF52EEF2AFF}">
      <text>
        <r>
          <rPr>
            <b/>
            <sz val="9"/>
            <color indexed="81"/>
            <rFont val="ＭＳ Ｐゴシック"/>
            <family val="3"/>
            <charset val="128"/>
          </rPr>
          <t xml:space="preserve">chiba:
染色込み単価に合わせて計算 30%
€ = ￥115
</t>
        </r>
        <r>
          <rPr>
            <sz val="9"/>
            <color indexed="81"/>
            <rFont val="ＭＳ Ｐゴシック"/>
            <family val="3"/>
            <charset val="128"/>
          </rPr>
          <t xml:space="preserve">
</t>
        </r>
      </text>
    </comment>
    <comment ref="F947" authorId="0" shapeId="0" xr:uid="{9D68093B-E6AC-40C4-8E23-17A7F0455D63}">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F948" authorId="0" shapeId="0" xr:uid="{223E4E24-8FFF-4C72-9887-144FE5C6DDE7}">
      <text>
        <r>
          <rPr>
            <b/>
            <sz val="9"/>
            <color indexed="81"/>
            <rFont val="ＭＳ Ｐゴシック"/>
            <family val="3"/>
            <charset val="128"/>
          </rPr>
          <t>chiba:
染色込み単価に合わせて計算 30%
€ = ￥110</t>
        </r>
        <r>
          <rPr>
            <sz val="9"/>
            <color indexed="81"/>
            <rFont val="ＭＳ Ｐゴシック"/>
            <family val="3"/>
            <charset val="128"/>
          </rPr>
          <t xml:space="preserve">
</t>
        </r>
      </text>
    </comment>
    <comment ref="F958" authorId="0" shapeId="0" xr:uid="{BAC31E3A-F78C-46CE-96BE-9632CF922DC3}">
      <text>
        <r>
          <rPr>
            <b/>
            <sz val="9"/>
            <color indexed="81"/>
            <rFont val="MS P ゴシック"/>
            <family val="3"/>
            <charset val="128"/>
          </rPr>
          <t>chiba:</t>
        </r>
        <r>
          <rPr>
            <sz val="9"/>
            <color indexed="81"/>
            <rFont val="MS P ゴシック"/>
            <family val="3"/>
            <charset val="128"/>
          </rPr>
          <t xml:space="preserve">
40%
レート110</t>
        </r>
      </text>
    </comment>
    <comment ref="F963" authorId="1" shapeId="0" xr:uid="{6EDA1F20-3F22-4589-9917-5F01DC016B7B}">
      <text>
        <r>
          <rPr>
            <b/>
            <sz val="9"/>
            <color indexed="81"/>
            <rFont val="MS P ゴシック"/>
            <family val="3"/>
            <charset val="128"/>
          </rPr>
          <t>sunfashion:</t>
        </r>
        <r>
          <rPr>
            <sz val="9"/>
            <color indexed="81"/>
            <rFont val="MS P ゴシック"/>
            <family val="3"/>
            <charset val="128"/>
          </rPr>
          <t xml:space="preserve">
40% 
レート110 </t>
        </r>
      </text>
    </comment>
    <comment ref="F964" authorId="1" shapeId="0" xr:uid="{90E278A7-0A69-407D-880E-49AED2996621}">
      <text>
        <r>
          <rPr>
            <b/>
            <sz val="9"/>
            <color indexed="81"/>
            <rFont val="MS P ゴシック"/>
            <family val="3"/>
            <charset val="128"/>
          </rPr>
          <t>sunfashion:</t>
        </r>
        <r>
          <rPr>
            <sz val="9"/>
            <color indexed="81"/>
            <rFont val="MS P ゴシック"/>
            <family val="3"/>
            <charset val="128"/>
          </rPr>
          <t xml:space="preserve">
40% 
レート110 </t>
        </r>
      </text>
    </comment>
    <comment ref="F965" authorId="1" shapeId="0" xr:uid="{E0B3D7A8-48AD-44E4-8F05-394F06888FA8}">
      <text>
        <r>
          <rPr>
            <b/>
            <sz val="9"/>
            <color indexed="81"/>
            <rFont val="MS P ゴシック"/>
            <family val="3"/>
            <charset val="128"/>
          </rPr>
          <t>sunfashion:</t>
        </r>
        <r>
          <rPr>
            <sz val="9"/>
            <color indexed="81"/>
            <rFont val="MS P ゴシック"/>
            <family val="3"/>
            <charset val="128"/>
          </rPr>
          <t xml:space="preserve">
40% 
レート110 </t>
        </r>
      </text>
    </comment>
    <comment ref="F966" authorId="1" shapeId="0" xr:uid="{181850FC-6DC4-4D06-BEA9-86A53E6218FC}">
      <text>
        <r>
          <rPr>
            <b/>
            <sz val="9"/>
            <color indexed="81"/>
            <rFont val="MS P ゴシック"/>
            <family val="3"/>
            <charset val="128"/>
          </rPr>
          <t>sunfashion:</t>
        </r>
        <r>
          <rPr>
            <sz val="9"/>
            <color indexed="81"/>
            <rFont val="MS P ゴシック"/>
            <family val="3"/>
            <charset val="128"/>
          </rPr>
          <t xml:space="preserve">
40% 
レート110 </t>
        </r>
      </text>
    </comment>
    <comment ref="F967" authorId="1" shapeId="0" xr:uid="{FF5A9143-83CA-4573-8DA8-641A346E96CA}">
      <text>
        <r>
          <rPr>
            <b/>
            <sz val="9"/>
            <color indexed="81"/>
            <rFont val="MS P ゴシック"/>
            <family val="3"/>
            <charset val="128"/>
          </rPr>
          <t>sunfashion:</t>
        </r>
        <r>
          <rPr>
            <sz val="9"/>
            <color indexed="81"/>
            <rFont val="MS P ゴシック"/>
            <family val="3"/>
            <charset val="128"/>
          </rPr>
          <t xml:space="preserve">
40% 
レート110 </t>
        </r>
      </text>
    </comment>
    <comment ref="F968" authorId="1" shapeId="0" xr:uid="{DAEAE2C3-E59F-4BC1-BF3A-E9D4E0B443E1}">
      <text>
        <r>
          <rPr>
            <b/>
            <sz val="9"/>
            <color indexed="81"/>
            <rFont val="MS P ゴシック"/>
            <family val="3"/>
            <charset val="128"/>
          </rPr>
          <t>sunfashion:</t>
        </r>
        <r>
          <rPr>
            <sz val="9"/>
            <color indexed="81"/>
            <rFont val="MS P ゴシック"/>
            <family val="3"/>
            <charset val="128"/>
          </rPr>
          <t xml:space="preserve">
40% 
レート110 </t>
        </r>
      </text>
    </comment>
    <comment ref="F969" authorId="1" shapeId="0" xr:uid="{B1667C6D-3AE6-4FA1-B43B-E4EA8833A544}">
      <text>
        <r>
          <rPr>
            <b/>
            <sz val="9"/>
            <color indexed="81"/>
            <rFont val="MS P ゴシック"/>
            <family val="3"/>
            <charset val="128"/>
          </rPr>
          <t>sunfashion:</t>
        </r>
        <r>
          <rPr>
            <sz val="9"/>
            <color indexed="81"/>
            <rFont val="MS P ゴシック"/>
            <family val="3"/>
            <charset val="128"/>
          </rPr>
          <t xml:space="preserve">
40% 
レート110 </t>
        </r>
      </text>
    </comment>
    <comment ref="F970" authorId="1" shapeId="0" xr:uid="{37D2E6CD-4937-4F67-AD62-7C71044367A9}">
      <text>
        <r>
          <rPr>
            <b/>
            <sz val="9"/>
            <color indexed="81"/>
            <rFont val="MS P ゴシック"/>
            <family val="3"/>
            <charset val="128"/>
          </rPr>
          <t>sunfashion:</t>
        </r>
        <r>
          <rPr>
            <sz val="9"/>
            <color indexed="81"/>
            <rFont val="MS P ゴシック"/>
            <family val="3"/>
            <charset val="128"/>
          </rPr>
          <t xml:space="preserve">
40% 
レート110 </t>
        </r>
      </text>
    </comment>
    <comment ref="F971" authorId="1" shapeId="0" xr:uid="{A0C95B84-90C1-4BB3-89F9-56E7D16CD1A8}">
      <text>
        <r>
          <rPr>
            <b/>
            <sz val="9"/>
            <color indexed="81"/>
            <rFont val="MS P ゴシック"/>
            <family val="3"/>
            <charset val="128"/>
          </rPr>
          <t>sunfashion:</t>
        </r>
        <r>
          <rPr>
            <sz val="9"/>
            <color indexed="81"/>
            <rFont val="MS P ゴシック"/>
            <family val="3"/>
            <charset val="128"/>
          </rPr>
          <t xml:space="preserve">
40% 
レート110 </t>
        </r>
      </text>
    </comment>
    <comment ref="F972" authorId="1" shapeId="0" xr:uid="{762E6527-3CCC-4ACC-828E-6ADA9E7C383B}">
      <text>
        <r>
          <rPr>
            <b/>
            <sz val="9"/>
            <color indexed="81"/>
            <rFont val="MS P ゴシック"/>
            <family val="3"/>
            <charset val="128"/>
          </rPr>
          <t>sunfashion:</t>
        </r>
        <r>
          <rPr>
            <sz val="9"/>
            <color indexed="81"/>
            <rFont val="MS P ゴシック"/>
            <family val="3"/>
            <charset val="128"/>
          </rPr>
          <t xml:space="preserve">
40% 
レート110 </t>
        </r>
      </text>
    </comment>
    <comment ref="F973" authorId="1" shapeId="0" xr:uid="{CA0197DA-5193-4079-B92B-3D5E2D24DE6C}">
      <text>
        <r>
          <rPr>
            <b/>
            <sz val="9"/>
            <color indexed="81"/>
            <rFont val="MS P ゴシック"/>
            <family val="3"/>
            <charset val="128"/>
          </rPr>
          <t>sunfashion:</t>
        </r>
        <r>
          <rPr>
            <sz val="9"/>
            <color indexed="81"/>
            <rFont val="MS P ゴシック"/>
            <family val="3"/>
            <charset val="128"/>
          </rPr>
          <t xml:space="preserve">
40% 
レート110 </t>
        </r>
      </text>
    </comment>
    <comment ref="F974" authorId="1" shapeId="0" xr:uid="{BDCDAB90-926C-4A3C-917F-2C310D4522AC}">
      <text>
        <r>
          <rPr>
            <b/>
            <sz val="9"/>
            <color indexed="81"/>
            <rFont val="MS P ゴシック"/>
            <family val="3"/>
            <charset val="128"/>
          </rPr>
          <t>sunfashion:</t>
        </r>
        <r>
          <rPr>
            <sz val="9"/>
            <color indexed="81"/>
            <rFont val="MS P ゴシック"/>
            <family val="3"/>
            <charset val="128"/>
          </rPr>
          <t xml:space="preserve">
40% 
レート110 </t>
        </r>
      </text>
    </comment>
    <comment ref="F975" authorId="1" shapeId="0" xr:uid="{16D34659-E688-4028-920F-131BA183E5E0}">
      <text>
        <r>
          <rPr>
            <b/>
            <sz val="9"/>
            <color indexed="81"/>
            <rFont val="MS P ゴシック"/>
            <family val="3"/>
            <charset val="128"/>
          </rPr>
          <t>sunfashion:</t>
        </r>
        <r>
          <rPr>
            <sz val="9"/>
            <color indexed="81"/>
            <rFont val="MS P ゴシック"/>
            <family val="3"/>
            <charset val="128"/>
          </rPr>
          <t xml:space="preserve">
40% 
レート110 </t>
        </r>
      </text>
    </comment>
    <comment ref="F977" authorId="1" shapeId="0" xr:uid="{AA9F27F6-904B-442A-A1E9-A8C482BD070E}">
      <text>
        <r>
          <rPr>
            <b/>
            <sz val="9"/>
            <color indexed="81"/>
            <rFont val="MS P ゴシック"/>
            <family val="3"/>
            <charset val="128"/>
          </rPr>
          <t>sunfashion:</t>
        </r>
        <r>
          <rPr>
            <sz val="9"/>
            <color indexed="81"/>
            <rFont val="MS P ゴシック"/>
            <family val="3"/>
            <charset val="128"/>
          </rPr>
          <t xml:space="preserve">
40% 
レート110 </t>
        </r>
      </text>
    </comment>
    <comment ref="F978" authorId="1" shapeId="0" xr:uid="{CDD35C2F-2A8F-4E46-9FCF-A9FFBD1BEC09}">
      <text>
        <r>
          <rPr>
            <b/>
            <sz val="9"/>
            <color indexed="81"/>
            <rFont val="MS P ゴシック"/>
            <family val="3"/>
            <charset val="128"/>
          </rPr>
          <t>sunfashion:</t>
        </r>
        <r>
          <rPr>
            <sz val="9"/>
            <color indexed="81"/>
            <rFont val="MS P ゴシック"/>
            <family val="3"/>
            <charset val="128"/>
          </rPr>
          <t xml:space="preserve">
40% 
レート110 </t>
        </r>
      </text>
    </comment>
    <comment ref="F980" authorId="1" shapeId="0" xr:uid="{25985A66-6F59-430C-900D-645821D9D2BC}">
      <text>
        <r>
          <rPr>
            <b/>
            <sz val="9"/>
            <color indexed="81"/>
            <rFont val="MS P ゴシック"/>
            <family val="3"/>
            <charset val="128"/>
          </rPr>
          <t>sunfashion:</t>
        </r>
        <r>
          <rPr>
            <sz val="9"/>
            <color indexed="81"/>
            <rFont val="MS P ゴシック"/>
            <family val="3"/>
            <charset val="128"/>
          </rPr>
          <t xml:space="preserve">
40% 
レート110 </t>
        </r>
      </text>
    </comment>
    <comment ref="F989" authorId="1" shapeId="0" xr:uid="{C316E99F-F29E-4D28-AEFA-557E2CC26044}">
      <text>
        <r>
          <rPr>
            <b/>
            <sz val="9"/>
            <color indexed="81"/>
            <rFont val="MS P ゴシック"/>
            <family val="3"/>
            <charset val="128"/>
          </rPr>
          <t>sunfashion:</t>
        </r>
        <r>
          <rPr>
            <sz val="9"/>
            <color indexed="81"/>
            <rFont val="MS P ゴシック"/>
            <family val="3"/>
            <charset val="128"/>
          </rPr>
          <t xml:space="preserve">
25% 
110</t>
        </r>
      </text>
    </comment>
    <comment ref="G994" authorId="1" shapeId="0" xr:uid="{5BAC0296-9CA5-4CEE-AAC5-AD34D7A6DD0A}">
      <text>
        <r>
          <rPr>
            <b/>
            <sz val="9"/>
            <color indexed="81"/>
            <rFont val="MS P ゴシック"/>
            <family val="3"/>
            <charset val="128"/>
          </rPr>
          <t>sunfashion:
カラー単価に合わせて計算</t>
        </r>
        <r>
          <rPr>
            <sz val="9"/>
            <color indexed="81"/>
            <rFont val="MS P ゴシック"/>
            <family val="3"/>
            <charset val="128"/>
          </rPr>
          <t xml:space="preserve">
40% 
レート110 </t>
        </r>
      </text>
    </comment>
    <comment ref="G997" authorId="1" shapeId="0" xr:uid="{E7B25BBE-4402-4ABD-A541-D02F30A50A1B}">
      <text>
        <r>
          <rPr>
            <b/>
            <sz val="9"/>
            <color indexed="81"/>
            <rFont val="MS P ゴシック"/>
            <family val="3"/>
            <charset val="128"/>
          </rPr>
          <t xml:space="preserve">sunfashion:
</t>
        </r>
        <r>
          <rPr>
            <sz val="9"/>
            <color indexed="81"/>
            <rFont val="MS P ゴシック"/>
            <family val="3"/>
            <charset val="128"/>
          </rPr>
          <t xml:space="preserve">40% 
レート110 </t>
        </r>
      </text>
    </comment>
    <comment ref="F1001" authorId="0" shapeId="0" xr:uid="{A5BAE7E1-F94A-49E9-BB45-8E717F80C6A0}">
      <text>
        <r>
          <rPr>
            <b/>
            <sz val="9"/>
            <color indexed="81"/>
            <rFont val="MS P ゴシック"/>
            <family val="3"/>
            <charset val="128"/>
          </rPr>
          <t xml:space="preserve">chiba:
40% </t>
        </r>
        <r>
          <rPr>
            <sz val="9"/>
            <color indexed="81"/>
            <rFont val="MS P ゴシック"/>
            <family val="3"/>
            <charset val="128"/>
          </rPr>
          <t xml:space="preserve">
レート</t>
        </r>
        <r>
          <rPr>
            <sz val="9"/>
            <color indexed="81"/>
            <rFont val="ＭＳ Ｐゴシック"/>
            <family val="3"/>
            <charset val="128"/>
          </rPr>
          <t>€</t>
        </r>
        <r>
          <rPr>
            <sz val="9"/>
            <color indexed="81"/>
            <rFont val="MS P ゴシック"/>
            <family val="3"/>
            <charset val="128"/>
          </rPr>
          <t xml:space="preserve"> 1 = 110
</t>
        </r>
      </text>
    </comment>
    <comment ref="C1006" authorId="0" shapeId="0" xr:uid="{FF8FC6C4-6FDB-4D08-A1BA-EF2DB97B3093}">
      <text>
        <r>
          <rPr>
            <b/>
            <sz val="9"/>
            <color indexed="81"/>
            <rFont val="ＭＳ Ｐゴシック"/>
            <family val="3"/>
            <charset val="128"/>
          </rPr>
          <t>chiba:
染色込み単価</t>
        </r>
        <r>
          <rPr>
            <sz val="9"/>
            <color indexed="81"/>
            <rFont val="ＭＳ Ｐゴシック"/>
            <family val="3"/>
            <charset val="128"/>
          </rPr>
          <t xml:space="preserve">
30% 
€ = ￥110</t>
        </r>
      </text>
    </comment>
    <comment ref="C1007" authorId="0" shapeId="0" xr:uid="{C77A7790-C538-46C3-B4E1-EB547E7AC0CE}">
      <text>
        <r>
          <rPr>
            <b/>
            <sz val="9"/>
            <color indexed="81"/>
            <rFont val="ＭＳ Ｐゴシック"/>
            <family val="3"/>
            <charset val="128"/>
          </rPr>
          <t>chiba:
染色込み単価</t>
        </r>
        <r>
          <rPr>
            <sz val="9"/>
            <color indexed="81"/>
            <rFont val="ＭＳ Ｐゴシック"/>
            <family val="3"/>
            <charset val="128"/>
          </rPr>
          <t xml:space="preserve">
30% 
€ = ￥110</t>
        </r>
      </text>
    </comment>
    <comment ref="C1012" authorId="0" shapeId="0" xr:uid="{E1C22C43-4B15-46C0-A1C5-325C9E2EB143}">
      <text>
        <r>
          <rPr>
            <b/>
            <sz val="9"/>
            <color indexed="81"/>
            <rFont val="ＭＳ Ｐゴシック"/>
            <family val="3"/>
            <charset val="128"/>
          </rPr>
          <t>chiba:
染色込み単価</t>
        </r>
        <r>
          <rPr>
            <sz val="9"/>
            <color indexed="81"/>
            <rFont val="ＭＳ Ｐゴシック"/>
            <family val="3"/>
            <charset val="128"/>
          </rPr>
          <t xml:space="preserve">
30% 
€ = ￥110</t>
        </r>
      </text>
    </comment>
    <comment ref="C1013" authorId="0" shapeId="0" xr:uid="{949C7065-67D7-4955-85AF-56BBDE55C2DA}">
      <text>
        <r>
          <rPr>
            <b/>
            <sz val="9"/>
            <color indexed="81"/>
            <rFont val="ＭＳ Ｐゴシック"/>
            <family val="3"/>
            <charset val="128"/>
          </rPr>
          <t>chiba:
染色込み単価</t>
        </r>
        <r>
          <rPr>
            <sz val="9"/>
            <color indexed="81"/>
            <rFont val="ＭＳ Ｐゴシック"/>
            <family val="3"/>
            <charset val="128"/>
          </rPr>
          <t xml:space="preserve">
30% 
€ = ￥110</t>
        </r>
      </text>
    </comment>
    <comment ref="D1019" authorId="0" shapeId="0" xr:uid="{44D79EE6-2D0E-4C48-8840-7A1B82780254}">
      <text>
        <r>
          <rPr>
            <b/>
            <sz val="9"/>
            <color indexed="81"/>
            <rFont val="ＭＳ Ｐゴシック"/>
            <family val="3"/>
            <charset val="128"/>
          </rPr>
          <t>chiba:
単価調整
オフ白単価の40%
110</t>
        </r>
      </text>
    </comment>
    <comment ref="D1020" authorId="0" shapeId="0" xr:uid="{DE883783-823F-4BD6-8D34-BCFEA567972B}">
      <text>
        <r>
          <rPr>
            <b/>
            <sz val="9"/>
            <color indexed="81"/>
            <rFont val="ＭＳ Ｐゴシック"/>
            <family val="3"/>
            <charset val="128"/>
          </rPr>
          <t>chiba:
単価調整
オフ白単価の40%
110</t>
        </r>
      </text>
    </comment>
    <comment ref="D1021" authorId="0" shapeId="0" xr:uid="{1708E30B-F972-4C8B-BB52-21E7093D4289}">
      <text>
        <r>
          <rPr>
            <b/>
            <sz val="9"/>
            <color indexed="81"/>
            <rFont val="ＭＳ Ｐゴシック"/>
            <family val="3"/>
            <charset val="128"/>
          </rPr>
          <t>chiba:
単価調整
オフ白単価の40%
110</t>
        </r>
      </text>
    </comment>
    <comment ref="D1022" authorId="0" shapeId="0" xr:uid="{97C2C4E2-EDB1-483F-97F9-6ADDB077F4CB}">
      <text>
        <r>
          <rPr>
            <b/>
            <sz val="9"/>
            <color indexed="81"/>
            <rFont val="ＭＳ Ｐゴシック"/>
            <family val="3"/>
            <charset val="128"/>
          </rPr>
          <t>chiba:
単価調整
オフ白単価の40%
110</t>
        </r>
      </text>
    </comment>
    <comment ref="D1023" authorId="0" shapeId="0" xr:uid="{309AAE71-F26F-424F-8AD4-DAD7F9E01751}">
      <text>
        <r>
          <rPr>
            <b/>
            <sz val="9"/>
            <color indexed="81"/>
            <rFont val="ＭＳ Ｐゴシック"/>
            <family val="3"/>
            <charset val="128"/>
          </rPr>
          <t>chiba:
単価調整
オフ白単価の40%
110</t>
        </r>
      </text>
    </comment>
    <comment ref="D1024" authorId="0" shapeId="0" xr:uid="{9C640206-56C9-423A-A896-FD105B33B6E3}">
      <text>
        <r>
          <rPr>
            <b/>
            <sz val="9"/>
            <color indexed="81"/>
            <rFont val="ＭＳ Ｐゴシック"/>
            <family val="3"/>
            <charset val="128"/>
          </rPr>
          <t>chiba:
単価調整
オフ白単価の40%
110</t>
        </r>
      </text>
    </comment>
    <comment ref="D1025" authorId="0" shapeId="0" xr:uid="{2E1C28D1-39C9-4F99-81B5-5FDA1E25FA58}">
      <text>
        <r>
          <rPr>
            <b/>
            <sz val="9"/>
            <color indexed="81"/>
            <rFont val="ＭＳ Ｐゴシック"/>
            <family val="3"/>
            <charset val="128"/>
          </rPr>
          <t>chiba:
単価調整
オフ白単価の40%
110</t>
        </r>
      </text>
    </comment>
    <comment ref="D1026" authorId="0" shapeId="0" xr:uid="{C5E0866C-204B-401A-B3D2-44D025A2E662}">
      <text>
        <r>
          <rPr>
            <b/>
            <sz val="9"/>
            <color indexed="81"/>
            <rFont val="ＭＳ Ｐゴシック"/>
            <family val="3"/>
            <charset val="128"/>
          </rPr>
          <t>chiba:
単価調整
オフ白単価の40%
110</t>
        </r>
      </text>
    </comment>
    <comment ref="D1027" authorId="0" shapeId="0" xr:uid="{990F7DF4-5AA6-4681-9BC0-90BF1F490BBB}">
      <text>
        <r>
          <rPr>
            <b/>
            <sz val="9"/>
            <color indexed="81"/>
            <rFont val="ＭＳ Ｐゴシック"/>
            <family val="3"/>
            <charset val="128"/>
          </rPr>
          <t>chiba:
単価調整
オフ白単価の40%
110</t>
        </r>
      </text>
    </comment>
    <comment ref="D1028" authorId="0" shapeId="0" xr:uid="{340F220D-B6F0-4957-8422-BA13C9028042}">
      <text>
        <r>
          <rPr>
            <b/>
            <sz val="9"/>
            <color indexed="81"/>
            <rFont val="ＭＳ Ｐゴシック"/>
            <family val="3"/>
            <charset val="128"/>
          </rPr>
          <t>chiba:
単価調整
オフ白単価の40%
110</t>
        </r>
      </text>
    </comment>
    <comment ref="D1029" authorId="0" shapeId="0" xr:uid="{93274824-AB25-4700-A88E-F18C8F143232}">
      <text>
        <r>
          <rPr>
            <b/>
            <sz val="9"/>
            <color indexed="81"/>
            <rFont val="ＭＳ Ｐゴシック"/>
            <family val="3"/>
            <charset val="128"/>
          </rPr>
          <t>chiba:
単価調整
オフ白単価の40%
110</t>
        </r>
      </text>
    </comment>
    <comment ref="D1030" authorId="0" shapeId="0" xr:uid="{795C2E1D-F0BA-49D0-954E-62B00598BA60}">
      <text>
        <r>
          <rPr>
            <b/>
            <sz val="9"/>
            <color indexed="81"/>
            <rFont val="ＭＳ Ｐゴシック"/>
            <family val="3"/>
            <charset val="128"/>
          </rPr>
          <t>chiba:
単価調整
オフ白単価の40%
110</t>
        </r>
      </text>
    </comment>
    <comment ref="D1031" authorId="0" shapeId="0" xr:uid="{16B780E3-B4F7-4667-BC84-0C932D0A3186}">
      <text>
        <r>
          <rPr>
            <b/>
            <sz val="9"/>
            <color indexed="81"/>
            <rFont val="ＭＳ Ｐゴシック"/>
            <family val="3"/>
            <charset val="128"/>
          </rPr>
          <t>chiba:
単価調整
オフ白単価の40%
110</t>
        </r>
      </text>
    </comment>
    <comment ref="D1032" authorId="0" shapeId="0" xr:uid="{39DAB0E7-1FA1-4EC2-8B1E-497413E424FC}">
      <text>
        <r>
          <rPr>
            <b/>
            <sz val="9"/>
            <color indexed="81"/>
            <rFont val="ＭＳ Ｐゴシック"/>
            <family val="3"/>
            <charset val="128"/>
          </rPr>
          <t>chiba:
単価調整
オフ白単価の40%
110</t>
        </r>
      </text>
    </comment>
    <comment ref="D1033" authorId="0" shapeId="0" xr:uid="{D9A9FA6E-C70F-40FC-9E83-0EF89CA4E57B}">
      <text>
        <r>
          <rPr>
            <b/>
            <sz val="9"/>
            <color indexed="81"/>
            <rFont val="ＭＳ Ｐゴシック"/>
            <family val="3"/>
            <charset val="128"/>
          </rPr>
          <t>chiba:
単価調整
オフ白単価の40%
110</t>
        </r>
      </text>
    </comment>
    <comment ref="D1034" authorId="0" shapeId="0" xr:uid="{9CE1C401-BF7B-4326-B7BD-F5262E940056}">
      <text>
        <r>
          <rPr>
            <b/>
            <sz val="9"/>
            <color indexed="81"/>
            <rFont val="ＭＳ Ｐゴシック"/>
            <family val="3"/>
            <charset val="128"/>
          </rPr>
          <t>chiba:
単価調整
オフ白単価の40%
110</t>
        </r>
      </text>
    </comment>
    <comment ref="D1035" authorId="0" shapeId="0" xr:uid="{C9DDF408-F04F-43D3-A293-537995BE4671}">
      <text>
        <r>
          <rPr>
            <b/>
            <sz val="9"/>
            <color indexed="81"/>
            <rFont val="ＭＳ Ｐゴシック"/>
            <family val="3"/>
            <charset val="128"/>
          </rPr>
          <t>chiba:
単価調整
オフ白単価の40%
110</t>
        </r>
      </text>
    </comment>
    <comment ref="D1036" authorId="0" shapeId="0" xr:uid="{EE4322FA-212B-45E5-AFFD-3360CD1376C0}">
      <text>
        <r>
          <rPr>
            <b/>
            <sz val="9"/>
            <color indexed="81"/>
            <rFont val="ＭＳ Ｐゴシック"/>
            <family val="3"/>
            <charset val="128"/>
          </rPr>
          <t>chiba:
単価調整
オフ白単価の40%
110</t>
        </r>
      </text>
    </comment>
    <comment ref="D1037" authorId="0" shapeId="0" xr:uid="{9D946085-214C-418B-9B67-2B4D2A44C7D7}">
      <text>
        <r>
          <rPr>
            <b/>
            <sz val="9"/>
            <color indexed="81"/>
            <rFont val="ＭＳ Ｐゴシック"/>
            <family val="3"/>
            <charset val="128"/>
          </rPr>
          <t>chiba:
単価調整
オフ白単価の40%
110</t>
        </r>
      </text>
    </comment>
    <comment ref="D1038" authorId="0" shapeId="0" xr:uid="{FF15D5BD-A72A-45C9-9569-78DBA1EE13B2}">
      <text>
        <r>
          <rPr>
            <b/>
            <sz val="9"/>
            <color indexed="81"/>
            <rFont val="ＭＳ Ｐゴシック"/>
            <family val="3"/>
            <charset val="128"/>
          </rPr>
          <t>chiba:
単価調整
オフ白単価の40%
110</t>
        </r>
      </text>
    </comment>
    <comment ref="D1039" authorId="0" shapeId="0" xr:uid="{04A8771C-5ADB-4498-8232-DE02AB13AE93}">
      <text>
        <r>
          <rPr>
            <b/>
            <sz val="9"/>
            <color indexed="81"/>
            <rFont val="ＭＳ Ｐゴシック"/>
            <family val="3"/>
            <charset val="128"/>
          </rPr>
          <t>chiba:
単価調整
オフ白単価の40%
110</t>
        </r>
      </text>
    </comment>
    <comment ref="D1040" authorId="0" shapeId="0" xr:uid="{863CDFD1-8D5D-43B7-86B6-41C198048351}">
      <text>
        <r>
          <rPr>
            <b/>
            <sz val="9"/>
            <color indexed="81"/>
            <rFont val="ＭＳ Ｐゴシック"/>
            <family val="3"/>
            <charset val="128"/>
          </rPr>
          <t>chiba:
単価調整
オフ白単価の40%
110</t>
        </r>
      </text>
    </comment>
    <comment ref="D1041" authorId="0" shapeId="0" xr:uid="{1BE3DBE9-3319-47E8-86B5-E5816071324B}">
      <text>
        <r>
          <rPr>
            <b/>
            <sz val="9"/>
            <color indexed="81"/>
            <rFont val="ＭＳ Ｐゴシック"/>
            <family val="3"/>
            <charset val="128"/>
          </rPr>
          <t>chiba:
単価調整
オフ白単価の40%
110</t>
        </r>
      </text>
    </comment>
    <comment ref="D1042" authorId="0" shapeId="0" xr:uid="{51963603-3F93-4641-A2EF-F912E2F7C907}">
      <text>
        <r>
          <rPr>
            <b/>
            <sz val="9"/>
            <color indexed="81"/>
            <rFont val="ＭＳ Ｐゴシック"/>
            <family val="3"/>
            <charset val="128"/>
          </rPr>
          <t>chiba:
単価調整
オフ白単価の40%
110</t>
        </r>
      </text>
    </comment>
    <comment ref="D1043" authorId="0" shapeId="0" xr:uid="{18BE1051-AF71-4BB6-BDC1-DE0AF417E700}">
      <text>
        <r>
          <rPr>
            <b/>
            <sz val="9"/>
            <color indexed="81"/>
            <rFont val="ＭＳ Ｐゴシック"/>
            <family val="3"/>
            <charset val="128"/>
          </rPr>
          <t>chiba:
単価調整
オフ白単価の40%
110</t>
        </r>
      </text>
    </comment>
    <comment ref="D1044" authorId="0" shapeId="0" xr:uid="{F78108E9-B479-41D8-B4BA-067ECBD6FF71}">
      <text>
        <r>
          <rPr>
            <b/>
            <sz val="9"/>
            <color indexed="81"/>
            <rFont val="ＭＳ Ｐゴシック"/>
            <family val="3"/>
            <charset val="128"/>
          </rPr>
          <t>chiba:
単価調整
オフ白単価の40%
110</t>
        </r>
      </text>
    </comment>
    <comment ref="D1148" authorId="0" shapeId="0" xr:uid="{4CA2437B-B761-4DC5-8F61-B60C95042D2A}">
      <text>
        <r>
          <rPr>
            <b/>
            <sz val="9"/>
            <color indexed="81"/>
            <rFont val="ＭＳ Ｐゴシック"/>
            <family val="3"/>
            <charset val="128"/>
          </rPr>
          <t>chiba:
単価調整
オフ白単価の55%
110</t>
        </r>
      </text>
    </comment>
    <comment ref="D1149" authorId="0" shapeId="0" xr:uid="{D22ECF95-50BB-4D9F-AA42-196331D8BD2B}">
      <text>
        <r>
          <rPr>
            <b/>
            <sz val="9"/>
            <color indexed="81"/>
            <rFont val="ＭＳ Ｐゴシック"/>
            <family val="3"/>
            <charset val="128"/>
          </rPr>
          <t>chiba:
単価調整
オフ白単価の55%
110</t>
        </r>
      </text>
    </comment>
    <comment ref="L1150" authorId="3" shapeId="0" xr:uid="{8CBD3446-BE19-4ECD-8E8E-E6B18C0AF8FF}">
      <text>
        <r>
          <rPr>
            <b/>
            <sz val="9"/>
            <color indexed="81"/>
            <rFont val="MS P ゴシック"/>
            <family val="3"/>
            <charset val="128"/>
          </rPr>
          <t>fukumoto:</t>
        </r>
        <r>
          <rPr>
            <sz val="9"/>
            <color indexed="81"/>
            <rFont val="MS P ゴシック"/>
            <family val="3"/>
            <charset val="128"/>
          </rPr>
          <t xml:space="preserve">
オフ白単価</t>
        </r>
      </text>
    </comment>
    <comment ref="L1151" authorId="3" shapeId="0" xr:uid="{2746BBFC-9501-49C9-A998-3BE5389C2AB0}">
      <text>
        <r>
          <rPr>
            <b/>
            <sz val="9"/>
            <color indexed="81"/>
            <rFont val="MS P ゴシック"/>
            <family val="3"/>
            <charset val="128"/>
          </rPr>
          <t>fukumoto:</t>
        </r>
        <r>
          <rPr>
            <sz val="9"/>
            <color indexed="81"/>
            <rFont val="MS P ゴシック"/>
            <family val="3"/>
            <charset val="128"/>
          </rPr>
          <t xml:space="preserve">
オフ白単価</t>
        </r>
      </text>
    </comment>
    <comment ref="L1152" authorId="3" shapeId="0" xr:uid="{F85B8ABF-C386-4351-8BA7-939D72657A96}">
      <text>
        <r>
          <rPr>
            <b/>
            <sz val="9"/>
            <color indexed="81"/>
            <rFont val="MS P ゴシック"/>
            <family val="3"/>
            <charset val="128"/>
          </rPr>
          <t>fukumoto:</t>
        </r>
        <r>
          <rPr>
            <sz val="9"/>
            <color indexed="81"/>
            <rFont val="MS P ゴシック"/>
            <family val="3"/>
            <charset val="128"/>
          </rPr>
          <t xml:space="preserve">
オフ白単価</t>
        </r>
      </text>
    </comment>
    <comment ref="L1153" authorId="3" shapeId="0" xr:uid="{4B267422-A27B-46B4-9630-29802605881D}">
      <text>
        <r>
          <rPr>
            <b/>
            <sz val="9"/>
            <color indexed="81"/>
            <rFont val="MS P ゴシック"/>
            <family val="3"/>
            <charset val="128"/>
          </rPr>
          <t>fukumoto:</t>
        </r>
        <r>
          <rPr>
            <sz val="9"/>
            <color indexed="81"/>
            <rFont val="MS P ゴシック"/>
            <family val="3"/>
            <charset val="128"/>
          </rPr>
          <t xml:space="preserve">
オフ白単価
</t>
        </r>
      </text>
    </comment>
    <comment ref="L1154" authorId="3" shapeId="0" xr:uid="{2C375719-9055-4E4E-AEF1-214C0E769C0A}">
      <text>
        <r>
          <rPr>
            <b/>
            <sz val="9"/>
            <color indexed="81"/>
            <rFont val="MS P ゴシック"/>
            <family val="3"/>
            <charset val="128"/>
          </rPr>
          <t>fukumoto:</t>
        </r>
        <r>
          <rPr>
            <sz val="9"/>
            <color indexed="81"/>
            <rFont val="MS P ゴシック"/>
            <family val="3"/>
            <charset val="128"/>
          </rPr>
          <t xml:space="preserve">
オフ白単価</t>
        </r>
      </text>
    </comment>
    <comment ref="L1155" authorId="3" shapeId="0" xr:uid="{AFC1392F-2565-46BA-BB29-607AB6EF2FFC}">
      <text>
        <r>
          <rPr>
            <b/>
            <sz val="9"/>
            <color indexed="81"/>
            <rFont val="MS P ゴシック"/>
            <family val="3"/>
            <charset val="128"/>
          </rPr>
          <t>fukumoto:</t>
        </r>
        <r>
          <rPr>
            <sz val="9"/>
            <color indexed="81"/>
            <rFont val="MS P ゴシック"/>
            <family val="3"/>
            <charset val="128"/>
          </rPr>
          <t xml:space="preserve">
オフ白単価</t>
        </r>
      </text>
    </comment>
    <comment ref="L1156" authorId="3" shapeId="0" xr:uid="{3DC6A91C-9D25-474A-92CD-105781B3B335}">
      <text>
        <r>
          <rPr>
            <b/>
            <sz val="9"/>
            <color indexed="81"/>
            <rFont val="MS P ゴシック"/>
            <family val="3"/>
            <charset val="128"/>
          </rPr>
          <t>fukumoto:</t>
        </r>
        <r>
          <rPr>
            <sz val="9"/>
            <color indexed="81"/>
            <rFont val="MS P ゴシック"/>
            <family val="3"/>
            <charset val="128"/>
          </rPr>
          <t xml:space="preserve">
オフ白単価
</t>
        </r>
      </text>
    </comment>
    <comment ref="L1157" authorId="3" shapeId="0" xr:uid="{E985AC3F-6AA2-4CDC-A50A-3E315BB050A9}">
      <text>
        <r>
          <rPr>
            <b/>
            <sz val="9"/>
            <color indexed="81"/>
            <rFont val="MS P ゴシック"/>
            <family val="3"/>
            <charset val="128"/>
          </rPr>
          <t>fukumoto:</t>
        </r>
        <r>
          <rPr>
            <sz val="9"/>
            <color indexed="81"/>
            <rFont val="MS P ゴシック"/>
            <family val="3"/>
            <charset val="128"/>
          </rPr>
          <t xml:space="preserve">
オフ白単価</t>
        </r>
      </text>
    </comment>
    <comment ref="D1165" authorId="0" shapeId="0" xr:uid="{F95AAF5B-F7F1-462C-A957-D4D5FDDC31F1}">
      <text>
        <r>
          <rPr>
            <b/>
            <sz val="9"/>
            <color indexed="81"/>
            <rFont val="ＭＳ Ｐゴシック"/>
            <family val="3"/>
            <charset val="128"/>
          </rPr>
          <t>chiba:
単価調整
オフ白単価の40%
110</t>
        </r>
      </text>
    </comment>
    <comment ref="D1166" authorId="0" shapeId="0" xr:uid="{2016C193-87FF-44DF-BA88-1941AADC0FD3}">
      <text>
        <r>
          <rPr>
            <b/>
            <sz val="9"/>
            <color indexed="81"/>
            <rFont val="ＭＳ Ｐゴシック"/>
            <family val="3"/>
            <charset val="128"/>
          </rPr>
          <t>chiba:
単価調整
オフ白単価の40%
110</t>
        </r>
      </text>
    </comment>
    <comment ref="D1167" authorId="0" shapeId="0" xr:uid="{AF40E263-97D0-4EE7-A916-A58D56B86EDD}">
      <text>
        <r>
          <rPr>
            <b/>
            <sz val="9"/>
            <color indexed="81"/>
            <rFont val="ＭＳ Ｐゴシック"/>
            <family val="3"/>
            <charset val="128"/>
          </rPr>
          <t>chiba:
単価調整
オフ白単価の40%
110</t>
        </r>
      </text>
    </comment>
    <comment ref="D1168" authorId="0" shapeId="0" xr:uid="{89D6282D-9D0C-4DF0-8B29-BC2CF52CC06C}">
      <text>
        <r>
          <rPr>
            <b/>
            <sz val="9"/>
            <color indexed="81"/>
            <rFont val="ＭＳ Ｐゴシック"/>
            <family val="3"/>
            <charset val="128"/>
          </rPr>
          <t>chiba:
単価調整
オフ白単価の40%
110</t>
        </r>
      </text>
    </comment>
    <comment ref="D1169" authorId="0" shapeId="0" xr:uid="{4623FADA-F78F-47A0-A613-0B09CD856F89}">
      <text>
        <r>
          <rPr>
            <b/>
            <sz val="9"/>
            <color indexed="81"/>
            <rFont val="ＭＳ Ｐゴシック"/>
            <family val="3"/>
            <charset val="128"/>
          </rPr>
          <t>chiba:
単価調整
オフ白単価の40%
110</t>
        </r>
      </text>
    </comment>
    <comment ref="D1170" authorId="0" shapeId="0" xr:uid="{4B5C8B53-338C-404E-B139-397A53B54BF9}">
      <text>
        <r>
          <rPr>
            <b/>
            <sz val="9"/>
            <color indexed="81"/>
            <rFont val="ＭＳ Ｐゴシック"/>
            <family val="3"/>
            <charset val="128"/>
          </rPr>
          <t>chiba:
単価調整
オフ白単価の40%
110</t>
        </r>
      </text>
    </comment>
    <comment ref="D1171" authorId="0" shapeId="0" xr:uid="{22A2CB4B-46CE-4856-8744-B0F0BC79011C}">
      <text>
        <r>
          <rPr>
            <b/>
            <sz val="9"/>
            <color indexed="81"/>
            <rFont val="ＭＳ Ｐゴシック"/>
            <family val="3"/>
            <charset val="128"/>
          </rPr>
          <t>chiba:
単価調整
オフ白単価の40%
110</t>
        </r>
      </text>
    </comment>
    <comment ref="D1172" authorId="0" shapeId="0" xr:uid="{04493417-4C08-4084-BFC5-1EB5E9704F8F}">
      <text>
        <r>
          <rPr>
            <b/>
            <sz val="9"/>
            <color indexed="81"/>
            <rFont val="ＭＳ Ｐゴシック"/>
            <family val="3"/>
            <charset val="128"/>
          </rPr>
          <t>chiba:
単価調整
オフ白単価の40%
110</t>
        </r>
      </text>
    </comment>
    <comment ref="D1173" authorId="0" shapeId="0" xr:uid="{28581819-782E-4000-BDCF-68DFDE786A76}">
      <text>
        <r>
          <rPr>
            <b/>
            <sz val="9"/>
            <color indexed="81"/>
            <rFont val="ＭＳ Ｐゴシック"/>
            <family val="3"/>
            <charset val="128"/>
          </rPr>
          <t>chiba:
単価調整
オフ白単価の40%
110</t>
        </r>
      </text>
    </comment>
    <comment ref="D1174" authorId="0" shapeId="0" xr:uid="{6D25A9F6-4531-4993-BD1D-21FD1284AE1D}">
      <text>
        <r>
          <rPr>
            <b/>
            <sz val="9"/>
            <color indexed="81"/>
            <rFont val="ＭＳ Ｐゴシック"/>
            <family val="3"/>
            <charset val="128"/>
          </rPr>
          <t>chiba:
単価調整
オフ白単価の40%
110</t>
        </r>
      </text>
    </comment>
    <comment ref="D1175" authorId="0" shapeId="0" xr:uid="{52070FB2-C79D-4714-98F6-5128E485743B}">
      <text>
        <r>
          <rPr>
            <b/>
            <sz val="9"/>
            <color indexed="81"/>
            <rFont val="ＭＳ Ｐゴシック"/>
            <family val="3"/>
            <charset val="128"/>
          </rPr>
          <t>chiba:
単価調整
オフ白単価の40%
110</t>
        </r>
      </text>
    </comment>
    <comment ref="D1176" authorId="0" shapeId="0" xr:uid="{E5D5E848-D6B6-4F4C-8CC6-431D060F6312}">
      <text>
        <r>
          <rPr>
            <b/>
            <sz val="9"/>
            <color indexed="81"/>
            <rFont val="ＭＳ Ｐゴシック"/>
            <family val="3"/>
            <charset val="128"/>
          </rPr>
          <t>chiba:
単価調整
オフ白単価の40%
110</t>
        </r>
      </text>
    </comment>
    <comment ref="D1177" authorId="0" shapeId="0" xr:uid="{F9A8CBEE-CF8B-4FD0-8B45-AA91C7C12060}">
      <text>
        <r>
          <rPr>
            <b/>
            <sz val="9"/>
            <color indexed="81"/>
            <rFont val="ＭＳ Ｐゴシック"/>
            <family val="3"/>
            <charset val="128"/>
          </rPr>
          <t>chiba:
単価調整
オフ白単価の40%
110</t>
        </r>
      </text>
    </comment>
    <comment ref="D1178" authorId="0" shapeId="0" xr:uid="{A9D20536-A103-4EF3-A1A4-D8D735A0C4D8}">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D1179" authorId="0" shapeId="0" xr:uid="{A0BCF125-5B48-4112-9073-C4EA17F031C3}">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D1180" authorId="0" shapeId="0" xr:uid="{5FA8D27E-6DD2-4C6F-A5B9-5E0A3E33BC0D}">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D1181" authorId="0" shapeId="0" xr:uid="{C8F3BAC4-2A34-4783-BEBB-8550E6B933DA}">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D1182" authorId="0" shapeId="0" xr:uid="{E58D3ADB-5293-4553-9BB9-8A88DA81A3AA}">
      <text>
        <r>
          <rPr>
            <b/>
            <sz val="9"/>
            <color indexed="81"/>
            <rFont val="MS P ゴシック"/>
            <family val="3"/>
            <charset val="128"/>
          </rPr>
          <t>chiba:</t>
        </r>
        <r>
          <rPr>
            <sz val="9"/>
            <color indexed="81"/>
            <rFont val="MS P ゴシック"/>
            <family val="3"/>
            <charset val="128"/>
          </rPr>
          <t xml:space="preserve">
chiba:
単価調整
オフ白単価の40%
110</t>
        </r>
      </text>
    </comment>
    <comment ref="D1183" authorId="0" shapeId="0" xr:uid="{8916BB34-82F1-4D18-937B-B5B4EDE8D918}">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184" authorId="0" shapeId="0" xr:uid="{775EA00F-B2B2-44CF-9DE2-37A9DBF3D55B}">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185" authorId="0" shapeId="0" xr:uid="{6D56CEBA-E542-466F-A56B-EEC571340ED4}">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186" authorId="0" shapeId="0" xr:uid="{615E3836-8A24-4EFC-87F6-85D80FD42578}">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187" authorId="0" shapeId="0" xr:uid="{AFE17069-E0E7-42F8-95ED-51958F2289A8}">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188" authorId="0" shapeId="0" xr:uid="{5FB724CE-DC8D-448A-8CC5-D55F2AC359C3}">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189" authorId="0" shapeId="0" xr:uid="{D5AE2B1E-44A2-4C3B-889B-A388694A6382}">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190" authorId="0" shapeId="0" xr:uid="{1FE10F68-7C53-47B8-BDD3-889FBBC85296}">
      <text>
        <r>
          <rPr>
            <b/>
            <sz val="9"/>
            <color indexed="81"/>
            <rFont val="ＭＳ Ｐゴシック"/>
            <family val="3"/>
            <charset val="128"/>
          </rPr>
          <t>chiba:
単価調整
オフ白単価の40%
110</t>
        </r>
      </text>
    </comment>
    <comment ref="D1191" authorId="0" shapeId="0" xr:uid="{AEE9E09B-E031-46BA-B3EB-01DF493A97CA}">
      <text>
        <r>
          <rPr>
            <b/>
            <sz val="9"/>
            <color indexed="81"/>
            <rFont val="ＭＳ Ｐゴシック"/>
            <family val="3"/>
            <charset val="128"/>
          </rPr>
          <t>chiba:
単価調整
オフ白単価の40%
110</t>
        </r>
      </text>
    </comment>
    <comment ref="D1195" authorId="0" shapeId="0" xr:uid="{8E9FA0EA-C0EA-4ED5-A691-B81A1376B61D}">
      <text>
        <r>
          <rPr>
            <b/>
            <sz val="9"/>
            <color indexed="81"/>
            <rFont val="ＭＳ Ｐゴシック"/>
            <family val="3"/>
            <charset val="128"/>
          </rPr>
          <t>chiba:
単価調整
オフ白単価の40%
110</t>
        </r>
      </text>
    </comment>
    <comment ref="D1196" authorId="0" shapeId="0" xr:uid="{9E3FBEA1-95CE-4AB4-B276-7FD6CF93017E}">
      <text>
        <r>
          <rPr>
            <b/>
            <sz val="9"/>
            <color indexed="81"/>
            <rFont val="ＭＳ Ｐゴシック"/>
            <family val="3"/>
            <charset val="128"/>
          </rPr>
          <t>chiba:
単価調整
オフ白単価の40%
110</t>
        </r>
      </text>
    </comment>
    <comment ref="D1197" authorId="0" shapeId="0" xr:uid="{2490D31B-05FC-4FB4-8F58-F9894AC4339C}">
      <text>
        <r>
          <rPr>
            <b/>
            <sz val="9"/>
            <color indexed="81"/>
            <rFont val="ＭＳ Ｐゴシック"/>
            <family val="3"/>
            <charset val="128"/>
          </rPr>
          <t>chiba:
単価調整
オフ白単価の40%
110</t>
        </r>
      </text>
    </comment>
    <comment ref="D1198" authorId="0" shapeId="0" xr:uid="{077BA18C-726F-4C09-AFE6-D7E921B2F4B9}">
      <text>
        <r>
          <rPr>
            <b/>
            <sz val="9"/>
            <color indexed="81"/>
            <rFont val="ＭＳ Ｐゴシック"/>
            <family val="3"/>
            <charset val="128"/>
          </rPr>
          <t>chiba:
単価調整
オフ白単価の40%
110</t>
        </r>
      </text>
    </comment>
    <comment ref="D1199" authorId="0" shapeId="0" xr:uid="{7D3EB804-3FE4-4900-8A77-56C98FBF2138}">
      <text>
        <r>
          <rPr>
            <b/>
            <sz val="9"/>
            <color indexed="81"/>
            <rFont val="ＭＳ Ｐゴシック"/>
            <family val="3"/>
            <charset val="128"/>
          </rPr>
          <t>chiba:
単価調整
オフ白単価の40%
110</t>
        </r>
      </text>
    </comment>
    <comment ref="D1201" authorId="0" shapeId="0" xr:uid="{34856F94-1D31-45E5-BBD2-39C00D17E99B}">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02" authorId="0" shapeId="0" xr:uid="{7F92413A-79E8-44B1-A31B-232D57976CE4}">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03" authorId="0" shapeId="0" xr:uid="{D2087162-14AD-43BB-B181-C1D87489A88B}">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04" authorId="0" shapeId="0" xr:uid="{21135987-3C7C-4D07-A08F-8E31FEF6D410}">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05" authorId="0" shapeId="0" xr:uid="{95A3930A-9069-4D9D-A7DD-A123245A5B4D}">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06" authorId="0" shapeId="0" xr:uid="{6D674D6E-C38C-4ED3-9BB5-9855CDFD0E0D}">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07" authorId="0" shapeId="0" xr:uid="{2B123ECE-EA57-4BE4-A2DA-757418969D1D}">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08" authorId="0" shapeId="0" xr:uid="{C2177CF8-9CAA-48D2-9F36-423BE80D5210}">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09" authorId="0" shapeId="0" xr:uid="{14872C0E-DAA8-419C-9292-CB746EAD3952}">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10" authorId="0" shapeId="0" xr:uid="{FC25C9A6-D7CE-44D1-82E6-2604C0AE6B04}">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11" authorId="0" shapeId="0" xr:uid="{E7DC99EB-B096-45B2-AF6A-40E0F52417F0}">
      <text>
        <r>
          <rPr>
            <b/>
            <sz val="9"/>
            <color indexed="81"/>
            <rFont val="MS P ゴシック"/>
            <family val="3"/>
            <charset val="128"/>
          </rPr>
          <t>chiba:</t>
        </r>
        <r>
          <rPr>
            <sz val="9"/>
            <color indexed="81"/>
            <rFont val="MS P ゴシック"/>
            <family val="3"/>
            <charset val="128"/>
          </rPr>
          <t xml:space="preserve">
単価調整
オフ白単価の40%
110</t>
        </r>
      </text>
    </comment>
    <comment ref="D1215" authorId="0" shapeId="0" xr:uid="{2888BFA9-0A1C-444A-B875-F64BBDF5A473}">
      <text>
        <r>
          <rPr>
            <b/>
            <sz val="9"/>
            <color indexed="81"/>
            <rFont val="ＭＳ Ｐゴシック"/>
            <family val="3"/>
            <charset val="128"/>
          </rPr>
          <t>chiba:
単価調整
オフ白単価の40%
110</t>
        </r>
      </text>
    </comment>
    <comment ref="D1216" authorId="0" shapeId="0" xr:uid="{ACB7C450-C912-47B1-9F3C-A0520F5EB664}">
      <text>
        <r>
          <rPr>
            <b/>
            <sz val="9"/>
            <color indexed="81"/>
            <rFont val="ＭＳ Ｐゴシック"/>
            <family val="3"/>
            <charset val="128"/>
          </rPr>
          <t>chiba:
単価調整
オフ白単価の40%
110</t>
        </r>
      </text>
    </comment>
    <comment ref="D1217" authorId="0" shapeId="0" xr:uid="{E2A7347A-358F-45EB-8230-2BC9EE286266}">
      <text>
        <r>
          <rPr>
            <b/>
            <sz val="9"/>
            <color indexed="81"/>
            <rFont val="ＭＳ Ｐゴシック"/>
            <family val="3"/>
            <charset val="128"/>
          </rPr>
          <t>chiba:
単価調整
オフ白単価の40%
110</t>
        </r>
      </text>
    </comment>
    <comment ref="F1227" authorId="0" shapeId="0" xr:uid="{1FE65648-E788-4A5F-91AA-996BBFE963B5}">
      <text>
        <r>
          <rPr>
            <b/>
            <sz val="9"/>
            <color indexed="81"/>
            <rFont val="MS P ゴシック"/>
            <family val="3"/>
            <charset val="128"/>
          </rPr>
          <t>chiba:</t>
        </r>
        <r>
          <rPr>
            <sz val="9"/>
            <color indexed="81"/>
            <rFont val="MS P ゴシック"/>
            <family val="3"/>
            <charset val="128"/>
          </rPr>
          <t xml:space="preserve">
25% 
レート 110 </t>
        </r>
      </text>
    </comment>
    <comment ref="C1232" authorId="0" shapeId="0" xr:uid="{98F6BC62-C7AE-4C65-9941-F68C9F99EE74}">
      <text>
        <r>
          <rPr>
            <b/>
            <sz val="9"/>
            <color indexed="81"/>
            <rFont val="MS P ゴシック"/>
            <family val="3"/>
            <charset val="128"/>
          </rPr>
          <t>chiba:</t>
        </r>
        <r>
          <rPr>
            <sz val="9"/>
            <color indexed="81"/>
            <rFont val="MS P ゴシック"/>
            <family val="3"/>
            <charset val="128"/>
          </rPr>
          <t xml:space="preserve">
20% 
110</t>
        </r>
      </text>
    </comment>
    <comment ref="F1237" authorId="1" shapeId="0" xr:uid="{7DE75FF3-E944-4047-8D9E-AF75828A0CBA}">
      <text>
        <r>
          <rPr>
            <b/>
            <sz val="9"/>
            <color indexed="81"/>
            <rFont val="MS P ゴシック"/>
            <family val="3"/>
            <charset val="128"/>
          </rPr>
          <t>sunfashion:</t>
        </r>
        <r>
          <rPr>
            <sz val="9"/>
            <color indexed="81"/>
            <rFont val="MS P ゴシック"/>
            <family val="3"/>
            <charset val="128"/>
          </rPr>
          <t xml:space="preserve">
25% 
110</t>
        </r>
      </text>
    </comment>
    <comment ref="F1238" authorId="0" shapeId="0" xr:uid="{F9B35BAC-FBA8-4DB4-9C82-8BF2E230471A}">
      <text>
        <r>
          <rPr>
            <b/>
            <sz val="9"/>
            <color indexed="81"/>
            <rFont val="MS P ゴシック"/>
            <family val="3"/>
            <charset val="128"/>
          </rPr>
          <t>chiba:</t>
        </r>
        <r>
          <rPr>
            <sz val="9"/>
            <color indexed="81"/>
            <rFont val="MS P ゴシック"/>
            <family val="3"/>
            <charset val="128"/>
          </rPr>
          <t xml:space="preserve">
25% 
レート 110 
次回より新単価：</t>
        </r>
        <r>
          <rPr>
            <sz val="9"/>
            <color indexed="81"/>
            <rFont val="ＭＳ Ｐゴシック"/>
            <family val="3"/>
            <charset val="128"/>
          </rPr>
          <t>€</t>
        </r>
        <r>
          <rPr>
            <sz val="9"/>
            <color indexed="81"/>
            <rFont val="MS P ゴシック"/>
            <family val="3"/>
            <charset val="128"/>
          </rPr>
          <t>9.82/m</t>
        </r>
      </text>
    </comment>
    <comment ref="C1243" authorId="1" shapeId="0" xr:uid="{1D21CCCE-1623-46C3-9003-DC4D339DA7A2}">
      <text>
        <r>
          <rPr>
            <b/>
            <sz val="9"/>
            <color indexed="81"/>
            <rFont val="MS P ゴシック"/>
            <family val="3"/>
            <charset val="128"/>
          </rPr>
          <t>sunfashion:</t>
        </r>
        <r>
          <rPr>
            <sz val="9"/>
            <color indexed="81"/>
            <rFont val="MS P ゴシック"/>
            <family val="3"/>
            <charset val="128"/>
          </rPr>
          <t xml:space="preserve">
30% 
110</t>
        </r>
      </text>
    </comment>
    <comment ref="C1244" authorId="1" shapeId="0" xr:uid="{D56B8476-25C9-4F7E-98A4-5356298D3806}">
      <text>
        <r>
          <rPr>
            <b/>
            <sz val="9"/>
            <color indexed="81"/>
            <rFont val="MS P ゴシック"/>
            <family val="3"/>
            <charset val="128"/>
          </rPr>
          <t>sunfashion:</t>
        </r>
        <r>
          <rPr>
            <sz val="9"/>
            <color indexed="81"/>
            <rFont val="MS P ゴシック"/>
            <family val="3"/>
            <charset val="128"/>
          </rPr>
          <t xml:space="preserve">
30% 
110</t>
        </r>
      </text>
    </comment>
    <comment ref="C1245" authorId="1" shapeId="0" xr:uid="{2DE30C77-0B50-403D-B72B-D15A0874D61C}">
      <text>
        <r>
          <rPr>
            <b/>
            <sz val="9"/>
            <color indexed="81"/>
            <rFont val="MS P ゴシック"/>
            <family val="3"/>
            <charset val="128"/>
          </rPr>
          <t>sunfashion:</t>
        </r>
        <r>
          <rPr>
            <sz val="9"/>
            <color indexed="81"/>
            <rFont val="MS P ゴシック"/>
            <family val="3"/>
            <charset val="128"/>
          </rPr>
          <t xml:space="preserve">
30% 
110</t>
        </r>
      </text>
    </comment>
    <comment ref="C1250" authorId="1" shapeId="0" xr:uid="{978B9F17-99FC-476A-A087-D32F13C76F61}">
      <text>
        <r>
          <rPr>
            <b/>
            <sz val="9"/>
            <color indexed="81"/>
            <rFont val="MS P ゴシック"/>
            <family val="3"/>
            <charset val="128"/>
          </rPr>
          <t>sunfashion:</t>
        </r>
        <r>
          <rPr>
            <sz val="9"/>
            <color indexed="81"/>
            <rFont val="MS P ゴシック"/>
            <family val="3"/>
            <charset val="128"/>
          </rPr>
          <t xml:space="preserve">
30% 
110</t>
        </r>
      </text>
    </comment>
    <comment ref="C1251" authorId="1" shapeId="0" xr:uid="{6452279C-2248-4271-A86A-232D0BAD8EAA}">
      <text>
        <r>
          <rPr>
            <b/>
            <sz val="9"/>
            <color indexed="81"/>
            <rFont val="MS P ゴシック"/>
            <family val="3"/>
            <charset val="128"/>
          </rPr>
          <t>sunfashion:</t>
        </r>
        <r>
          <rPr>
            <sz val="9"/>
            <color indexed="81"/>
            <rFont val="MS P ゴシック"/>
            <family val="3"/>
            <charset val="128"/>
          </rPr>
          <t xml:space="preserve">
30% 
110</t>
        </r>
      </text>
    </comment>
    <comment ref="C1252" authorId="1" shapeId="0" xr:uid="{76367CBB-E3FF-4EED-8B9F-AED52017CB4C}">
      <text>
        <r>
          <rPr>
            <b/>
            <sz val="9"/>
            <color indexed="81"/>
            <rFont val="MS P ゴシック"/>
            <family val="3"/>
            <charset val="128"/>
          </rPr>
          <t>sunfashion:</t>
        </r>
        <r>
          <rPr>
            <sz val="9"/>
            <color indexed="81"/>
            <rFont val="MS P ゴシック"/>
            <family val="3"/>
            <charset val="128"/>
          </rPr>
          <t xml:space="preserve">
30% 
110</t>
        </r>
      </text>
    </comment>
    <comment ref="C1253" authorId="1" shapeId="0" xr:uid="{846CED2D-7114-45B2-9163-DE2096CFB542}">
      <text>
        <r>
          <rPr>
            <b/>
            <sz val="9"/>
            <color indexed="81"/>
            <rFont val="MS P ゴシック"/>
            <family val="3"/>
            <charset val="128"/>
          </rPr>
          <t>sunfashion:</t>
        </r>
        <r>
          <rPr>
            <sz val="9"/>
            <color indexed="81"/>
            <rFont val="MS P ゴシック"/>
            <family val="3"/>
            <charset val="128"/>
          </rPr>
          <t xml:space="preserve">
30% 
110</t>
        </r>
      </text>
    </comment>
    <comment ref="C1254" authorId="1" shapeId="0" xr:uid="{05D54594-05DB-4C8B-A97D-C56927DFA422}">
      <text>
        <r>
          <rPr>
            <b/>
            <sz val="9"/>
            <color indexed="81"/>
            <rFont val="MS P ゴシック"/>
            <family val="3"/>
            <charset val="128"/>
          </rPr>
          <t>sunfashion:</t>
        </r>
        <r>
          <rPr>
            <sz val="9"/>
            <color indexed="81"/>
            <rFont val="MS P ゴシック"/>
            <family val="3"/>
            <charset val="128"/>
          </rPr>
          <t xml:space="preserve">
30% 
110</t>
        </r>
      </text>
    </comment>
    <comment ref="C1255" authorId="1" shapeId="0" xr:uid="{9577F8CC-DBF6-43F0-ABD0-1D9F74659296}">
      <text>
        <r>
          <rPr>
            <b/>
            <sz val="9"/>
            <color indexed="81"/>
            <rFont val="MS P ゴシック"/>
            <family val="3"/>
            <charset val="128"/>
          </rPr>
          <t>sunfashion:</t>
        </r>
        <r>
          <rPr>
            <sz val="9"/>
            <color indexed="81"/>
            <rFont val="MS P ゴシック"/>
            <family val="3"/>
            <charset val="128"/>
          </rPr>
          <t xml:space="preserve">
30% 
110</t>
        </r>
      </text>
    </comment>
    <comment ref="E1275" authorId="0" shapeId="0" xr:uid="{935A564F-191B-4CE9-B3AB-9B4A8DF726E8}">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E1276" authorId="0" shapeId="0" xr:uid="{BAC23B67-73EC-447F-B6F4-862FF1E08172}">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E1277" authorId="0" shapeId="0" xr:uid="{7BED02F8-BD8A-49C3-B2A1-B0BDBA41C886}">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E1281" authorId="0" shapeId="0" xr:uid="{B4243D9A-874E-4CA8-8F0A-A09F1C8E76E8}">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E1282" authorId="0" shapeId="0" xr:uid="{3EE366A8-492B-46F6-B5B3-996FF91BCA68}">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E1283" authorId="0" shapeId="0" xr:uid="{1F1842D9-41EA-41E1-ADC6-F2134E614BBF}">
      <text>
        <r>
          <rPr>
            <b/>
            <sz val="9"/>
            <color indexed="81"/>
            <rFont val="ＭＳ Ｐゴシック"/>
            <family val="3"/>
            <charset val="128"/>
          </rPr>
          <t xml:space="preserve"> 30%
</t>
        </r>
        <r>
          <rPr>
            <b/>
            <sz val="9"/>
            <color indexed="81"/>
            <rFont val="ＭＳ Ｐゴシック"/>
            <family val="3"/>
            <charset val="128"/>
          </rPr>
          <t>€</t>
        </r>
        <r>
          <rPr>
            <b/>
            <sz val="9"/>
            <color indexed="81"/>
            <rFont val="ＭＳ Ｐゴシック"/>
            <family val="3"/>
            <charset val="128"/>
          </rPr>
          <t xml:space="preserve"> = ￥110
</t>
        </r>
        <r>
          <rPr>
            <sz val="9"/>
            <color indexed="81"/>
            <rFont val="ＭＳ Ｐゴシック"/>
            <family val="3"/>
            <charset val="128"/>
          </rPr>
          <t xml:space="preserve">
</t>
        </r>
      </text>
    </comment>
    <comment ref="C1287" authorId="1" shapeId="0" xr:uid="{FFD185A7-44FC-4C3A-BD62-A90F4742F75E}">
      <text>
        <r>
          <rPr>
            <b/>
            <sz val="9"/>
            <color indexed="81"/>
            <rFont val="MS P ゴシック"/>
            <family val="3"/>
            <charset val="128"/>
          </rPr>
          <t>sunfashion:</t>
        </r>
        <r>
          <rPr>
            <sz val="9"/>
            <color indexed="81"/>
            <rFont val="MS P ゴシック"/>
            <family val="3"/>
            <charset val="128"/>
          </rPr>
          <t xml:space="preserve">
30% 
110</t>
        </r>
      </text>
    </comment>
    <comment ref="C1288" authorId="1" shapeId="0" xr:uid="{D6E81208-1EC9-478B-85A6-7F0ECE69AB97}">
      <text>
        <r>
          <rPr>
            <b/>
            <sz val="9"/>
            <color indexed="81"/>
            <rFont val="MS P ゴシック"/>
            <family val="3"/>
            <charset val="128"/>
          </rPr>
          <t>sunfashion:</t>
        </r>
        <r>
          <rPr>
            <sz val="9"/>
            <color indexed="81"/>
            <rFont val="MS P ゴシック"/>
            <family val="3"/>
            <charset val="128"/>
          </rPr>
          <t xml:space="preserve">
30% 
110</t>
        </r>
      </text>
    </comment>
    <comment ref="A1293" authorId="0" shapeId="0" xr:uid="{54C53BF9-2D38-45F5-B453-4FC6602DE1E7}">
      <text>
        <r>
          <rPr>
            <b/>
            <sz val="9"/>
            <color indexed="81"/>
            <rFont val="MS P ゴシック"/>
            <family val="3"/>
            <charset val="128"/>
          </rPr>
          <t>chiba:</t>
        </r>
        <r>
          <rPr>
            <sz val="9"/>
            <color indexed="81"/>
            <rFont val="MS P ゴシック"/>
            <family val="3"/>
            <charset val="128"/>
          </rPr>
          <t xml:space="preserve">
KKF9225  D/# 1</t>
        </r>
      </text>
    </comment>
    <comment ref="C1293" authorId="0" shapeId="0" xr:uid="{46D8AB82-21B3-4D70-8E1E-E6B00852415A}">
      <text>
        <r>
          <rPr>
            <b/>
            <sz val="9"/>
            <color indexed="81"/>
            <rFont val="MS P ゴシック"/>
            <family val="3"/>
            <charset val="128"/>
          </rPr>
          <t>chiba:</t>
        </r>
        <r>
          <rPr>
            <sz val="9"/>
            <color indexed="81"/>
            <rFont val="MS P ゴシック"/>
            <family val="3"/>
            <charset val="128"/>
          </rPr>
          <t xml:space="preserve">
20% 
110</t>
        </r>
      </text>
    </comment>
    <comment ref="A1294" authorId="0" shapeId="0" xr:uid="{B64C5638-510A-4646-8032-E4BF38DDACAD}">
      <text>
        <r>
          <rPr>
            <b/>
            <sz val="9"/>
            <color indexed="81"/>
            <rFont val="MS P ゴシック"/>
            <family val="3"/>
            <charset val="128"/>
          </rPr>
          <t>chiba:</t>
        </r>
        <r>
          <rPr>
            <sz val="9"/>
            <color indexed="81"/>
            <rFont val="MS P ゴシック"/>
            <family val="3"/>
            <charset val="128"/>
          </rPr>
          <t xml:space="preserve">
KKF9225  D/# 1</t>
        </r>
      </text>
    </comment>
    <comment ref="C1294" authorId="0" shapeId="0" xr:uid="{81F2DD53-F8F3-4344-8321-B2268C1637BB}">
      <text>
        <r>
          <rPr>
            <b/>
            <sz val="9"/>
            <color indexed="81"/>
            <rFont val="MS P ゴシック"/>
            <family val="3"/>
            <charset val="128"/>
          </rPr>
          <t>chiba:</t>
        </r>
        <r>
          <rPr>
            <sz val="9"/>
            <color indexed="81"/>
            <rFont val="MS P ゴシック"/>
            <family val="3"/>
            <charset val="128"/>
          </rPr>
          <t xml:space="preserve">
20% 
110</t>
        </r>
      </text>
    </comment>
    <comment ref="C1304" authorId="1" shapeId="0" xr:uid="{0359DCD1-521A-49FF-ABCC-34A19B987CE7}">
      <text>
        <r>
          <rPr>
            <b/>
            <sz val="9"/>
            <color indexed="81"/>
            <rFont val="MS P ゴシック"/>
            <family val="3"/>
            <charset val="128"/>
          </rPr>
          <t>sunfashion:</t>
        </r>
        <r>
          <rPr>
            <sz val="9"/>
            <color indexed="81"/>
            <rFont val="MS P ゴシック"/>
            <family val="3"/>
            <charset val="128"/>
          </rPr>
          <t xml:space="preserve">
30% 
110</t>
        </r>
      </text>
    </comment>
    <comment ref="C1305" authorId="1" shapeId="0" xr:uid="{410367E0-93E2-4BD7-97AB-A9CEA1306431}">
      <text>
        <r>
          <rPr>
            <b/>
            <sz val="9"/>
            <color indexed="81"/>
            <rFont val="MS P ゴシック"/>
            <family val="3"/>
            <charset val="128"/>
          </rPr>
          <t>sunfashion:</t>
        </r>
        <r>
          <rPr>
            <sz val="9"/>
            <color indexed="81"/>
            <rFont val="MS P ゴシック"/>
            <family val="3"/>
            <charset val="128"/>
          </rPr>
          <t xml:space="preserve">
30% 
110</t>
        </r>
      </text>
    </comment>
    <comment ref="F1310" authorId="0" shapeId="0" xr:uid="{7076C97B-72FF-4051-A37C-7D8B3E6B9EE7}">
      <text>
        <r>
          <rPr>
            <b/>
            <sz val="9"/>
            <color indexed="81"/>
            <rFont val="MS P ゴシック"/>
            <family val="3"/>
            <charset val="128"/>
          </rPr>
          <t>chiba:</t>
        </r>
        <r>
          <rPr>
            <sz val="9"/>
            <color indexed="81"/>
            <rFont val="MS P ゴシック"/>
            <family val="3"/>
            <charset val="128"/>
          </rPr>
          <t xml:space="preserve">
40% 
110</t>
        </r>
      </text>
    </comment>
    <comment ref="C1314" authorId="1" shapeId="0" xr:uid="{204D6309-5CFE-48CB-A578-B5A889FD8F09}">
      <text>
        <r>
          <rPr>
            <b/>
            <sz val="9"/>
            <color indexed="81"/>
            <rFont val="MS P ゴシック"/>
            <family val="3"/>
            <charset val="128"/>
          </rPr>
          <t>sunfashion:</t>
        </r>
        <r>
          <rPr>
            <sz val="9"/>
            <color indexed="81"/>
            <rFont val="MS P ゴシック"/>
            <family val="3"/>
            <charset val="128"/>
          </rPr>
          <t xml:space="preserve">
30% 
110</t>
        </r>
      </text>
    </comment>
    <comment ref="C1320" authorId="1" shapeId="0" xr:uid="{F22059CC-945A-4D64-8D2E-81D9FFCCF60E}">
      <text>
        <r>
          <rPr>
            <b/>
            <sz val="9"/>
            <color indexed="81"/>
            <rFont val="MS P ゴシック"/>
            <family val="3"/>
            <charset val="128"/>
          </rPr>
          <t>sunfashion:</t>
        </r>
        <r>
          <rPr>
            <sz val="9"/>
            <color indexed="81"/>
            <rFont val="MS P ゴシック"/>
            <family val="3"/>
            <charset val="128"/>
          </rPr>
          <t xml:space="preserve">
30% 
110</t>
        </r>
      </text>
    </comment>
    <comment ref="C1321" authorId="1" shapeId="0" xr:uid="{AA57DB8F-0CC2-4950-8E07-AB769233EFDA}">
      <text>
        <r>
          <rPr>
            <b/>
            <sz val="9"/>
            <color indexed="81"/>
            <rFont val="MS P ゴシック"/>
            <family val="3"/>
            <charset val="128"/>
          </rPr>
          <t>sunfashion:</t>
        </r>
        <r>
          <rPr>
            <sz val="9"/>
            <color indexed="81"/>
            <rFont val="MS P ゴシック"/>
            <family val="3"/>
            <charset val="128"/>
          </rPr>
          <t xml:space="preserve">
30% 
110</t>
        </r>
      </text>
    </comment>
    <comment ref="C1325" authorId="1" shapeId="0" xr:uid="{D10B04DC-0E41-45BF-AC57-83D2E2A7C40A}">
      <text>
        <r>
          <rPr>
            <b/>
            <sz val="9"/>
            <color indexed="81"/>
            <rFont val="MS P ゴシック"/>
            <family val="3"/>
            <charset val="128"/>
          </rPr>
          <t>sunfashion:</t>
        </r>
        <r>
          <rPr>
            <sz val="9"/>
            <color indexed="81"/>
            <rFont val="MS P ゴシック"/>
            <family val="3"/>
            <charset val="128"/>
          </rPr>
          <t xml:space="preserve">
30% 
110</t>
        </r>
      </text>
    </comment>
    <comment ref="C1326" authorId="1" shapeId="0" xr:uid="{6EBFADD9-C91A-4605-9423-FFCC3831A389}">
      <text>
        <r>
          <rPr>
            <b/>
            <sz val="9"/>
            <color indexed="81"/>
            <rFont val="MS P ゴシック"/>
            <family val="3"/>
            <charset val="128"/>
          </rPr>
          <t>sunfashion:</t>
        </r>
        <r>
          <rPr>
            <sz val="9"/>
            <color indexed="81"/>
            <rFont val="MS P ゴシック"/>
            <family val="3"/>
            <charset val="128"/>
          </rPr>
          <t xml:space="preserve">
30% 
110</t>
        </r>
      </text>
    </comment>
    <comment ref="C1330" authorId="1" shapeId="0" xr:uid="{D69D77AB-2620-41CF-93CE-AA4560642A50}">
      <text>
        <r>
          <rPr>
            <b/>
            <sz val="9"/>
            <color indexed="81"/>
            <rFont val="MS P ゴシック"/>
            <family val="3"/>
            <charset val="128"/>
          </rPr>
          <t>sunfashion:</t>
        </r>
        <r>
          <rPr>
            <sz val="9"/>
            <color indexed="81"/>
            <rFont val="MS P ゴシック"/>
            <family val="3"/>
            <charset val="128"/>
          </rPr>
          <t xml:space="preserve">
30% 
110</t>
        </r>
      </text>
    </comment>
    <comment ref="C1331" authorId="1" shapeId="0" xr:uid="{1639B843-225D-4A89-ACB0-883C3CE5CD14}">
      <text>
        <r>
          <rPr>
            <b/>
            <sz val="9"/>
            <color indexed="81"/>
            <rFont val="MS P ゴシック"/>
            <family val="3"/>
            <charset val="128"/>
          </rPr>
          <t>sunfashion:</t>
        </r>
        <r>
          <rPr>
            <sz val="9"/>
            <color indexed="81"/>
            <rFont val="MS P ゴシック"/>
            <family val="3"/>
            <charset val="128"/>
          </rPr>
          <t xml:space="preserve">
30% 
110</t>
        </r>
      </text>
    </comment>
    <comment ref="C1344" authorId="1" shapeId="0" xr:uid="{B1613FA7-4916-4E8F-90C8-C595257B28F7}">
      <text>
        <r>
          <rPr>
            <b/>
            <sz val="9"/>
            <color indexed="81"/>
            <rFont val="MS P ゴシック"/>
            <family val="3"/>
            <charset val="128"/>
          </rPr>
          <t>sunfashion:</t>
        </r>
        <r>
          <rPr>
            <sz val="9"/>
            <color indexed="81"/>
            <rFont val="MS P ゴシック"/>
            <family val="3"/>
            <charset val="128"/>
          </rPr>
          <t xml:space="preserve">
30% 
110</t>
        </r>
      </text>
    </comment>
    <comment ref="E1350" authorId="0" shapeId="0" xr:uid="{F5865C04-94A8-429A-98BE-6333D0E4CB16}">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E1351" authorId="0" shapeId="0" xr:uid="{D900BFF6-8E21-4680-A7ED-76C93AF3CF42}">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F1356" authorId="0" shapeId="0" xr:uid="{E360E77E-7CAF-4A87-9353-D486B1C5DE66}">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F1358" authorId="1" shapeId="0" xr:uid="{AB99631E-D40B-4A2E-9022-C971B0ACB31D}">
      <text>
        <r>
          <rPr>
            <b/>
            <sz val="9"/>
            <color indexed="81"/>
            <rFont val="MS P ゴシック"/>
            <family val="3"/>
            <charset val="128"/>
          </rPr>
          <t>sunfashion:</t>
        </r>
        <r>
          <rPr>
            <sz val="9"/>
            <color indexed="81"/>
            <rFont val="MS P ゴシック"/>
            <family val="3"/>
            <charset val="128"/>
          </rPr>
          <t xml:space="preserve">
25% 
110</t>
        </r>
      </text>
    </comment>
    <comment ref="E1383" authorId="1" shapeId="0" xr:uid="{94E096A8-BB39-4D6A-ADC7-516E763BEC0D}">
      <text>
        <r>
          <rPr>
            <b/>
            <sz val="9"/>
            <color indexed="81"/>
            <rFont val="MS P ゴシック"/>
            <family val="3"/>
            <charset val="128"/>
          </rPr>
          <t>sunfashion:</t>
        </r>
        <r>
          <rPr>
            <sz val="9"/>
            <color indexed="81"/>
            <rFont val="MS P ゴシック"/>
            <family val="3"/>
            <charset val="128"/>
          </rPr>
          <t xml:space="preserve">
40% 
レート110</t>
        </r>
      </text>
    </comment>
    <comment ref="E1384" authorId="1" shapeId="0" xr:uid="{D9AAF341-8597-460A-84A5-EB3C59EDA2BB}">
      <text>
        <r>
          <rPr>
            <b/>
            <sz val="9"/>
            <color indexed="81"/>
            <rFont val="MS P ゴシック"/>
            <family val="3"/>
            <charset val="128"/>
          </rPr>
          <t>sunfashion:</t>
        </r>
        <r>
          <rPr>
            <sz val="9"/>
            <color indexed="81"/>
            <rFont val="MS P ゴシック"/>
            <family val="3"/>
            <charset val="128"/>
          </rPr>
          <t xml:space="preserve">
40% 
レート110</t>
        </r>
      </text>
    </comment>
    <comment ref="D1414" authorId="1" shapeId="0" xr:uid="{B84381BC-AEBD-43B8-AFB1-66D149C45AC8}">
      <text>
        <r>
          <rPr>
            <b/>
            <sz val="9"/>
            <color indexed="81"/>
            <rFont val="MS P ゴシック"/>
            <family val="3"/>
            <charset val="128"/>
          </rPr>
          <t>sunfashion:</t>
        </r>
        <r>
          <rPr>
            <sz val="9"/>
            <color indexed="81"/>
            <rFont val="MS P ゴシック"/>
            <family val="3"/>
            <charset val="128"/>
          </rPr>
          <t xml:space="preserve">
30% 
110</t>
        </r>
      </text>
    </comment>
    <comment ref="E1428" authorId="0" shapeId="0" xr:uid="{F1DC0679-AF25-4EFB-A69B-8A318F2E6D69}">
      <text>
        <r>
          <rPr>
            <b/>
            <sz val="9"/>
            <color indexed="81"/>
            <rFont val="MS P ゴシック"/>
            <family val="3"/>
            <charset val="128"/>
          </rPr>
          <t>chiba:</t>
        </r>
        <r>
          <rPr>
            <sz val="9"/>
            <color indexed="81"/>
            <rFont val="MS P ゴシック"/>
            <family val="3"/>
            <charset val="128"/>
          </rPr>
          <t xml:space="preserve">
20% 
110</t>
        </r>
      </text>
    </comment>
    <comment ref="C1432" authorId="1" shapeId="0" xr:uid="{B0098F68-47B3-41AE-A3EE-47D8FA90F45E}">
      <text>
        <r>
          <rPr>
            <b/>
            <sz val="9"/>
            <color indexed="81"/>
            <rFont val="MS P ゴシック"/>
            <family val="3"/>
            <charset val="128"/>
          </rPr>
          <t>sunfashion:</t>
        </r>
        <r>
          <rPr>
            <sz val="9"/>
            <color indexed="81"/>
            <rFont val="MS P ゴシック"/>
            <family val="3"/>
            <charset val="128"/>
          </rPr>
          <t xml:space="preserve">
30% 
110</t>
        </r>
      </text>
    </comment>
    <comment ref="C1433" authorId="1" shapeId="0" xr:uid="{FFE28BA5-7543-47BA-A480-D26C588DA8C9}">
      <text>
        <r>
          <rPr>
            <b/>
            <sz val="9"/>
            <color indexed="81"/>
            <rFont val="MS P ゴシック"/>
            <family val="3"/>
            <charset val="128"/>
          </rPr>
          <t>sunfashion:</t>
        </r>
        <r>
          <rPr>
            <sz val="9"/>
            <color indexed="81"/>
            <rFont val="MS P ゴシック"/>
            <family val="3"/>
            <charset val="128"/>
          </rPr>
          <t xml:space="preserve">
30% 
110</t>
        </r>
      </text>
    </comment>
    <comment ref="C1434" authorId="1" shapeId="0" xr:uid="{5CC61913-CC85-48C0-888C-26E68D6FD71E}">
      <text>
        <r>
          <rPr>
            <b/>
            <sz val="9"/>
            <color indexed="81"/>
            <rFont val="MS P ゴシック"/>
            <family val="3"/>
            <charset val="128"/>
          </rPr>
          <t>sunfashion:</t>
        </r>
        <r>
          <rPr>
            <sz val="9"/>
            <color indexed="81"/>
            <rFont val="MS P ゴシック"/>
            <family val="3"/>
            <charset val="128"/>
          </rPr>
          <t xml:space="preserve">
30% 
110</t>
        </r>
      </text>
    </comment>
    <comment ref="C1435" authorId="1" shapeId="0" xr:uid="{6358F30D-98BF-443D-9810-3325ADF26211}">
      <text>
        <r>
          <rPr>
            <b/>
            <sz val="9"/>
            <color indexed="81"/>
            <rFont val="MS P ゴシック"/>
            <family val="3"/>
            <charset val="128"/>
          </rPr>
          <t>sunfashion:</t>
        </r>
        <r>
          <rPr>
            <sz val="9"/>
            <color indexed="81"/>
            <rFont val="MS P ゴシック"/>
            <family val="3"/>
            <charset val="128"/>
          </rPr>
          <t xml:space="preserve">
30% 
110</t>
        </r>
      </text>
    </comment>
    <comment ref="C1437" authorId="1" shapeId="0" xr:uid="{87FE771E-7624-48D4-BD52-370EDB671ADB}">
      <text>
        <r>
          <rPr>
            <b/>
            <sz val="9"/>
            <color indexed="81"/>
            <rFont val="MS P ゴシック"/>
            <family val="3"/>
            <charset val="128"/>
          </rPr>
          <t>sunfashion:</t>
        </r>
        <r>
          <rPr>
            <sz val="9"/>
            <color indexed="81"/>
            <rFont val="MS P ゴシック"/>
            <family val="3"/>
            <charset val="128"/>
          </rPr>
          <t xml:space="preserve">
30% 
110</t>
        </r>
      </text>
    </comment>
    <comment ref="C1438" authorId="1" shapeId="0" xr:uid="{FC415DAD-C375-446F-B582-F03D70E69FAB}">
      <text>
        <r>
          <rPr>
            <b/>
            <sz val="9"/>
            <color indexed="81"/>
            <rFont val="MS P ゴシック"/>
            <family val="3"/>
            <charset val="128"/>
          </rPr>
          <t>sunfashion:</t>
        </r>
        <r>
          <rPr>
            <sz val="9"/>
            <color indexed="81"/>
            <rFont val="MS P ゴシック"/>
            <family val="3"/>
            <charset val="128"/>
          </rPr>
          <t xml:space="preserve">
30% 
110</t>
        </r>
      </text>
    </comment>
    <comment ref="C1442" authorId="0" shapeId="0" xr:uid="{331D47BE-3D1C-4DF4-A543-F29543733401}">
      <text>
        <r>
          <rPr>
            <b/>
            <sz val="9"/>
            <color indexed="81"/>
            <rFont val="ＭＳ Ｐゴシック"/>
            <family val="3"/>
            <charset val="128"/>
          </rPr>
          <t>chiba:</t>
        </r>
        <r>
          <rPr>
            <sz val="9"/>
            <color indexed="81"/>
            <rFont val="ＭＳ Ｐゴシック"/>
            <family val="3"/>
            <charset val="128"/>
          </rPr>
          <t xml:space="preserve">
オフ白単価
</t>
        </r>
      </text>
    </comment>
    <comment ref="D1442" authorId="0" shapeId="0" xr:uid="{B0A22329-933A-41FB-90AB-88C2BD37339C}">
      <text>
        <r>
          <rPr>
            <b/>
            <sz val="9"/>
            <color indexed="81"/>
            <rFont val="ＭＳ Ｐゴシック"/>
            <family val="3"/>
            <charset val="128"/>
          </rPr>
          <t>chiba:</t>
        </r>
        <r>
          <rPr>
            <sz val="9"/>
            <color indexed="81"/>
            <rFont val="ＭＳ Ｐゴシック"/>
            <family val="3"/>
            <charset val="128"/>
          </rPr>
          <t xml:space="preserve">
染色単価
</t>
        </r>
      </text>
    </comment>
    <comment ref="C1443" authorId="0" shapeId="0" xr:uid="{ED81CD5E-6E6E-4E4F-9ABB-DA75B34646A0}">
      <text>
        <r>
          <rPr>
            <b/>
            <sz val="9"/>
            <color indexed="81"/>
            <rFont val="ＭＳ Ｐゴシック"/>
            <family val="3"/>
            <charset val="128"/>
          </rPr>
          <t>chiba:</t>
        </r>
        <r>
          <rPr>
            <sz val="9"/>
            <color indexed="81"/>
            <rFont val="ＭＳ Ｐゴシック"/>
            <family val="3"/>
            <charset val="128"/>
          </rPr>
          <t xml:space="preserve">
オフ白単価
</t>
        </r>
      </text>
    </comment>
    <comment ref="D1443" authorId="0" shapeId="0" xr:uid="{16DFF1DA-6B50-42AC-87B4-6CF4AB2FE04F}">
      <text>
        <r>
          <rPr>
            <b/>
            <sz val="9"/>
            <color indexed="81"/>
            <rFont val="ＭＳ Ｐゴシック"/>
            <family val="3"/>
            <charset val="128"/>
          </rPr>
          <t>chiba:</t>
        </r>
        <r>
          <rPr>
            <sz val="9"/>
            <color indexed="81"/>
            <rFont val="ＭＳ Ｐゴシック"/>
            <family val="3"/>
            <charset val="128"/>
          </rPr>
          <t xml:space="preserve">
オフ白単価
</t>
        </r>
      </text>
    </comment>
    <comment ref="C1462" authorId="0" shapeId="0" xr:uid="{C1F047A2-7FC6-44F7-915B-0E0026EDC4C6}">
      <text>
        <r>
          <rPr>
            <b/>
            <sz val="9"/>
            <color indexed="81"/>
            <rFont val="ＭＳ Ｐゴシック"/>
            <family val="3"/>
            <charset val="128"/>
          </rPr>
          <t>chiba:</t>
        </r>
        <r>
          <rPr>
            <sz val="9"/>
            <color indexed="81"/>
            <rFont val="ＭＳ Ｐゴシック"/>
            <family val="3"/>
            <charset val="128"/>
          </rPr>
          <t xml:space="preserve">
オフ白単価
</t>
        </r>
      </text>
    </comment>
    <comment ref="D1462" authorId="0" shapeId="0" xr:uid="{6B8037BF-A29D-4D56-A92E-D78E939ACF75}">
      <text>
        <r>
          <rPr>
            <b/>
            <sz val="9"/>
            <color indexed="81"/>
            <rFont val="ＭＳ Ｐゴシック"/>
            <family val="3"/>
            <charset val="128"/>
          </rPr>
          <t>chiba:</t>
        </r>
        <r>
          <rPr>
            <sz val="9"/>
            <color indexed="81"/>
            <rFont val="ＭＳ Ｐゴシック"/>
            <family val="3"/>
            <charset val="128"/>
          </rPr>
          <t xml:space="preserve">
染色単価
</t>
        </r>
      </text>
    </comment>
    <comment ref="D1475" authorId="0" shapeId="0" xr:uid="{691AF769-C84D-424B-B9CD-5A7DC7F00AC5}">
      <text>
        <r>
          <rPr>
            <b/>
            <sz val="9"/>
            <color indexed="81"/>
            <rFont val="ＭＳ Ｐゴシック"/>
            <family val="3"/>
            <charset val="128"/>
          </rPr>
          <t>chiba:</t>
        </r>
        <r>
          <rPr>
            <sz val="9"/>
            <color indexed="81"/>
            <rFont val="ＭＳ Ｐゴシック"/>
            <family val="3"/>
            <charset val="128"/>
          </rPr>
          <t xml:space="preserve">
オフ白単価
20%
110
</t>
        </r>
      </text>
    </comment>
    <comment ref="D1476" authorId="0" shapeId="0" xr:uid="{D76C6420-E9C6-4342-9221-A64AF2D3A507}">
      <text>
        <r>
          <rPr>
            <b/>
            <sz val="9"/>
            <color indexed="81"/>
            <rFont val="ＭＳ Ｐゴシック"/>
            <family val="3"/>
            <charset val="128"/>
          </rPr>
          <t>chiba:</t>
        </r>
        <r>
          <rPr>
            <sz val="9"/>
            <color indexed="81"/>
            <rFont val="ＭＳ Ｐゴシック"/>
            <family val="3"/>
            <charset val="128"/>
          </rPr>
          <t xml:space="preserve">
オフ白単価
30%
110
</t>
        </r>
      </text>
    </comment>
    <comment ref="D1477" authorId="0" shapeId="0" xr:uid="{51D379D6-3DA6-4A8D-84C0-8AD5AF649F19}">
      <text>
        <r>
          <rPr>
            <b/>
            <sz val="9"/>
            <color indexed="81"/>
            <rFont val="ＭＳ Ｐゴシック"/>
            <family val="3"/>
            <charset val="128"/>
          </rPr>
          <t>chiba:</t>
        </r>
        <r>
          <rPr>
            <sz val="9"/>
            <color indexed="81"/>
            <rFont val="ＭＳ Ｐゴシック"/>
            <family val="3"/>
            <charset val="128"/>
          </rPr>
          <t xml:space="preserve">
オフ白単価
30%
110
</t>
        </r>
      </text>
    </comment>
    <comment ref="D1478" authorId="0" shapeId="0" xr:uid="{70A1F6D8-E45A-43EB-8986-5EA8A6237776}">
      <text>
        <r>
          <rPr>
            <b/>
            <sz val="9"/>
            <color indexed="81"/>
            <rFont val="ＭＳ Ｐゴシック"/>
            <family val="3"/>
            <charset val="128"/>
          </rPr>
          <t>chiba:</t>
        </r>
        <r>
          <rPr>
            <sz val="9"/>
            <color indexed="81"/>
            <rFont val="ＭＳ Ｐゴシック"/>
            <family val="3"/>
            <charset val="128"/>
          </rPr>
          <t xml:space="preserve">
オフ白単価
30%
110
</t>
        </r>
      </text>
    </comment>
    <comment ref="D1479" authorId="0" shapeId="0" xr:uid="{335EF345-BF38-489B-B233-73E1ECCE0036}">
      <text>
        <r>
          <rPr>
            <b/>
            <sz val="9"/>
            <color indexed="81"/>
            <rFont val="ＭＳ Ｐゴシック"/>
            <family val="3"/>
            <charset val="128"/>
          </rPr>
          <t>chiba:</t>
        </r>
        <r>
          <rPr>
            <sz val="9"/>
            <color indexed="81"/>
            <rFont val="ＭＳ Ｐゴシック"/>
            <family val="3"/>
            <charset val="128"/>
          </rPr>
          <t xml:space="preserve">
オフ白単価
30%
110
</t>
        </r>
      </text>
    </comment>
    <comment ref="D1480" authorId="0" shapeId="0" xr:uid="{F0465A9D-2B58-4950-BA61-7E71CBD04CD0}">
      <text>
        <r>
          <rPr>
            <b/>
            <sz val="9"/>
            <color indexed="81"/>
            <rFont val="ＭＳ Ｐゴシック"/>
            <family val="3"/>
            <charset val="128"/>
          </rPr>
          <t>chiba:</t>
        </r>
        <r>
          <rPr>
            <sz val="9"/>
            <color indexed="81"/>
            <rFont val="ＭＳ Ｐゴシック"/>
            <family val="3"/>
            <charset val="128"/>
          </rPr>
          <t xml:space="preserve">
オフ白単価
30%
110
</t>
        </r>
      </text>
    </comment>
    <comment ref="D1481" authorId="0" shapeId="0" xr:uid="{7A12DA01-6DB8-4DA8-9E95-8FD8C37BB77A}">
      <text>
        <r>
          <rPr>
            <b/>
            <sz val="9"/>
            <color indexed="81"/>
            <rFont val="ＭＳ Ｐゴシック"/>
            <family val="3"/>
            <charset val="128"/>
          </rPr>
          <t>chiba:</t>
        </r>
        <r>
          <rPr>
            <sz val="9"/>
            <color indexed="81"/>
            <rFont val="ＭＳ Ｐゴシック"/>
            <family val="3"/>
            <charset val="128"/>
          </rPr>
          <t xml:space="preserve">
オフ白単価
30%
110
</t>
        </r>
      </text>
    </comment>
    <comment ref="D1482" authorId="0" shapeId="0" xr:uid="{D46D22FF-92A8-4D4A-B355-BFCD529773EA}">
      <text>
        <r>
          <rPr>
            <b/>
            <sz val="9"/>
            <color indexed="81"/>
            <rFont val="ＭＳ Ｐゴシック"/>
            <family val="3"/>
            <charset val="128"/>
          </rPr>
          <t>chiba:</t>
        </r>
        <r>
          <rPr>
            <sz val="9"/>
            <color indexed="81"/>
            <rFont val="ＭＳ Ｐゴシック"/>
            <family val="3"/>
            <charset val="128"/>
          </rPr>
          <t xml:space="preserve">
オフ白単価
30%
110
</t>
        </r>
      </text>
    </comment>
    <comment ref="D1483" authorId="0" shapeId="0" xr:uid="{C270910D-743A-4979-9D0C-8DCBBCC38E21}">
      <text>
        <r>
          <rPr>
            <b/>
            <sz val="9"/>
            <color indexed="81"/>
            <rFont val="ＭＳ Ｐゴシック"/>
            <family val="3"/>
            <charset val="128"/>
          </rPr>
          <t>chiba:</t>
        </r>
        <r>
          <rPr>
            <sz val="9"/>
            <color indexed="81"/>
            <rFont val="ＭＳ Ｐゴシック"/>
            <family val="3"/>
            <charset val="128"/>
          </rPr>
          <t xml:space="preserve">
オフ白単価
30%
110
</t>
        </r>
      </text>
    </comment>
    <comment ref="D1484" authorId="0" shapeId="0" xr:uid="{D38115AE-7450-400E-809A-807BD4B42B1A}">
      <text>
        <r>
          <rPr>
            <b/>
            <sz val="9"/>
            <color indexed="81"/>
            <rFont val="ＭＳ Ｐゴシック"/>
            <family val="3"/>
            <charset val="128"/>
          </rPr>
          <t>chiba:</t>
        </r>
        <r>
          <rPr>
            <sz val="9"/>
            <color indexed="81"/>
            <rFont val="ＭＳ Ｐゴシック"/>
            <family val="3"/>
            <charset val="128"/>
          </rPr>
          <t xml:space="preserve">
オフ白単価
30%
110
</t>
        </r>
      </text>
    </comment>
    <comment ref="D1485" authorId="0" shapeId="0" xr:uid="{C9D52BBE-02C6-467E-A4F8-7EFBA2BA849D}">
      <text>
        <r>
          <rPr>
            <b/>
            <sz val="9"/>
            <color indexed="81"/>
            <rFont val="ＭＳ Ｐゴシック"/>
            <family val="3"/>
            <charset val="128"/>
          </rPr>
          <t>chiba:</t>
        </r>
        <r>
          <rPr>
            <sz val="9"/>
            <color indexed="81"/>
            <rFont val="ＭＳ Ｐゴシック"/>
            <family val="3"/>
            <charset val="128"/>
          </rPr>
          <t xml:space="preserve">
オフ白単価
30%
110
</t>
        </r>
      </text>
    </comment>
    <comment ref="D1486" authorId="0" shapeId="0" xr:uid="{D7A96E2C-59FE-4399-ACC3-61A142BD9975}">
      <text>
        <r>
          <rPr>
            <b/>
            <sz val="9"/>
            <color indexed="81"/>
            <rFont val="ＭＳ Ｐゴシック"/>
            <family val="3"/>
            <charset val="128"/>
          </rPr>
          <t>chiba:</t>
        </r>
        <r>
          <rPr>
            <sz val="9"/>
            <color indexed="81"/>
            <rFont val="ＭＳ Ｐゴシック"/>
            <family val="3"/>
            <charset val="128"/>
          </rPr>
          <t xml:space="preserve">
オフ白単価
30%
110
</t>
        </r>
      </text>
    </comment>
    <comment ref="C1502" authorId="0" shapeId="0" xr:uid="{1B52F1AD-7C37-4A40-93AB-5AC6B0B80B58}">
      <text>
        <r>
          <rPr>
            <b/>
            <sz val="9"/>
            <color indexed="81"/>
            <rFont val="ＭＳ Ｐゴシック"/>
            <family val="3"/>
            <charset val="128"/>
          </rPr>
          <t>chiba:</t>
        </r>
        <r>
          <rPr>
            <sz val="9"/>
            <color indexed="81"/>
            <rFont val="ＭＳ Ｐゴシック"/>
            <family val="3"/>
            <charset val="128"/>
          </rPr>
          <t xml:space="preserve">
オフ白単価
20%
110
</t>
        </r>
      </text>
    </comment>
    <comment ref="E1507" authorId="1" shapeId="0" xr:uid="{4FD4C307-A867-4DE9-BDDD-C763F62CB736}">
      <text>
        <r>
          <rPr>
            <b/>
            <sz val="9"/>
            <color indexed="81"/>
            <rFont val="MS P ゴシック"/>
            <family val="3"/>
            <charset val="128"/>
          </rPr>
          <t>sunfashion:</t>
        </r>
        <r>
          <rPr>
            <sz val="9"/>
            <color indexed="81"/>
            <rFont val="MS P ゴシック"/>
            <family val="3"/>
            <charset val="128"/>
          </rPr>
          <t xml:space="preserve">
40% 
レート110</t>
        </r>
      </text>
    </comment>
    <comment ref="E1508" authorId="1" shapeId="0" xr:uid="{A79D9741-2B53-4995-9A98-2CBC8D8F40F7}">
      <text>
        <r>
          <rPr>
            <b/>
            <sz val="9"/>
            <color indexed="81"/>
            <rFont val="MS P ゴシック"/>
            <family val="3"/>
            <charset val="128"/>
          </rPr>
          <t>sunfashion:</t>
        </r>
        <r>
          <rPr>
            <sz val="9"/>
            <color indexed="81"/>
            <rFont val="MS P ゴシック"/>
            <family val="3"/>
            <charset val="128"/>
          </rPr>
          <t xml:space="preserve">
40% 
レート110</t>
        </r>
      </text>
    </comment>
    <comment ref="D1513" authorId="0" shapeId="0" xr:uid="{AFBD90CF-27B5-4A19-9B3D-7FB47F2BC1D7}">
      <text>
        <r>
          <rPr>
            <b/>
            <sz val="9"/>
            <color indexed="81"/>
            <rFont val="ＭＳ Ｐゴシック"/>
            <family val="3"/>
            <charset val="128"/>
          </rPr>
          <t>chiba:</t>
        </r>
        <r>
          <rPr>
            <sz val="9"/>
            <color indexed="81"/>
            <rFont val="ＭＳ Ｐゴシック"/>
            <family val="3"/>
            <charset val="128"/>
          </rPr>
          <t xml:space="preserve">
オフ白単価
20%
110
</t>
        </r>
      </text>
    </comment>
    <comment ref="D1514" authorId="0" shapeId="0" xr:uid="{83A872FC-5CC7-4339-AD15-6709D710588B}">
      <text>
        <r>
          <rPr>
            <b/>
            <sz val="9"/>
            <color indexed="81"/>
            <rFont val="ＭＳ Ｐゴシック"/>
            <family val="3"/>
            <charset val="128"/>
          </rPr>
          <t>chiba:</t>
        </r>
        <r>
          <rPr>
            <sz val="9"/>
            <color indexed="81"/>
            <rFont val="ＭＳ Ｐゴシック"/>
            <family val="3"/>
            <charset val="128"/>
          </rPr>
          <t xml:space="preserve">
オフ白単価
20%
110
</t>
        </r>
      </text>
    </comment>
    <comment ref="D1515" authorId="0" shapeId="0" xr:uid="{669F8382-C08E-4B43-9111-BA23433E83C0}">
      <text>
        <r>
          <rPr>
            <b/>
            <sz val="9"/>
            <color indexed="81"/>
            <rFont val="ＭＳ Ｐゴシック"/>
            <family val="3"/>
            <charset val="128"/>
          </rPr>
          <t>chiba:</t>
        </r>
        <r>
          <rPr>
            <sz val="9"/>
            <color indexed="81"/>
            <rFont val="ＭＳ Ｐゴシック"/>
            <family val="3"/>
            <charset val="128"/>
          </rPr>
          <t xml:space="preserve">
オフ白単価
20%
110
</t>
        </r>
      </text>
    </comment>
    <comment ref="D1516" authorId="0" shapeId="0" xr:uid="{74A42D6F-F136-409C-9461-D383247C4A1E}">
      <text>
        <r>
          <rPr>
            <b/>
            <sz val="9"/>
            <color indexed="81"/>
            <rFont val="ＭＳ Ｐゴシック"/>
            <family val="3"/>
            <charset val="128"/>
          </rPr>
          <t>chiba:</t>
        </r>
        <r>
          <rPr>
            <sz val="9"/>
            <color indexed="81"/>
            <rFont val="ＭＳ Ｐゴシック"/>
            <family val="3"/>
            <charset val="128"/>
          </rPr>
          <t xml:space="preserve">
オフ白単価
20%
110
</t>
        </r>
      </text>
    </comment>
    <comment ref="D1517" authorId="0" shapeId="0" xr:uid="{8E433C43-E25A-44B8-AC99-6B7122323983}">
      <text>
        <r>
          <rPr>
            <b/>
            <sz val="9"/>
            <color indexed="81"/>
            <rFont val="ＭＳ Ｐゴシック"/>
            <family val="3"/>
            <charset val="128"/>
          </rPr>
          <t>chiba:</t>
        </r>
        <r>
          <rPr>
            <sz val="9"/>
            <color indexed="81"/>
            <rFont val="ＭＳ Ｐゴシック"/>
            <family val="3"/>
            <charset val="128"/>
          </rPr>
          <t xml:space="preserve">
オフ白単価
20%
110
</t>
        </r>
      </text>
    </comment>
    <comment ref="D1518" authorId="0" shapeId="0" xr:uid="{0D7B92E6-B834-4DC6-B6D8-C136F39BC04C}">
      <text>
        <r>
          <rPr>
            <b/>
            <sz val="9"/>
            <color indexed="81"/>
            <rFont val="ＭＳ Ｐゴシック"/>
            <family val="3"/>
            <charset val="128"/>
          </rPr>
          <t>chiba:</t>
        </r>
        <r>
          <rPr>
            <sz val="9"/>
            <color indexed="81"/>
            <rFont val="ＭＳ Ｐゴシック"/>
            <family val="3"/>
            <charset val="128"/>
          </rPr>
          <t xml:space="preserve">
オフ白単価
20%
110
</t>
        </r>
      </text>
    </comment>
    <comment ref="D1519" authorId="0" shapeId="0" xr:uid="{06BAC78F-30AC-473D-8301-60479F593953}">
      <text>
        <r>
          <rPr>
            <b/>
            <sz val="9"/>
            <color indexed="81"/>
            <rFont val="ＭＳ Ｐゴシック"/>
            <family val="3"/>
            <charset val="128"/>
          </rPr>
          <t>chiba:</t>
        </r>
        <r>
          <rPr>
            <sz val="9"/>
            <color indexed="81"/>
            <rFont val="ＭＳ Ｐゴシック"/>
            <family val="3"/>
            <charset val="128"/>
          </rPr>
          <t xml:space="preserve">
オフ白単価
20%
110
</t>
        </r>
      </text>
    </comment>
    <comment ref="E1565" authorId="1" shapeId="0" xr:uid="{700DA2B8-D548-44BB-940C-5DB2CCDB4822}">
      <text>
        <r>
          <rPr>
            <b/>
            <sz val="9"/>
            <color indexed="81"/>
            <rFont val="MS P ゴシック"/>
            <family val="3"/>
            <charset val="128"/>
          </rPr>
          <t>sunfashion:</t>
        </r>
        <r>
          <rPr>
            <sz val="9"/>
            <color indexed="81"/>
            <rFont val="MS P ゴシック"/>
            <family val="3"/>
            <charset val="128"/>
          </rPr>
          <t xml:space="preserve">
40% 
レート110</t>
        </r>
      </text>
    </comment>
    <comment ref="E1566" authorId="1" shapeId="0" xr:uid="{9D721727-06D6-4CE1-AC75-BF4449CEAB27}">
      <text>
        <r>
          <rPr>
            <b/>
            <sz val="9"/>
            <color indexed="81"/>
            <rFont val="MS P ゴシック"/>
            <family val="3"/>
            <charset val="128"/>
          </rPr>
          <t>sunfashion:</t>
        </r>
        <r>
          <rPr>
            <sz val="9"/>
            <color indexed="81"/>
            <rFont val="MS P ゴシック"/>
            <family val="3"/>
            <charset val="128"/>
          </rPr>
          <t xml:space="preserve">
40% 
レート110</t>
        </r>
      </text>
    </comment>
    <comment ref="C1583" authorId="1" shapeId="0" xr:uid="{2690D8FE-B0EC-4817-B608-1903D5CD54EF}">
      <text>
        <r>
          <rPr>
            <b/>
            <sz val="9"/>
            <color indexed="81"/>
            <rFont val="MS P ゴシック"/>
            <family val="3"/>
            <charset val="128"/>
          </rPr>
          <t>sunfashion:</t>
        </r>
        <r>
          <rPr>
            <sz val="9"/>
            <color indexed="81"/>
            <rFont val="MS P ゴシック"/>
            <family val="3"/>
            <charset val="128"/>
          </rPr>
          <t xml:space="preserve">
30%
110
</t>
        </r>
      </text>
    </comment>
    <comment ref="C1589" authorId="1" shapeId="0" xr:uid="{CDE38E25-B70E-4F7E-9D37-5FDB5CEE64C3}">
      <text>
        <r>
          <rPr>
            <b/>
            <sz val="9"/>
            <color indexed="81"/>
            <rFont val="MS P ゴシック"/>
            <family val="3"/>
            <charset val="128"/>
          </rPr>
          <t>sunfashion:</t>
        </r>
        <r>
          <rPr>
            <sz val="9"/>
            <color indexed="81"/>
            <rFont val="MS P ゴシック"/>
            <family val="3"/>
            <charset val="128"/>
          </rPr>
          <t xml:space="preserve">
20%
110</t>
        </r>
      </text>
    </comment>
    <comment ref="A1602" authorId="0" shapeId="0" xr:uid="{AD2E8670-903B-41CF-8198-B23576CF928A}">
      <text>
        <r>
          <rPr>
            <b/>
            <sz val="9"/>
            <color indexed="81"/>
            <rFont val="MS P ゴシック"/>
            <family val="3"/>
            <charset val="128"/>
          </rPr>
          <t>chiba:</t>
        </r>
        <r>
          <rPr>
            <sz val="9"/>
            <color indexed="81"/>
            <rFont val="MS P ゴシック"/>
            <family val="3"/>
            <charset val="128"/>
          </rPr>
          <t xml:space="preserve">
INV# 3209 使用</t>
        </r>
      </text>
    </comment>
    <comment ref="C1602" authorId="1" shapeId="0" xr:uid="{02DF8916-E11C-48ED-9FE3-BA2E4ABEBD75}">
      <text>
        <r>
          <rPr>
            <b/>
            <sz val="9"/>
            <color indexed="81"/>
            <rFont val="MS P ゴシック"/>
            <family val="3"/>
            <charset val="128"/>
          </rPr>
          <t>sunfashion:</t>
        </r>
        <r>
          <rPr>
            <sz val="9"/>
            <color indexed="81"/>
            <rFont val="MS P ゴシック"/>
            <family val="3"/>
            <charset val="128"/>
          </rPr>
          <t xml:space="preserve">
30%
110
</t>
        </r>
      </text>
    </comment>
    <comment ref="D1606" authorId="1" shapeId="0" xr:uid="{1B76C917-8523-4073-B755-892806B3919F}">
      <text>
        <r>
          <rPr>
            <b/>
            <sz val="9"/>
            <color indexed="81"/>
            <rFont val="MS P ゴシック"/>
            <family val="3"/>
            <charset val="128"/>
          </rPr>
          <t>sunfashion:</t>
        </r>
        <r>
          <rPr>
            <sz val="9"/>
            <color indexed="81"/>
            <rFont val="MS P ゴシック"/>
            <family val="3"/>
            <charset val="128"/>
          </rPr>
          <t xml:space="preserve">
40% 
レート110</t>
        </r>
      </text>
    </comment>
    <comment ref="D1607" authorId="1" shapeId="0" xr:uid="{E0020BAB-556A-4B00-94EE-DDB936FF8188}">
      <text>
        <r>
          <rPr>
            <b/>
            <sz val="9"/>
            <color indexed="81"/>
            <rFont val="MS P ゴシック"/>
            <family val="3"/>
            <charset val="128"/>
          </rPr>
          <t>sunfashion:</t>
        </r>
        <r>
          <rPr>
            <sz val="9"/>
            <color indexed="81"/>
            <rFont val="MS P ゴシック"/>
            <family val="3"/>
            <charset val="128"/>
          </rPr>
          <t xml:space="preserve">
40% 
レート110</t>
        </r>
      </text>
    </comment>
    <comment ref="D1608" authorId="1" shapeId="0" xr:uid="{3EFB3C40-BD0D-41A3-9732-45C63078D209}">
      <text>
        <r>
          <rPr>
            <b/>
            <sz val="9"/>
            <color indexed="81"/>
            <rFont val="MS P ゴシック"/>
            <family val="3"/>
            <charset val="128"/>
          </rPr>
          <t>sunfashion:</t>
        </r>
        <r>
          <rPr>
            <sz val="9"/>
            <color indexed="81"/>
            <rFont val="MS P ゴシック"/>
            <family val="3"/>
            <charset val="128"/>
          </rPr>
          <t xml:space="preserve">
40% 
レート110</t>
        </r>
      </text>
    </comment>
    <comment ref="D1609" authorId="1" shapeId="0" xr:uid="{64F10A36-2C5B-4E1F-A49C-BD69068DD588}">
      <text>
        <r>
          <rPr>
            <b/>
            <sz val="9"/>
            <color indexed="81"/>
            <rFont val="MS P ゴシック"/>
            <family val="3"/>
            <charset val="128"/>
          </rPr>
          <t>sunfashion:</t>
        </r>
        <r>
          <rPr>
            <sz val="9"/>
            <color indexed="81"/>
            <rFont val="MS P ゴシック"/>
            <family val="3"/>
            <charset val="128"/>
          </rPr>
          <t xml:space="preserve">
40% 
レート110</t>
        </r>
      </text>
    </comment>
    <comment ref="F1617" authorId="0" shapeId="0" xr:uid="{0D9429BA-AD8E-4411-A6BE-64C9FEA827BE}">
      <text>
        <r>
          <rPr>
            <b/>
            <sz val="9"/>
            <color indexed="81"/>
            <rFont val="MS P ゴシック"/>
            <family val="3"/>
            <charset val="128"/>
          </rPr>
          <t>chiba:</t>
        </r>
        <r>
          <rPr>
            <sz val="9"/>
            <color indexed="81"/>
            <rFont val="MS P ゴシック"/>
            <family val="3"/>
            <charset val="128"/>
          </rPr>
          <t xml:space="preserve">
25% 
レート 110</t>
        </r>
      </text>
    </comment>
    <comment ref="C1621" authorId="1" shapeId="0" xr:uid="{7840B1A1-897F-45FA-AA37-9B970F0D4C6B}">
      <text>
        <r>
          <rPr>
            <b/>
            <sz val="9"/>
            <color indexed="81"/>
            <rFont val="MS P ゴシック"/>
            <family val="3"/>
            <charset val="128"/>
          </rPr>
          <t>sunfashion:</t>
        </r>
        <r>
          <rPr>
            <sz val="9"/>
            <color indexed="81"/>
            <rFont val="MS P ゴシック"/>
            <family val="3"/>
            <charset val="128"/>
          </rPr>
          <t xml:space="preserve">
30%
110
</t>
        </r>
      </text>
    </comment>
    <comment ref="C1635" authorId="1" shapeId="0" xr:uid="{7399FEC0-F219-4021-B19D-9010A4CD649E}">
      <text>
        <r>
          <rPr>
            <b/>
            <sz val="9"/>
            <color indexed="81"/>
            <rFont val="MS P ゴシック"/>
            <family val="3"/>
            <charset val="128"/>
          </rPr>
          <t>sunfashion:</t>
        </r>
        <r>
          <rPr>
            <sz val="9"/>
            <color indexed="81"/>
            <rFont val="MS P ゴシック"/>
            <family val="3"/>
            <charset val="128"/>
          </rPr>
          <t xml:space="preserve">
30%
110
</t>
        </r>
      </text>
    </comment>
    <comment ref="C1636" authorId="1" shapeId="0" xr:uid="{470A49ED-BDE1-4B19-8A2B-105A2E4992EA}">
      <text>
        <r>
          <rPr>
            <b/>
            <sz val="9"/>
            <color indexed="81"/>
            <rFont val="MS P ゴシック"/>
            <family val="3"/>
            <charset val="128"/>
          </rPr>
          <t>sunfashion:</t>
        </r>
        <r>
          <rPr>
            <sz val="9"/>
            <color indexed="81"/>
            <rFont val="MS P ゴシック"/>
            <family val="3"/>
            <charset val="128"/>
          </rPr>
          <t xml:space="preserve">
30%
110
</t>
        </r>
      </text>
    </comment>
    <comment ref="C1637" authorId="1" shapeId="0" xr:uid="{3464B5E5-BE4E-4BCE-8D88-556779A0BE62}">
      <text>
        <r>
          <rPr>
            <b/>
            <sz val="9"/>
            <color indexed="81"/>
            <rFont val="MS P ゴシック"/>
            <family val="3"/>
            <charset val="128"/>
          </rPr>
          <t>sunfashion:</t>
        </r>
        <r>
          <rPr>
            <sz val="9"/>
            <color indexed="81"/>
            <rFont val="MS P ゴシック"/>
            <family val="3"/>
            <charset val="128"/>
          </rPr>
          <t xml:space="preserve">
30%
110
</t>
        </r>
      </text>
    </comment>
    <comment ref="F1642" authorId="1" shapeId="0" xr:uid="{6E3984EE-CACD-4830-BA03-39121094C1C3}">
      <text>
        <r>
          <rPr>
            <b/>
            <sz val="9"/>
            <color indexed="81"/>
            <rFont val="MS P ゴシック"/>
            <family val="3"/>
            <charset val="128"/>
          </rPr>
          <t>sunfashion:</t>
        </r>
        <r>
          <rPr>
            <sz val="9"/>
            <color indexed="81"/>
            <rFont val="MS P ゴシック"/>
            <family val="3"/>
            <charset val="128"/>
          </rPr>
          <t xml:space="preserve">
40% 
レート110</t>
        </r>
      </text>
    </comment>
    <comment ref="C1656" authorId="1" shapeId="0" xr:uid="{E6589C8D-A875-40E1-A8DE-DC91078D580D}">
      <text>
        <r>
          <rPr>
            <b/>
            <sz val="9"/>
            <color indexed="81"/>
            <rFont val="MS P ゴシック"/>
            <family val="3"/>
            <charset val="128"/>
          </rPr>
          <t>sunfashion:</t>
        </r>
        <r>
          <rPr>
            <sz val="9"/>
            <color indexed="81"/>
            <rFont val="MS P ゴシック"/>
            <family val="3"/>
            <charset val="128"/>
          </rPr>
          <t xml:space="preserve">
30%
110
</t>
        </r>
      </text>
    </comment>
    <comment ref="E1662" authorId="1" shapeId="0" xr:uid="{A8BAF21B-D8C6-4029-9AAA-5BD457E56D7B}">
      <text>
        <r>
          <rPr>
            <b/>
            <sz val="9"/>
            <color indexed="81"/>
            <rFont val="MS P ゴシック"/>
            <family val="3"/>
            <charset val="128"/>
          </rPr>
          <t>sunfashion:</t>
        </r>
        <r>
          <rPr>
            <sz val="9"/>
            <color indexed="81"/>
            <rFont val="MS P ゴシック"/>
            <family val="3"/>
            <charset val="128"/>
          </rPr>
          <t xml:space="preserve">
30%
110
</t>
        </r>
      </text>
    </comment>
    <comment ref="E1663" authorId="0" shapeId="0" xr:uid="{0BCAB121-C802-49C2-A13D-3A9E906C6643}">
      <text>
        <r>
          <rPr>
            <b/>
            <sz val="9"/>
            <color indexed="81"/>
            <rFont val="MS P ゴシック"/>
            <family val="3"/>
            <charset val="128"/>
          </rPr>
          <t>chiba:</t>
        </r>
        <r>
          <rPr>
            <sz val="9"/>
            <color indexed="81"/>
            <rFont val="MS P ゴシック"/>
            <family val="3"/>
            <charset val="128"/>
          </rPr>
          <t xml:space="preserve">
20% 
110
</t>
        </r>
      </text>
    </comment>
    <comment ref="E1664" authorId="0" shapeId="0" xr:uid="{91ABF0A2-824A-4140-8489-257F5EC11120}">
      <text>
        <r>
          <rPr>
            <b/>
            <sz val="9"/>
            <color indexed="81"/>
            <rFont val="MS P ゴシック"/>
            <family val="3"/>
            <charset val="128"/>
          </rPr>
          <t>chiba:</t>
        </r>
        <r>
          <rPr>
            <sz val="9"/>
            <color indexed="81"/>
            <rFont val="MS P ゴシック"/>
            <family val="3"/>
            <charset val="128"/>
          </rPr>
          <t xml:space="preserve">
20% 
110
</t>
        </r>
      </text>
    </comment>
    <comment ref="E1665" authorId="0" shapeId="0" xr:uid="{8E1924A4-3202-4410-8501-330D5339C0DA}">
      <text>
        <r>
          <rPr>
            <b/>
            <sz val="9"/>
            <color indexed="81"/>
            <rFont val="MS P ゴシック"/>
            <family val="3"/>
            <charset val="128"/>
          </rPr>
          <t>chiba:</t>
        </r>
        <r>
          <rPr>
            <sz val="9"/>
            <color indexed="81"/>
            <rFont val="MS P ゴシック"/>
            <family val="3"/>
            <charset val="128"/>
          </rPr>
          <t xml:space="preserve">
20% 
110
</t>
        </r>
      </text>
    </comment>
    <comment ref="E1666" authorId="1" shapeId="0" xr:uid="{6C225E75-D094-4084-B83F-DF32AF01316B}">
      <text>
        <r>
          <rPr>
            <b/>
            <sz val="9"/>
            <color indexed="81"/>
            <rFont val="MS P ゴシック"/>
            <family val="3"/>
            <charset val="128"/>
          </rPr>
          <t>sunfashion:</t>
        </r>
        <r>
          <rPr>
            <sz val="9"/>
            <color indexed="81"/>
            <rFont val="MS P ゴシック"/>
            <family val="3"/>
            <charset val="128"/>
          </rPr>
          <t xml:space="preserve">
30%
110
</t>
        </r>
      </text>
    </comment>
    <comment ref="C1671" authorId="1" shapeId="0" xr:uid="{59BC0F25-C50B-4EED-AA22-37C34EEF451D}">
      <text>
        <r>
          <rPr>
            <b/>
            <sz val="9"/>
            <color indexed="81"/>
            <rFont val="MS P ゴシック"/>
            <family val="3"/>
            <charset val="128"/>
          </rPr>
          <t>sunfashion:</t>
        </r>
        <r>
          <rPr>
            <sz val="9"/>
            <color indexed="81"/>
            <rFont val="MS P ゴシック"/>
            <family val="3"/>
            <charset val="128"/>
          </rPr>
          <t xml:space="preserve">
25%
110
</t>
        </r>
      </text>
    </comment>
    <comment ref="D1675" authorId="0" shapeId="0" xr:uid="{9A79A89A-6E99-46AA-A2D8-F5CA2A37A7F6}">
      <text>
        <r>
          <rPr>
            <b/>
            <sz val="9"/>
            <color indexed="81"/>
            <rFont val="MS P ゴシック"/>
            <family val="3"/>
            <charset val="128"/>
          </rPr>
          <t>chiba:</t>
        </r>
        <r>
          <rPr>
            <sz val="9"/>
            <color indexed="81"/>
            <rFont val="MS P ゴシック"/>
            <family val="3"/>
            <charset val="128"/>
          </rPr>
          <t xml:space="preserve">
25% 
レート 110</t>
        </r>
      </text>
    </comment>
    <comment ref="F1681" authorId="0" shapeId="0" xr:uid="{BCAE2413-F5D0-46BE-80B4-6FE2FC617382}">
      <text>
        <r>
          <rPr>
            <b/>
            <sz val="9"/>
            <color indexed="81"/>
            <rFont val="MS P ゴシック"/>
            <family val="3"/>
            <charset val="128"/>
          </rPr>
          <t>chiba:</t>
        </r>
        <r>
          <rPr>
            <sz val="9"/>
            <color indexed="81"/>
            <rFont val="MS P ゴシック"/>
            <family val="3"/>
            <charset val="128"/>
          </rPr>
          <t xml:space="preserve">
25% 
レート 110 
次回より€ 1.58</t>
        </r>
      </text>
    </comment>
    <comment ref="F1682" authorId="0" shapeId="0" xr:uid="{226FF22B-7C19-4510-8B80-7A0A64932D54}">
      <text>
        <r>
          <rPr>
            <b/>
            <sz val="9"/>
            <color indexed="81"/>
            <rFont val="MS P ゴシック"/>
            <family val="3"/>
            <charset val="128"/>
          </rPr>
          <t>chiba:</t>
        </r>
        <r>
          <rPr>
            <sz val="9"/>
            <color indexed="81"/>
            <rFont val="MS P ゴシック"/>
            <family val="3"/>
            <charset val="128"/>
          </rPr>
          <t xml:space="preserve">
25% 
レート 110 
次回より€ 1.58</t>
        </r>
      </text>
    </comment>
    <comment ref="F1704" authorId="1" shapeId="0" xr:uid="{C02273BC-E647-45AC-8863-DD3341858F38}">
      <text>
        <r>
          <rPr>
            <b/>
            <sz val="9"/>
            <color indexed="81"/>
            <rFont val="MS P ゴシック"/>
            <family val="3"/>
            <charset val="128"/>
          </rPr>
          <t>sunfashion:</t>
        </r>
        <r>
          <rPr>
            <sz val="9"/>
            <color indexed="81"/>
            <rFont val="MS P ゴシック"/>
            <family val="3"/>
            <charset val="128"/>
          </rPr>
          <t xml:space="preserve">
40% 
レート110</t>
        </r>
      </text>
    </comment>
    <comment ref="F1705" authorId="1" shapeId="0" xr:uid="{3533D334-6468-4D7B-B092-3ADA51C08EB3}">
      <text>
        <r>
          <rPr>
            <b/>
            <sz val="9"/>
            <color indexed="81"/>
            <rFont val="MS P ゴシック"/>
            <family val="3"/>
            <charset val="128"/>
          </rPr>
          <t>sunfashion:</t>
        </r>
        <r>
          <rPr>
            <sz val="9"/>
            <color indexed="81"/>
            <rFont val="MS P ゴシック"/>
            <family val="3"/>
            <charset val="128"/>
          </rPr>
          <t xml:space="preserve">
40% 
レート110</t>
        </r>
      </text>
    </comment>
    <comment ref="F1706" authorId="1" shapeId="0" xr:uid="{5E65EA92-31C6-42AD-81C1-0B3AEC931DB6}">
      <text>
        <r>
          <rPr>
            <b/>
            <sz val="9"/>
            <color indexed="81"/>
            <rFont val="MS P ゴシック"/>
            <family val="3"/>
            <charset val="128"/>
          </rPr>
          <t>sunfashion:</t>
        </r>
        <r>
          <rPr>
            <sz val="9"/>
            <color indexed="81"/>
            <rFont val="MS P ゴシック"/>
            <family val="3"/>
            <charset val="128"/>
          </rPr>
          <t xml:space="preserve">
40% 
レート110</t>
        </r>
      </text>
    </comment>
    <comment ref="C1709" authorId="1" shapeId="0" xr:uid="{785E4565-CD9C-47B9-BBEB-1580B869D3D9}">
      <text>
        <r>
          <rPr>
            <b/>
            <sz val="9"/>
            <color indexed="81"/>
            <rFont val="MS P ゴシック"/>
            <family val="3"/>
            <charset val="128"/>
          </rPr>
          <t>sunfashion:</t>
        </r>
        <r>
          <rPr>
            <sz val="9"/>
            <color indexed="81"/>
            <rFont val="MS P ゴシック"/>
            <family val="3"/>
            <charset val="128"/>
          </rPr>
          <t xml:space="preserve">
50% 
レート110</t>
        </r>
      </text>
    </comment>
    <comment ref="C1710" authorId="1" shapeId="0" xr:uid="{C47BE30E-1AF6-40D8-B431-201E42A05689}">
      <text>
        <r>
          <rPr>
            <b/>
            <sz val="9"/>
            <color indexed="81"/>
            <rFont val="MS P ゴシック"/>
            <family val="3"/>
            <charset val="128"/>
          </rPr>
          <t>sunfashion:</t>
        </r>
        <r>
          <rPr>
            <sz val="9"/>
            <color indexed="81"/>
            <rFont val="MS P ゴシック"/>
            <family val="3"/>
            <charset val="128"/>
          </rPr>
          <t xml:space="preserve">
50% 
レート110</t>
        </r>
      </text>
    </comment>
    <comment ref="C1711" authorId="1" shapeId="0" xr:uid="{A955DB97-C8D1-49B1-9236-5F2CE8531DBB}">
      <text>
        <r>
          <rPr>
            <b/>
            <sz val="9"/>
            <color indexed="81"/>
            <rFont val="MS P ゴシック"/>
            <family val="3"/>
            <charset val="128"/>
          </rPr>
          <t>sunfashion:</t>
        </r>
        <r>
          <rPr>
            <sz val="9"/>
            <color indexed="81"/>
            <rFont val="MS P ゴシック"/>
            <family val="3"/>
            <charset val="128"/>
          </rPr>
          <t xml:space="preserve">
50% 
レート110</t>
        </r>
      </text>
    </comment>
    <comment ref="C1712" authorId="1" shapeId="0" xr:uid="{836E6042-CE0F-4A5E-AFAA-4AC860DA1E44}">
      <text>
        <r>
          <rPr>
            <b/>
            <sz val="9"/>
            <color indexed="81"/>
            <rFont val="MS P ゴシック"/>
            <family val="3"/>
            <charset val="128"/>
          </rPr>
          <t>sunfashion:</t>
        </r>
        <r>
          <rPr>
            <sz val="9"/>
            <color indexed="81"/>
            <rFont val="MS P ゴシック"/>
            <family val="3"/>
            <charset val="128"/>
          </rPr>
          <t xml:space="preserve">
50% 
レート110</t>
        </r>
      </text>
    </comment>
    <comment ref="C1713" authorId="1" shapeId="0" xr:uid="{4FD3D7D4-5EFB-43FB-A431-EDACC579D41A}">
      <text>
        <r>
          <rPr>
            <b/>
            <sz val="9"/>
            <color indexed="81"/>
            <rFont val="MS P ゴシック"/>
            <family val="3"/>
            <charset val="128"/>
          </rPr>
          <t>sunfashion:</t>
        </r>
        <r>
          <rPr>
            <sz val="9"/>
            <color indexed="81"/>
            <rFont val="MS P ゴシック"/>
            <family val="3"/>
            <charset val="128"/>
          </rPr>
          <t xml:space="preserve">
50% 
レート110</t>
        </r>
      </text>
    </comment>
    <comment ref="C1714" authorId="1" shapeId="0" xr:uid="{A03F6456-FC12-433D-86B2-518F69DA7AC0}">
      <text>
        <r>
          <rPr>
            <b/>
            <sz val="9"/>
            <color indexed="81"/>
            <rFont val="MS P ゴシック"/>
            <family val="3"/>
            <charset val="128"/>
          </rPr>
          <t>sunfashion:</t>
        </r>
        <r>
          <rPr>
            <sz val="9"/>
            <color indexed="81"/>
            <rFont val="MS P ゴシック"/>
            <family val="3"/>
            <charset val="128"/>
          </rPr>
          <t xml:space="preserve">
50% 
レート110</t>
        </r>
      </text>
    </comment>
    <comment ref="A1719" authorId="0" shapeId="0" xr:uid="{3E54A078-5594-4277-9B3F-DD2A45161B3C}">
      <text>
        <r>
          <rPr>
            <b/>
            <sz val="9"/>
            <color indexed="81"/>
            <rFont val="MS P ゴシック"/>
            <family val="3"/>
            <charset val="128"/>
          </rPr>
          <t>chiba:</t>
        </r>
        <r>
          <rPr>
            <sz val="9"/>
            <color indexed="81"/>
            <rFont val="MS P ゴシック"/>
            <family val="3"/>
            <charset val="128"/>
          </rPr>
          <t xml:space="preserve">
INV# 3209 使用</t>
        </r>
      </text>
    </comment>
    <comment ref="E1719" authorId="1" shapeId="0" xr:uid="{563DF524-E98E-4095-AFEE-8674C217E84C}">
      <text>
        <r>
          <rPr>
            <b/>
            <sz val="9"/>
            <color indexed="81"/>
            <rFont val="MS P ゴシック"/>
            <family val="3"/>
            <charset val="128"/>
          </rPr>
          <t>sunfashion:</t>
        </r>
        <r>
          <rPr>
            <sz val="9"/>
            <color indexed="81"/>
            <rFont val="MS P ゴシック"/>
            <family val="3"/>
            <charset val="128"/>
          </rPr>
          <t xml:space="preserve">
30%
110
</t>
        </r>
      </text>
    </comment>
    <comment ref="C1724" authorId="0" shapeId="0" xr:uid="{74FE1DF5-8022-47B7-BDFF-888143E7AD66}">
      <text>
        <r>
          <rPr>
            <b/>
            <sz val="9"/>
            <color indexed="81"/>
            <rFont val="MS P ゴシック"/>
            <family val="3"/>
            <charset val="128"/>
          </rPr>
          <t>chiba:</t>
        </r>
        <r>
          <rPr>
            <sz val="9"/>
            <color indexed="81"/>
            <rFont val="MS P ゴシック"/>
            <family val="3"/>
            <charset val="128"/>
          </rPr>
          <t xml:space="preserve">
30%
90
</t>
        </r>
      </text>
    </comment>
    <comment ref="D1733" authorId="1" shapeId="0" xr:uid="{AEEB43ED-A3D3-4460-9414-7E7457059AF8}">
      <text>
        <r>
          <rPr>
            <b/>
            <sz val="9"/>
            <color indexed="81"/>
            <rFont val="MS P ゴシック"/>
            <family val="3"/>
            <charset val="128"/>
          </rPr>
          <t>sunfashion:</t>
        </r>
        <r>
          <rPr>
            <sz val="9"/>
            <color indexed="81"/>
            <rFont val="MS P ゴシック"/>
            <family val="3"/>
            <charset val="128"/>
          </rPr>
          <t xml:space="preserve">
( 11月より、現 155)</t>
        </r>
      </text>
    </comment>
    <comment ref="D1734" authorId="1" shapeId="0" xr:uid="{B1E7853F-9454-472A-ACAE-80E1DC968FD7}">
      <text>
        <r>
          <rPr>
            <b/>
            <sz val="9"/>
            <color indexed="81"/>
            <rFont val="MS P ゴシック"/>
            <family val="3"/>
            <charset val="128"/>
          </rPr>
          <t>sunfashion:</t>
        </r>
        <r>
          <rPr>
            <sz val="9"/>
            <color indexed="81"/>
            <rFont val="MS P ゴシック"/>
            <family val="3"/>
            <charset val="128"/>
          </rPr>
          <t xml:space="preserve">
( 11月より、現 155)</t>
        </r>
      </text>
    </comment>
    <comment ref="D1739" authorId="1" shapeId="0" xr:uid="{78C3E9CA-C1F4-49A0-8AE1-5493EF4F175B}">
      <text>
        <r>
          <rPr>
            <b/>
            <sz val="9"/>
            <color indexed="81"/>
            <rFont val="MS P ゴシック"/>
            <family val="3"/>
            <charset val="128"/>
          </rPr>
          <t>sunfashion:</t>
        </r>
        <r>
          <rPr>
            <sz val="9"/>
            <color indexed="81"/>
            <rFont val="MS P ゴシック"/>
            <family val="3"/>
            <charset val="128"/>
          </rPr>
          <t xml:space="preserve">
 (10月より、現174)</t>
        </r>
      </text>
    </comment>
    <comment ref="D1740" authorId="1" shapeId="0" xr:uid="{4A7AC11F-68E6-4481-95D1-93C99E56E336}">
      <text>
        <r>
          <rPr>
            <b/>
            <sz val="9"/>
            <color indexed="81"/>
            <rFont val="MS P ゴシック"/>
            <family val="3"/>
            <charset val="128"/>
          </rPr>
          <t>sunfashion:</t>
        </r>
        <r>
          <rPr>
            <sz val="9"/>
            <color indexed="81"/>
            <rFont val="MS P ゴシック"/>
            <family val="3"/>
            <charset val="128"/>
          </rPr>
          <t xml:space="preserve">
(10月より、現50)</t>
        </r>
      </text>
    </comment>
    <comment ref="D1741" authorId="1" shapeId="0" xr:uid="{900EF542-31DF-404C-BF83-97778938D36D}">
      <text>
        <r>
          <rPr>
            <b/>
            <sz val="9"/>
            <color indexed="81"/>
            <rFont val="MS P ゴシック"/>
            <family val="3"/>
            <charset val="128"/>
          </rPr>
          <t>sunfashion:</t>
        </r>
        <r>
          <rPr>
            <sz val="9"/>
            <color indexed="81"/>
            <rFont val="MS P ゴシック"/>
            <family val="3"/>
            <charset val="128"/>
          </rPr>
          <t xml:space="preserve">
(10月より、現115)</t>
        </r>
      </text>
    </comment>
    <comment ref="D1742" authorId="1" shapeId="0" xr:uid="{80DA657F-A705-44B9-AC08-1C1004FAAFA9}">
      <text>
        <r>
          <rPr>
            <b/>
            <sz val="9"/>
            <color indexed="81"/>
            <rFont val="MS P ゴシック"/>
            <family val="3"/>
            <charset val="128"/>
          </rPr>
          <t>sunfashion:</t>
        </r>
        <r>
          <rPr>
            <sz val="9"/>
            <color indexed="81"/>
            <rFont val="MS P ゴシック"/>
            <family val="3"/>
            <charset val="128"/>
          </rPr>
          <t xml:space="preserve">
(10月より、現19)</t>
        </r>
      </text>
    </comment>
    <comment ref="D1743" authorId="1" shapeId="0" xr:uid="{5F73B1C8-2DDB-41A3-8FD9-0F0F753A62F6}">
      <text>
        <r>
          <rPr>
            <b/>
            <sz val="9"/>
            <color indexed="81"/>
            <rFont val="MS P ゴシック"/>
            <family val="3"/>
            <charset val="128"/>
          </rPr>
          <t>sunfashion:</t>
        </r>
        <r>
          <rPr>
            <sz val="9"/>
            <color indexed="81"/>
            <rFont val="MS P ゴシック"/>
            <family val="3"/>
            <charset val="128"/>
          </rPr>
          <t xml:space="preserve">
(10月より、現142)</t>
        </r>
      </text>
    </comment>
    <comment ref="D1744" authorId="1" shapeId="0" xr:uid="{4DCAFB29-10A8-4C7C-B1BF-00C3011E84AF}">
      <text>
        <r>
          <rPr>
            <b/>
            <sz val="9"/>
            <color indexed="81"/>
            <rFont val="MS P ゴシック"/>
            <family val="3"/>
            <charset val="128"/>
          </rPr>
          <t>sunfashion:</t>
        </r>
        <r>
          <rPr>
            <sz val="9"/>
            <color indexed="81"/>
            <rFont val="MS P ゴシック"/>
            <family val="3"/>
            <charset val="128"/>
          </rPr>
          <t xml:space="preserve">
(10月より、現45)</t>
        </r>
      </text>
    </comment>
    <comment ref="C1781" authorId="1" shapeId="0" xr:uid="{71CAB546-CA51-46D7-8846-FE3314CD7CC8}">
      <text>
        <r>
          <rPr>
            <b/>
            <sz val="9"/>
            <color indexed="81"/>
            <rFont val="MS P ゴシック"/>
            <family val="3"/>
            <charset val="128"/>
          </rPr>
          <t>sunfashion:</t>
        </r>
        <r>
          <rPr>
            <sz val="9"/>
            <color indexed="81"/>
            <rFont val="MS P ゴシック"/>
            <family val="3"/>
            <charset val="128"/>
          </rPr>
          <t xml:space="preserve">
 (10月より、194)</t>
        </r>
      </text>
    </comment>
    <comment ref="C1782" authorId="1" shapeId="0" xr:uid="{A6D5160A-C13D-4499-A2C9-C64714844FEA}">
      <text>
        <r>
          <rPr>
            <b/>
            <sz val="9"/>
            <color indexed="81"/>
            <rFont val="MS P ゴシック"/>
            <family val="3"/>
            <charset val="128"/>
          </rPr>
          <t>sunfashion:</t>
        </r>
        <r>
          <rPr>
            <sz val="9"/>
            <color indexed="81"/>
            <rFont val="MS P ゴシック"/>
            <family val="3"/>
            <charset val="128"/>
          </rPr>
          <t xml:space="preserve">
(10月より、56)</t>
        </r>
      </text>
    </comment>
    <comment ref="C1783" authorId="1" shapeId="0" xr:uid="{28A6FD42-4C56-4DD9-9A1A-B186201FC259}">
      <text>
        <r>
          <rPr>
            <b/>
            <sz val="9"/>
            <color indexed="81"/>
            <rFont val="MS P ゴシック"/>
            <family val="3"/>
            <charset val="128"/>
          </rPr>
          <t>sunfashion:</t>
        </r>
        <r>
          <rPr>
            <sz val="9"/>
            <color indexed="81"/>
            <rFont val="MS P ゴシック"/>
            <family val="3"/>
            <charset val="128"/>
          </rPr>
          <t xml:space="preserve">
(10月より、22)</t>
        </r>
      </text>
    </comment>
    <comment ref="C1784" authorId="1" shapeId="0" xr:uid="{A0204386-39F8-49CE-B5BB-9596D2A13FF9}">
      <text>
        <r>
          <rPr>
            <b/>
            <sz val="9"/>
            <color indexed="81"/>
            <rFont val="MS P ゴシック"/>
            <family val="3"/>
            <charset val="128"/>
          </rPr>
          <t>sunfashion:</t>
        </r>
        <r>
          <rPr>
            <sz val="9"/>
            <color indexed="81"/>
            <rFont val="MS P ゴシック"/>
            <family val="3"/>
            <charset val="128"/>
          </rPr>
          <t xml:space="preserve">
(10月より、50)</t>
        </r>
      </text>
    </comment>
    <comment ref="C1816" authorId="0" shapeId="0" xr:uid="{A94987DB-7EA4-49DC-85C6-01E705892589}">
      <text>
        <r>
          <rPr>
            <b/>
            <sz val="9"/>
            <color indexed="81"/>
            <rFont val="MS P ゴシック"/>
            <family val="3"/>
            <charset val="128"/>
          </rPr>
          <t>chiba:</t>
        </r>
        <r>
          <rPr>
            <sz val="9"/>
            <color indexed="81"/>
            <rFont val="MS P ゴシック"/>
            <family val="3"/>
            <charset val="128"/>
          </rPr>
          <t xml:space="preserve">
30%
90
</t>
        </r>
      </text>
    </comment>
    <comment ref="F1821" authorId="0" shapeId="0" xr:uid="{FC041827-AC3D-4A9D-AF67-011BFC58A348}">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F1832" authorId="1" shapeId="0" xr:uid="{69698278-9DC1-4502-8C49-4436DA551B15}">
      <text>
        <r>
          <rPr>
            <b/>
            <sz val="9"/>
            <color indexed="81"/>
            <rFont val="MS P ゴシック"/>
            <family val="3"/>
            <charset val="128"/>
          </rPr>
          <t>sunfashion:</t>
        </r>
        <r>
          <rPr>
            <sz val="9"/>
            <color indexed="81"/>
            <rFont val="MS P ゴシック"/>
            <family val="3"/>
            <charset val="128"/>
          </rPr>
          <t xml:space="preserve">
25% 
110</t>
        </r>
      </text>
    </comment>
    <comment ref="D1850" authorId="0" shapeId="0" xr:uid="{E172254C-270C-4237-A850-25A390D5DA3A}">
      <text>
        <r>
          <rPr>
            <b/>
            <sz val="9"/>
            <color indexed="81"/>
            <rFont val="MS P ゴシック"/>
            <family val="3"/>
            <charset val="128"/>
          </rPr>
          <t>chiba:</t>
        </r>
        <r>
          <rPr>
            <sz val="9"/>
            <color indexed="81"/>
            <rFont val="MS P ゴシック"/>
            <family val="3"/>
            <charset val="128"/>
          </rPr>
          <t xml:space="preserve">
40%
110</t>
        </r>
      </text>
    </comment>
    <comment ref="D1851" authorId="0" shapeId="0" xr:uid="{10CA219A-AD0B-49CE-8220-37A10F184106}">
      <text>
        <r>
          <rPr>
            <b/>
            <sz val="9"/>
            <color indexed="81"/>
            <rFont val="MS P ゴシック"/>
            <family val="3"/>
            <charset val="128"/>
          </rPr>
          <t>chiba:</t>
        </r>
        <r>
          <rPr>
            <sz val="9"/>
            <color indexed="81"/>
            <rFont val="MS P ゴシック"/>
            <family val="3"/>
            <charset val="128"/>
          </rPr>
          <t xml:space="preserve">
40%
110</t>
        </r>
      </text>
    </comment>
    <comment ref="D1852" authorId="0" shapeId="0" xr:uid="{408CB9DF-7775-4E07-B744-8E5B4A568291}">
      <text>
        <r>
          <rPr>
            <b/>
            <sz val="9"/>
            <color indexed="81"/>
            <rFont val="MS P ゴシック"/>
            <family val="3"/>
            <charset val="128"/>
          </rPr>
          <t>chiba:</t>
        </r>
        <r>
          <rPr>
            <sz val="9"/>
            <color indexed="81"/>
            <rFont val="MS P ゴシック"/>
            <family val="3"/>
            <charset val="128"/>
          </rPr>
          <t xml:space="preserve">
40%
110</t>
        </r>
      </text>
    </comment>
    <comment ref="D1853" authorId="0" shapeId="0" xr:uid="{D9F5E201-18A7-4E58-91DC-424A35465BAA}">
      <text>
        <r>
          <rPr>
            <b/>
            <sz val="9"/>
            <color indexed="81"/>
            <rFont val="MS P ゴシック"/>
            <family val="3"/>
            <charset val="128"/>
          </rPr>
          <t>chiba:</t>
        </r>
        <r>
          <rPr>
            <sz val="9"/>
            <color indexed="81"/>
            <rFont val="MS P ゴシック"/>
            <family val="3"/>
            <charset val="128"/>
          </rPr>
          <t xml:space="preserve">
40%
110</t>
        </r>
      </text>
    </comment>
    <comment ref="B1857" authorId="0" shapeId="0" xr:uid="{A7FF5BDB-79C0-48B7-A94C-FD0B60EB22EE}">
      <text>
        <r>
          <rPr>
            <b/>
            <sz val="9"/>
            <color indexed="81"/>
            <rFont val="MS P ゴシック"/>
            <family val="3"/>
            <charset val="128"/>
          </rPr>
          <t>chiba:</t>
        </r>
        <r>
          <rPr>
            <sz val="9"/>
            <color indexed="81"/>
            <rFont val="MS P ゴシック"/>
            <family val="3"/>
            <charset val="128"/>
          </rPr>
          <t xml:space="preserve">
30%
110</t>
        </r>
      </text>
    </comment>
    <comment ref="C1857" authorId="0" shapeId="0" xr:uid="{927BD95B-E381-4FFF-A8CA-2795A80D6CA1}">
      <text>
        <r>
          <rPr>
            <b/>
            <sz val="9"/>
            <color indexed="81"/>
            <rFont val="MS P ゴシック"/>
            <family val="3"/>
            <charset val="128"/>
          </rPr>
          <t>chiba:</t>
        </r>
        <r>
          <rPr>
            <sz val="9"/>
            <color indexed="81"/>
            <rFont val="MS P ゴシック"/>
            <family val="3"/>
            <charset val="128"/>
          </rPr>
          <t xml:space="preserve">
30%
110</t>
        </r>
      </text>
    </comment>
    <comment ref="D1864" authorId="0" shapeId="0" xr:uid="{D1C78155-97D1-4162-A736-B1C6DC202166}">
      <text>
        <r>
          <rPr>
            <b/>
            <sz val="9"/>
            <color indexed="81"/>
            <rFont val="MS P ゴシック"/>
            <family val="3"/>
            <charset val="128"/>
          </rPr>
          <t>chiba:</t>
        </r>
        <r>
          <rPr>
            <sz val="9"/>
            <color indexed="81"/>
            <rFont val="MS P ゴシック"/>
            <family val="3"/>
            <charset val="128"/>
          </rPr>
          <t xml:space="preserve">
40% 
110
</t>
        </r>
      </text>
    </comment>
    <comment ref="D1865" authorId="0" shapeId="0" xr:uid="{85B2DBA7-0742-4252-9EA6-9552F63F6C54}">
      <text>
        <r>
          <rPr>
            <b/>
            <sz val="9"/>
            <color indexed="81"/>
            <rFont val="MS P ゴシック"/>
            <family val="3"/>
            <charset val="128"/>
          </rPr>
          <t>chiba:</t>
        </r>
        <r>
          <rPr>
            <sz val="9"/>
            <color indexed="81"/>
            <rFont val="MS P ゴシック"/>
            <family val="3"/>
            <charset val="128"/>
          </rPr>
          <t xml:space="preserve">
40% 
110</t>
        </r>
      </text>
    </comment>
    <comment ref="E1869" authorId="0" shapeId="0" xr:uid="{4F339634-41EA-4184-A883-2D16630DF37E}">
      <text>
        <r>
          <rPr>
            <b/>
            <sz val="9"/>
            <color indexed="81"/>
            <rFont val="MS P ゴシック"/>
            <family val="3"/>
            <charset val="128"/>
          </rPr>
          <t>chiba:</t>
        </r>
        <r>
          <rPr>
            <sz val="9"/>
            <color indexed="81"/>
            <rFont val="MS P ゴシック"/>
            <family val="3"/>
            <charset val="128"/>
          </rPr>
          <t xml:space="preserve">
40% 
110</t>
        </r>
      </text>
    </comment>
    <comment ref="C1881" authorId="1" shapeId="0" xr:uid="{B08E7743-EB0A-4CD7-B41D-977A14606B2F}">
      <text>
        <r>
          <rPr>
            <b/>
            <sz val="9"/>
            <color indexed="81"/>
            <rFont val="MS P ゴシック"/>
            <family val="3"/>
            <charset val="128"/>
          </rPr>
          <t xml:space="preserve">sunfashion:
以前の染色込単価使用
約50% 
110 </t>
        </r>
      </text>
    </comment>
    <comment ref="D1887" authorId="1" shapeId="0" xr:uid="{FCE9AA16-028D-4FF9-8CD9-57F376569344}">
      <text>
        <r>
          <rPr>
            <b/>
            <sz val="9"/>
            <color indexed="81"/>
            <rFont val="MS P ゴシック"/>
            <family val="3"/>
            <charset val="128"/>
          </rPr>
          <t xml:space="preserve">sunfashion:
以前の染色込単価使用
約50% 
110 </t>
        </r>
      </text>
    </comment>
    <comment ref="B1892" authorId="0" shapeId="0" xr:uid="{A492E463-30A2-4006-A36A-500BF554CC67}">
      <text>
        <r>
          <rPr>
            <b/>
            <sz val="9"/>
            <color indexed="81"/>
            <rFont val="MS P ゴシック"/>
            <family val="3"/>
            <charset val="128"/>
          </rPr>
          <t>chiba:</t>
        </r>
        <r>
          <rPr>
            <sz val="9"/>
            <color indexed="81"/>
            <rFont val="MS P ゴシック"/>
            <family val="3"/>
            <charset val="128"/>
          </rPr>
          <t xml:space="preserve">
30%
110</t>
        </r>
      </text>
    </comment>
    <comment ref="C1892" authorId="0" shapeId="0" xr:uid="{50CFAA75-240E-4664-A43E-FECA9F75F896}">
      <text>
        <r>
          <rPr>
            <b/>
            <sz val="9"/>
            <color indexed="81"/>
            <rFont val="MS P ゴシック"/>
            <family val="3"/>
            <charset val="128"/>
          </rPr>
          <t>chiba:</t>
        </r>
        <r>
          <rPr>
            <sz val="9"/>
            <color indexed="81"/>
            <rFont val="MS P ゴシック"/>
            <family val="3"/>
            <charset val="128"/>
          </rPr>
          <t xml:space="preserve">
30%
110</t>
        </r>
      </text>
    </comment>
    <comment ref="C1896" authorId="0" shapeId="0" xr:uid="{A8A751FB-3145-4C61-B3FF-F39F97B6F668}">
      <text>
        <r>
          <rPr>
            <b/>
            <sz val="9"/>
            <color indexed="81"/>
            <rFont val="MS P ゴシック"/>
            <family val="3"/>
            <charset val="128"/>
          </rPr>
          <t>chiba:</t>
        </r>
        <r>
          <rPr>
            <sz val="9"/>
            <color indexed="81"/>
            <rFont val="MS P ゴシック"/>
            <family val="3"/>
            <charset val="128"/>
          </rPr>
          <t xml:space="preserve">
30%
110</t>
        </r>
      </text>
    </comment>
    <comment ref="D1909" authorId="0" shapeId="0" xr:uid="{0A900658-6283-4E8D-A4A0-BBF59AE0BE20}">
      <text>
        <r>
          <rPr>
            <b/>
            <sz val="9"/>
            <color indexed="81"/>
            <rFont val="MS P ゴシック"/>
            <family val="3"/>
            <charset val="128"/>
          </rPr>
          <t>chiba:</t>
        </r>
        <r>
          <rPr>
            <sz val="9"/>
            <color indexed="81"/>
            <rFont val="MS P ゴシック"/>
            <family val="3"/>
            <charset val="128"/>
          </rPr>
          <t xml:space="preserve">
40% 
110
</t>
        </r>
      </text>
    </comment>
    <comment ref="F1913" authorId="0" shapeId="0" xr:uid="{8DF33C56-A38C-484D-98EF-E292A036D114}">
      <text>
        <r>
          <rPr>
            <b/>
            <sz val="9"/>
            <color indexed="81"/>
            <rFont val="MS P ゴシック"/>
            <family val="3"/>
            <charset val="128"/>
          </rPr>
          <t>chiba:</t>
        </r>
        <r>
          <rPr>
            <sz val="9"/>
            <color indexed="81"/>
            <rFont val="MS P ゴシック"/>
            <family val="3"/>
            <charset val="128"/>
          </rPr>
          <t xml:space="preserve">
40% 
110</t>
        </r>
      </text>
    </comment>
    <comment ref="F1914" authorId="0" shapeId="0" xr:uid="{716D9E2A-F30F-4C70-B05B-CEB7BE42409F}">
      <text>
        <r>
          <rPr>
            <b/>
            <sz val="9"/>
            <color indexed="81"/>
            <rFont val="MS P ゴシック"/>
            <family val="3"/>
            <charset val="128"/>
          </rPr>
          <t>chiba:</t>
        </r>
        <r>
          <rPr>
            <sz val="9"/>
            <color indexed="81"/>
            <rFont val="MS P ゴシック"/>
            <family val="3"/>
            <charset val="128"/>
          </rPr>
          <t xml:space="preserve">
40% 
110</t>
        </r>
      </text>
    </comment>
    <comment ref="F1919" authorId="1" shapeId="0" xr:uid="{41F74C11-E3D0-411E-9D1D-A0E03135D281}">
      <text>
        <r>
          <rPr>
            <b/>
            <sz val="9"/>
            <color indexed="81"/>
            <rFont val="MS P ゴシック"/>
            <family val="3"/>
            <charset val="128"/>
          </rPr>
          <t>sunfashion:</t>
        </r>
        <r>
          <rPr>
            <sz val="9"/>
            <color indexed="81"/>
            <rFont val="MS P ゴシック"/>
            <family val="3"/>
            <charset val="128"/>
          </rPr>
          <t xml:space="preserve">
約30 % 
110</t>
        </r>
      </text>
    </comment>
    <comment ref="C1924" authorId="0" shapeId="0" xr:uid="{C751B314-2446-4E33-8754-65BC014380EB}">
      <text>
        <r>
          <rPr>
            <b/>
            <sz val="9"/>
            <color indexed="81"/>
            <rFont val="ＭＳ Ｐゴシック"/>
            <family val="3"/>
            <charset val="128"/>
          </rPr>
          <t>chiba:</t>
        </r>
        <r>
          <rPr>
            <sz val="9"/>
            <color indexed="81"/>
            <rFont val="ＭＳ Ｐゴシック"/>
            <family val="3"/>
            <charset val="128"/>
          </rPr>
          <t xml:space="preserve">
オフ白単価
30%
110
</t>
        </r>
      </text>
    </comment>
    <comment ref="C1925" authorId="0" shapeId="0" xr:uid="{502A6859-4C5B-43C6-9FD0-3B4FC987BCE9}">
      <text>
        <r>
          <rPr>
            <b/>
            <sz val="9"/>
            <color indexed="81"/>
            <rFont val="ＭＳ Ｐゴシック"/>
            <family val="3"/>
            <charset val="128"/>
          </rPr>
          <t>chiba:</t>
        </r>
        <r>
          <rPr>
            <sz val="9"/>
            <color indexed="81"/>
            <rFont val="ＭＳ Ｐゴシック"/>
            <family val="3"/>
            <charset val="128"/>
          </rPr>
          <t xml:space="preserve">
オフ白単価
30%
110
</t>
        </r>
      </text>
    </comment>
    <comment ref="F1934" authorId="0" shapeId="0" xr:uid="{42D92E1C-644D-4F4E-97DA-79D25238AEF1}">
      <text>
        <r>
          <rPr>
            <b/>
            <sz val="9"/>
            <color indexed="81"/>
            <rFont val="MS P ゴシック"/>
            <family val="3"/>
            <charset val="128"/>
          </rPr>
          <t>chiba:</t>
        </r>
        <r>
          <rPr>
            <sz val="9"/>
            <color indexed="81"/>
            <rFont val="MS P ゴシック"/>
            <family val="3"/>
            <charset val="128"/>
          </rPr>
          <t xml:space="preserve">
40% 
110</t>
        </r>
      </text>
    </comment>
    <comment ref="F1935" authorId="0" shapeId="0" xr:uid="{590CDAE0-2F7D-4CF8-8D48-5FDCA2F84C1B}">
      <text>
        <r>
          <rPr>
            <b/>
            <sz val="9"/>
            <color indexed="81"/>
            <rFont val="MS P ゴシック"/>
            <family val="3"/>
            <charset val="128"/>
          </rPr>
          <t>chiba:</t>
        </r>
        <r>
          <rPr>
            <sz val="9"/>
            <color indexed="81"/>
            <rFont val="MS P ゴシック"/>
            <family val="3"/>
            <charset val="128"/>
          </rPr>
          <t xml:space="preserve">
40% 
110</t>
        </r>
      </text>
    </comment>
    <comment ref="F1937" authorId="0" shapeId="0" xr:uid="{BBB4B64E-7A5B-4AD8-B6A2-DE2928D3FED3}">
      <text>
        <r>
          <rPr>
            <b/>
            <sz val="9"/>
            <color indexed="81"/>
            <rFont val="MS P ゴシック"/>
            <family val="3"/>
            <charset val="128"/>
          </rPr>
          <t>chiba:</t>
        </r>
        <r>
          <rPr>
            <sz val="9"/>
            <color indexed="81"/>
            <rFont val="MS P ゴシック"/>
            <family val="3"/>
            <charset val="128"/>
          </rPr>
          <t xml:space="preserve">
30% 
110</t>
        </r>
      </text>
    </comment>
    <comment ref="F1942" authorId="0" shapeId="0" xr:uid="{8D2913F1-6772-453C-BA0A-56F79237CB87}">
      <text>
        <r>
          <rPr>
            <b/>
            <sz val="9"/>
            <color indexed="81"/>
            <rFont val="MS P ゴシック"/>
            <family val="3"/>
            <charset val="128"/>
          </rPr>
          <t>chiba:</t>
        </r>
        <r>
          <rPr>
            <sz val="9"/>
            <color indexed="81"/>
            <rFont val="MS P ゴシック"/>
            <family val="3"/>
            <charset val="128"/>
          </rPr>
          <t xml:space="preserve">
25% 
レート 110 
次回より新単価：€ 2.40/m</t>
        </r>
      </text>
    </comment>
    <comment ref="F1943" authorId="1" shapeId="0" xr:uid="{73E122A0-5F6D-4359-8058-0805ACF417DC}">
      <text>
        <r>
          <rPr>
            <b/>
            <sz val="9"/>
            <color indexed="81"/>
            <rFont val="MS P ゴシック"/>
            <family val="3"/>
            <charset val="128"/>
          </rPr>
          <t>sunfashion:</t>
        </r>
        <r>
          <rPr>
            <sz val="9"/>
            <color indexed="81"/>
            <rFont val="MS P ゴシック"/>
            <family val="3"/>
            <charset val="128"/>
          </rPr>
          <t xml:space="preserve">
約40 % 
110</t>
        </r>
      </text>
    </comment>
    <comment ref="F1944" authorId="1" shapeId="0" xr:uid="{79A7126C-F17C-4396-8048-31EF2BF4B3FD}">
      <text>
        <r>
          <rPr>
            <b/>
            <sz val="9"/>
            <color indexed="81"/>
            <rFont val="MS P ゴシック"/>
            <family val="3"/>
            <charset val="128"/>
          </rPr>
          <t>sunfashion:</t>
        </r>
        <r>
          <rPr>
            <sz val="9"/>
            <color indexed="81"/>
            <rFont val="MS P ゴシック"/>
            <family val="3"/>
            <charset val="128"/>
          </rPr>
          <t xml:space="preserve">
25% 
110</t>
        </r>
      </text>
    </comment>
    <comment ref="F1945" authorId="1" shapeId="0" xr:uid="{A08AE23C-C4D8-4E23-A089-10A9C5E8B1EB}">
      <text>
        <r>
          <rPr>
            <b/>
            <sz val="9"/>
            <color indexed="81"/>
            <rFont val="MS P ゴシック"/>
            <family val="3"/>
            <charset val="128"/>
          </rPr>
          <t>sunfashion:</t>
        </r>
        <r>
          <rPr>
            <sz val="9"/>
            <color indexed="81"/>
            <rFont val="MS P ゴシック"/>
            <family val="3"/>
            <charset val="128"/>
          </rPr>
          <t xml:space="preserve">
約30 % 
110</t>
        </r>
      </text>
    </comment>
    <comment ref="F1952" authorId="0" shapeId="0" xr:uid="{500D8A48-8D65-4C31-AD45-5D7A1AF106FC}">
      <text>
        <r>
          <rPr>
            <b/>
            <sz val="9"/>
            <color indexed="81"/>
            <rFont val="MS P ゴシック"/>
            <family val="3"/>
            <charset val="128"/>
          </rPr>
          <t>chiba:</t>
        </r>
        <r>
          <rPr>
            <sz val="9"/>
            <color indexed="81"/>
            <rFont val="MS P ゴシック"/>
            <family val="3"/>
            <charset val="128"/>
          </rPr>
          <t xml:space="preserve">
40% 
110
</t>
        </r>
      </text>
    </comment>
    <comment ref="D1957" authorId="1" shapeId="0" xr:uid="{8F16A1C3-15C6-4DDC-9273-A59DDAB0D072}">
      <text>
        <r>
          <rPr>
            <b/>
            <sz val="9"/>
            <color indexed="81"/>
            <rFont val="MS P ゴシック"/>
            <family val="3"/>
            <charset val="128"/>
          </rPr>
          <t>sunfashion:</t>
        </r>
        <r>
          <rPr>
            <sz val="9"/>
            <color indexed="81"/>
            <rFont val="MS P ゴシック"/>
            <family val="3"/>
            <charset val="128"/>
          </rPr>
          <t xml:space="preserve">
30% 
110</t>
        </r>
      </text>
    </comment>
    <comment ref="D1961" authorId="1" shapeId="0" xr:uid="{09F9080A-1E1D-40EE-B2DC-3CA9BDAB9BDE}">
      <text>
        <r>
          <rPr>
            <b/>
            <sz val="9"/>
            <color indexed="81"/>
            <rFont val="MS P ゴシック"/>
            <family val="3"/>
            <charset val="128"/>
          </rPr>
          <t>sunfashion:</t>
        </r>
        <r>
          <rPr>
            <sz val="9"/>
            <color indexed="81"/>
            <rFont val="MS P ゴシック"/>
            <family val="3"/>
            <charset val="128"/>
          </rPr>
          <t xml:space="preserve">
30% 
110</t>
        </r>
      </text>
    </comment>
    <comment ref="F2038" authorId="0" shapeId="0" xr:uid="{2701E492-E199-474D-95EF-E96BDC9558FB}">
      <text>
        <r>
          <rPr>
            <b/>
            <sz val="9"/>
            <color indexed="81"/>
            <rFont val="MS P ゴシック"/>
            <family val="3"/>
            <charset val="128"/>
          </rPr>
          <t>chiba:</t>
        </r>
        <r>
          <rPr>
            <sz val="9"/>
            <color indexed="81"/>
            <rFont val="MS P ゴシック"/>
            <family val="3"/>
            <charset val="128"/>
          </rPr>
          <t xml:space="preserve">
40% 
110
</t>
        </r>
      </text>
    </comment>
    <comment ref="G2041" authorId="1" shapeId="0" xr:uid="{066DCD86-A77C-472D-AD2C-B0067171F4ED}">
      <text>
        <r>
          <rPr>
            <b/>
            <sz val="9"/>
            <color indexed="81"/>
            <rFont val="MS P ゴシック"/>
            <family val="3"/>
            <charset val="128"/>
          </rPr>
          <t>sunfashion:</t>
        </r>
        <r>
          <rPr>
            <sz val="9"/>
            <color indexed="81"/>
            <rFont val="MS P ゴシック"/>
            <family val="3"/>
            <charset val="128"/>
          </rPr>
          <t xml:space="preserve">
25% 
110</t>
        </r>
      </text>
    </comment>
    <comment ref="G2042" authorId="1" shapeId="0" xr:uid="{EECBDC4F-4D17-4367-9C60-47468A5E7BBE}">
      <text>
        <r>
          <rPr>
            <b/>
            <sz val="9"/>
            <color indexed="81"/>
            <rFont val="MS P ゴシック"/>
            <family val="3"/>
            <charset val="128"/>
          </rPr>
          <t>sunfashion:</t>
        </r>
        <r>
          <rPr>
            <sz val="9"/>
            <color indexed="81"/>
            <rFont val="MS P ゴシック"/>
            <family val="3"/>
            <charset val="128"/>
          </rPr>
          <t xml:space="preserve">
25% 
110</t>
        </r>
      </text>
    </comment>
    <comment ref="G2047" authorId="0" shapeId="0" xr:uid="{EA4D838F-6F50-4D40-83A2-EE48932660E8}">
      <text>
        <r>
          <rPr>
            <b/>
            <sz val="9"/>
            <color indexed="81"/>
            <rFont val="MS P ゴシック"/>
            <family val="3"/>
            <charset val="128"/>
          </rPr>
          <t>chiba:</t>
        </r>
        <r>
          <rPr>
            <sz val="9"/>
            <color indexed="81"/>
            <rFont val="MS P ゴシック"/>
            <family val="3"/>
            <charset val="128"/>
          </rPr>
          <t xml:space="preserve">
40% 
110</t>
        </r>
      </text>
    </comment>
    <comment ref="G2048" authorId="0" shapeId="0" xr:uid="{1674D41C-39BB-41E3-9D03-39887CD17D8A}">
      <text>
        <r>
          <rPr>
            <b/>
            <sz val="9"/>
            <color indexed="81"/>
            <rFont val="MS P ゴシック"/>
            <family val="3"/>
            <charset val="128"/>
          </rPr>
          <t>chiba:</t>
        </r>
        <r>
          <rPr>
            <sz val="9"/>
            <color indexed="81"/>
            <rFont val="MS P ゴシック"/>
            <family val="3"/>
            <charset val="128"/>
          </rPr>
          <t xml:space="preserve">
40% 
110</t>
        </r>
      </text>
    </comment>
    <comment ref="G2054" authorId="0" shapeId="0" xr:uid="{F5E93C11-AAB6-4D73-B988-BF9D4E685EF7}">
      <text>
        <r>
          <rPr>
            <b/>
            <sz val="9"/>
            <color indexed="81"/>
            <rFont val="MS P ゴシック"/>
            <family val="3"/>
            <charset val="128"/>
          </rPr>
          <t>chiba:</t>
        </r>
        <r>
          <rPr>
            <sz val="9"/>
            <color indexed="81"/>
            <rFont val="MS P ゴシック"/>
            <family val="3"/>
            <charset val="128"/>
          </rPr>
          <t xml:space="preserve">
40% 
110</t>
        </r>
      </text>
    </comment>
    <comment ref="G2055" authorId="0" shapeId="0" xr:uid="{B80E2E60-789C-452C-9D8E-40F56A0F224B}">
      <text>
        <r>
          <rPr>
            <b/>
            <sz val="9"/>
            <color indexed="81"/>
            <rFont val="MS P ゴシック"/>
            <family val="3"/>
            <charset val="128"/>
          </rPr>
          <t>chiba:</t>
        </r>
        <r>
          <rPr>
            <sz val="9"/>
            <color indexed="81"/>
            <rFont val="MS P ゴシック"/>
            <family val="3"/>
            <charset val="128"/>
          </rPr>
          <t xml:space="preserve">
40% 
110
キナリ単価</t>
        </r>
      </text>
    </comment>
    <comment ref="F2064" authorId="0" shapeId="0" xr:uid="{1CC81415-BD0D-4CAF-93C6-64026EEEED56}">
      <text>
        <r>
          <rPr>
            <b/>
            <sz val="9"/>
            <color indexed="81"/>
            <rFont val="MS P ゴシック"/>
            <family val="3"/>
            <charset val="128"/>
          </rPr>
          <t>chiba:</t>
        </r>
        <r>
          <rPr>
            <sz val="9"/>
            <color indexed="81"/>
            <rFont val="MS P ゴシック"/>
            <family val="3"/>
            <charset val="128"/>
          </rPr>
          <t xml:space="preserve">
40% 
110
</t>
        </r>
      </text>
    </comment>
    <comment ref="F2072" authorId="1" shapeId="0" xr:uid="{C85B6CA1-3647-4F19-A689-731D958128B9}">
      <text>
        <r>
          <rPr>
            <b/>
            <sz val="9"/>
            <color indexed="81"/>
            <rFont val="MS P ゴシック"/>
            <family val="3"/>
            <charset val="128"/>
          </rPr>
          <t>sunfashion:</t>
        </r>
        <r>
          <rPr>
            <sz val="9"/>
            <color indexed="81"/>
            <rFont val="MS P ゴシック"/>
            <family val="3"/>
            <charset val="128"/>
          </rPr>
          <t xml:space="preserve">
約40 % 
110</t>
        </r>
      </text>
    </comment>
    <comment ref="D2077" authorId="1" shapeId="0" xr:uid="{B09386DF-B4F7-4BB3-800A-76C091B576F5}">
      <text>
        <r>
          <rPr>
            <b/>
            <sz val="9"/>
            <color indexed="81"/>
            <rFont val="MS P ゴシック"/>
            <family val="3"/>
            <charset val="128"/>
          </rPr>
          <t>sunfashion:</t>
        </r>
        <r>
          <rPr>
            <sz val="9"/>
            <color indexed="81"/>
            <rFont val="MS P ゴシック"/>
            <family val="3"/>
            <charset val="128"/>
          </rPr>
          <t xml:space="preserve">
30 % 
110</t>
        </r>
      </text>
    </comment>
    <comment ref="F2083" authorId="0" shapeId="0" xr:uid="{0B3844AD-763C-46D1-8E52-CB6E86EB082B}">
      <text>
        <r>
          <rPr>
            <b/>
            <sz val="9"/>
            <color indexed="81"/>
            <rFont val="MS P ゴシック"/>
            <family val="3"/>
            <charset val="128"/>
          </rPr>
          <t>chiba:</t>
        </r>
        <r>
          <rPr>
            <sz val="9"/>
            <color indexed="81"/>
            <rFont val="MS P ゴシック"/>
            <family val="3"/>
            <charset val="128"/>
          </rPr>
          <t xml:space="preserve">
40% 
110
</t>
        </r>
      </text>
    </comment>
    <comment ref="F2084" authorId="0" shapeId="0" xr:uid="{F1F16CDB-C5A8-4505-AB3E-0BD715A2AA4A}">
      <text>
        <r>
          <rPr>
            <b/>
            <sz val="9"/>
            <color indexed="81"/>
            <rFont val="MS P ゴシック"/>
            <family val="3"/>
            <charset val="128"/>
          </rPr>
          <t>chiba:</t>
        </r>
        <r>
          <rPr>
            <sz val="9"/>
            <color indexed="81"/>
            <rFont val="MS P ゴシック"/>
            <family val="3"/>
            <charset val="128"/>
          </rPr>
          <t xml:space="preserve">
40% 
110
</t>
        </r>
      </text>
    </comment>
    <comment ref="G2090" authorId="0" shapeId="0" xr:uid="{AE7E7B2F-57D1-4571-A23F-B93AE1C95238}">
      <text>
        <r>
          <rPr>
            <b/>
            <sz val="9"/>
            <color indexed="81"/>
            <rFont val="MS P ゴシック"/>
            <family val="3"/>
            <charset val="128"/>
          </rPr>
          <t>chiba:</t>
        </r>
        <r>
          <rPr>
            <sz val="9"/>
            <color indexed="81"/>
            <rFont val="MS P ゴシック"/>
            <family val="3"/>
            <charset val="128"/>
          </rPr>
          <t xml:space="preserve">
40% 
110</t>
        </r>
      </text>
    </comment>
    <comment ref="G2091" authorId="0" shapeId="0" xr:uid="{FD8E967A-A8CD-4DCF-82C6-C12FF9EA3B3F}">
      <text>
        <r>
          <rPr>
            <b/>
            <sz val="9"/>
            <color indexed="81"/>
            <rFont val="MS P ゴシック"/>
            <family val="3"/>
            <charset val="128"/>
          </rPr>
          <t>chiba:</t>
        </r>
        <r>
          <rPr>
            <sz val="9"/>
            <color indexed="81"/>
            <rFont val="MS P ゴシック"/>
            <family val="3"/>
            <charset val="128"/>
          </rPr>
          <t xml:space="preserve">
40% 
110</t>
        </r>
      </text>
    </comment>
    <comment ref="D2113" authorId="1" shapeId="0" xr:uid="{4410195D-CD5A-4B74-B1B1-05F4F952EA19}">
      <text>
        <r>
          <rPr>
            <b/>
            <sz val="9"/>
            <color indexed="81"/>
            <rFont val="MS P ゴシック"/>
            <family val="3"/>
            <charset val="128"/>
          </rPr>
          <t>sunfashion:</t>
        </r>
        <r>
          <rPr>
            <sz val="9"/>
            <color indexed="81"/>
            <rFont val="MS P ゴシック"/>
            <family val="3"/>
            <charset val="128"/>
          </rPr>
          <t xml:space="preserve">
30%
110
</t>
        </r>
      </text>
    </comment>
    <comment ref="D2114" authorId="1" shapeId="0" xr:uid="{69B92DDA-3D00-4B8A-94EB-8CB1CFFC58CE}">
      <text>
        <r>
          <rPr>
            <b/>
            <sz val="9"/>
            <color indexed="81"/>
            <rFont val="MS P ゴシック"/>
            <family val="3"/>
            <charset val="128"/>
          </rPr>
          <t>sunfashion:</t>
        </r>
        <r>
          <rPr>
            <sz val="9"/>
            <color indexed="81"/>
            <rFont val="MS P ゴシック"/>
            <family val="3"/>
            <charset val="128"/>
          </rPr>
          <t xml:space="preserve">
30%
110
</t>
        </r>
      </text>
    </comment>
    <comment ref="D2119" authorId="1" shapeId="0" xr:uid="{400EC738-B093-489D-B802-AE1F34BD8750}">
      <text>
        <r>
          <rPr>
            <b/>
            <sz val="9"/>
            <color indexed="81"/>
            <rFont val="MS P ゴシック"/>
            <family val="3"/>
            <charset val="128"/>
          </rPr>
          <t>sunfashion:</t>
        </r>
        <r>
          <rPr>
            <sz val="9"/>
            <color indexed="81"/>
            <rFont val="MS P ゴシック"/>
            <family val="3"/>
            <charset val="128"/>
          </rPr>
          <t xml:space="preserve">
30%
110
</t>
        </r>
      </text>
    </comment>
    <comment ref="H2144" authorId="0" shapeId="0" xr:uid="{19560567-5505-47B8-9E2A-DCD85677020A}">
      <text>
        <r>
          <rPr>
            <b/>
            <sz val="9"/>
            <color indexed="81"/>
            <rFont val="MS P ゴシック"/>
            <family val="3"/>
            <charset val="128"/>
          </rPr>
          <t>chiba:</t>
        </r>
        <r>
          <rPr>
            <sz val="9"/>
            <color indexed="81"/>
            <rFont val="MS P ゴシック"/>
            <family val="3"/>
            <charset val="128"/>
          </rPr>
          <t xml:space="preserve">
40% 
110</t>
        </r>
      </text>
    </comment>
    <comment ref="H2145" authorId="0" shapeId="0" xr:uid="{8204E0DB-15CF-4EDD-B159-2CBA02B17441}">
      <text>
        <r>
          <rPr>
            <b/>
            <sz val="9"/>
            <color indexed="81"/>
            <rFont val="MS P ゴシック"/>
            <family val="3"/>
            <charset val="128"/>
          </rPr>
          <t>chiba:</t>
        </r>
        <r>
          <rPr>
            <sz val="9"/>
            <color indexed="81"/>
            <rFont val="MS P ゴシック"/>
            <family val="3"/>
            <charset val="128"/>
          </rPr>
          <t xml:space="preserve">
40% 
110</t>
        </r>
      </text>
    </comment>
    <comment ref="H2146" authorId="0" shapeId="0" xr:uid="{38543CCE-6665-4027-BCDA-FAFA20256938}">
      <text>
        <r>
          <rPr>
            <b/>
            <sz val="9"/>
            <color indexed="81"/>
            <rFont val="MS P ゴシック"/>
            <family val="3"/>
            <charset val="128"/>
          </rPr>
          <t>chiba:</t>
        </r>
        <r>
          <rPr>
            <sz val="9"/>
            <color indexed="81"/>
            <rFont val="MS P ゴシック"/>
            <family val="3"/>
            <charset val="128"/>
          </rPr>
          <t xml:space="preserve">
40% 
110</t>
        </r>
      </text>
    </comment>
    <comment ref="E2153" authorId="1" shapeId="0" xr:uid="{ADC11FF6-DC8A-4CCA-A3F7-12AA2C73EBD8}">
      <text>
        <r>
          <rPr>
            <b/>
            <sz val="9"/>
            <color indexed="81"/>
            <rFont val="MS P ゴシック"/>
            <family val="3"/>
            <charset val="128"/>
          </rPr>
          <t>sunfashion:</t>
        </r>
        <r>
          <rPr>
            <sz val="9"/>
            <color indexed="81"/>
            <rFont val="MS P ゴシック"/>
            <family val="3"/>
            <charset val="128"/>
          </rPr>
          <t xml:space="preserve">
以前単価のまま対応
110</t>
        </r>
      </text>
    </comment>
    <comment ref="H2158" authorId="0" shapeId="0" xr:uid="{68D5F1AE-5B3D-436F-BD26-C4DC73AAD054}">
      <text>
        <r>
          <rPr>
            <b/>
            <sz val="9"/>
            <color indexed="81"/>
            <rFont val="MS P ゴシック"/>
            <family val="3"/>
            <charset val="128"/>
          </rPr>
          <t>chiba:</t>
        </r>
        <r>
          <rPr>
            <sz val="9"/>
            <color indexed="81"/>
            <rFont val="MS P ゴシック"/>
            <family val="3"/>
            <charset val="128"/>
          </rPr>
          <t xml:space="preserve">
40% 
110</t>
        </r>
      </text>
    </comment>
    <comment ref="H2159" authorId="0" shapeId="0" xr:uid="{EAB0206A-B26C-4042-B055-13A75106D3C4}">
      <text>
        <r>
          <rPr>
            <b/>
            <sz val="9"/>
            <color indexed="81"/>
            <rFont val="MS P ゴシック"/>
            <family val="3"/>
            <charset val="128"/>
          </rPr>
          <t>chiba:</t>
        </r>
        <r>
          <rPr>
            <sz val="9"/>
            <color indexed="81"/>
            <rFont val="MS P ゴシック"/>
            <family val="3"/>
            <charset val="128"/>
          </rPr>
          <t xml:space="preserve">
40% 
110</t>
        </r>
      </text>
    </comment>
    <comment ref="F2165" authorId="1" shapeId="0" xr:uid="{FF394264-A4F2-49AF-A3DF-00EC9A891FF3}">
      <text>
        <r>
          <rPr>
            <b/>
            <sz val="9"/>
            <color indexed="81"/>
            <rFont val="MS P ゴシック"/>
            <family val="3"/>
            <charset val="128"/>
          </rPr>
          <t>sunfashion:</t>
        </r>
        <r>
          <rPr>
            <sz val="9"/>
            <color indexed="81"/>
            <rFont val="MS P ゴシック"/>
            <family val="3"/>
            <charset val="128"/>
          </rPr>
          <t xml:space="preserve">
25% 
110</t>
        </r>
      </text>
    </comment>
    <comment ref="G2170" authorId="1" shapeId="0" xr:uid="{0A076960-DB22-4CFC-82F7-80A60C1FB9AB}">
      <text>
        <r>
          <rPr>
            <b/>
            <sz val="9"/>
            <color indexed="81"/>
            <rFont val="MS P ゴシック"/>
            <family val="3"/>
            <charset val="128"/>
          </rPr>
          <t>sunfashion:</t>
        </r>
        <r>
          <rPr>
            <sz val="9"/>
            <color indexed="81"/>
            <rFont val="MS P ゴシック"/>
            <family val="3"/>
            <charset val="128"/>
          </rPr>
          <t xml:space="preserve">
47%（max border  ÷0.53) 
レート125
</t>
        </r>
      </text>
    </comment>
    <comment ref="G2171" authorId="1" shapeId="0" xr:uid="{ADD0933A-B337-425C-9137-67A97E58044E}">
      <text>
        <r>
          <rPr>
            <b/>
            <sz val="9"/>
            <color indexed="81"/>
            <rFont val="MS P ゴシック"/>
            <family val="3"/>
            <charset val="128"/>
          </rPr>
          <t>sunfashion:</t>
        </r>
        <r>
          <rPr>
            <sz val="9"/>
            <color indexed="81"/>
            <rFont val="MS P ゴシック"/>
            <family val="3"/>
            <charset val="128"/>
          </rPr>
          <t xml:space="preserve">
47%（max border  ÷0.53) 
レート125
</t>
        </r>
      </text>
    </comment>
    <comment ref="G2172" authorId="1" shapeId="0" xr:uid="{6B46FC27-DB11-4DB3-8AE3-1311633137BA}">
      <text>
        <r>
          <rPr>
            <b/>
            <sz val="9"/>
            <color indexed="81"/>
            <rFont val="MS P ゴシック"/>
            <family val="3"/>
            <charset val="128"/>
          </rPr>
          <t>sunfashion:</t>
        </r>
        <r>
          <rPr>
            <sz val="9"/>
            <color indexed="81"/>
            <rFont val="MS P ゴシック"/>
            <family val="3"/>
            <charset val="128"/>
          </rPr>
          <t xml:space="preserve">
47%（max border  ÷0.53) 
レート125
</t>
        </r>
      </text>
    </comment>
    <comment ref="G2173" authorId="1" shapeId="0" xr:uid="{DE78F266-3FE4-4402-B92B-C28084D0A8FB}">
      <text>
        <r>
          <rPr>
            <b/>
            <sz val="9"/>
            <color indexed="81"/>
            <rFont val="MS P ゴシック"/>
            <family val="3"/>
            <charset val="128"/>
          </rPr>
          <t>sunfashion:</t>
        </r>
        <r>
          <rPr>
            <sz val="9"/>
            <color indexed="81"/>
            <rFont val="MS P ゴシック"/>
            <family val="3"/>
            <charset val="128"/>
          </rPr>
          <t xml:space="preserve">
47%（max border  ÷0.53) 
レート125
</t>
        </r>
      </text>
    </comment>
    <comment ref="D2180" authorId="1" shapeId="0" xr:uid="{A25A60AD-E51C-4FBA-B9B6-21D5C08EE8AD}">
      <text>
        <r>
          <rPr>
            <b/>
            <sz val="9"/>
            <color indexed="81"/>
            <rFont val="MS P ゴシック"/>
            <family val="3"/>
            <charset val="128"/>
          </rPr>
          <t>sunfashion:</t>
        </r>
        <r>
          <rPr>
            <sz val="9"/>
            <color indexed="81"/>
            <rFont val="MS P ゴシック"/>
            <family val="3"/>
            <charset val="128"/>
          </rPr>
          <t xml:space="preserve">
レート125円
47%（トリムmax border 47% ÷0.53) </t>
        </r>
      </text>
    </comment>
    <comment ref="E2184" authorId="1" shapeId="0" xr:uid="{EEAE29C6-94C4-4BDD-9F40-D9AD27A6367D}">
      <text>
        <r>
          <rPr>
            <b/>
            <sz val="9"/>
            <color indexed="81"/>
            <rFont val="MS P ゴシック"/>
            <family val="3"/>
            <charset val="128"/>
          </rPr>
          <t>sunfashion:</t>
        </r>
        <r>
          <rPr>
            <sz val="9"/>
            <color indexed="81"/>
            <rFont val="MS P ゴシック"/>
            <family val="3"/>
            <charset val="128"/>
          </rPr>
          <t xml:space="preserve">
レート125円
47%（トリムmax border 47% ÷0.53) </t>
        </r>
      </text>
    </comment>
    <comment ref="E2185" authorId="1" shapeId="0" xr:uid="{66BCEED8-63D1-4BAC-B9B1-AF087D4B570F}">
      <text>
        <r>
          <rPr>
            <b/>
            <sz val="9"/>
            <color indexed="81"/>
            <rFont val="MS P ゴシック"/>
            <family val="3"/>
            <charset val="128"/>
          </rPr>
          <t>sunfashion:</t>
        </r>
        <r>
          <rPr>
            <sz val="9"/>
            <color indexed="81"/>
            <rFont val="MS P ゴシック"/>
            <family val="3"/>
            <charset val="128"/>
          </rPr>
          <t xml:space="preserve">
レート125円
47%（トリムmax border 47% ÷0.53) </t>
        </r>
      </text>
    </comment>
    <comment ref="G2189" authorId="1" shapeId="0" xr:uid="{23AF201A-B6F7-4CB2-9557-8575F1EC3179}">
      <text>
        <r>
          <rPr>
            <b/>
            <sz val="9"/>
            <color indexed="81"/>
            <rFont val="MS P ゴシック"/>
            <family val="3"/>
            <charset val="128"/>
          </rPr>
          <t>sunfashion:</t>
        </r>
        <r>
          <rPr>
            <sz val="9"/>
            <color indexed="81"/>
            <rFont val="MS P ゴシック"/>
            <family val="3"/>
            <charset val="128"/>
          </rPr>
          <t xml:space="preserve">
47%（max border  ÷0.53) 
レート125
</t>
        </r>
      </text>
    </comment>
    <comment ref="G2190" authorId="1" shapeId="0" xr:uid="{6332A94D-363D-4141-BD0B-480FFCA1FB26}">
      <text>
        <r>
          <rPr>
            <b/>
            <sz val="9"/>
            <color indexed="81"/>
            <rFont val="MS P ゴシック"/>
            <family val="3"/>
            <charset val="128"/>
          </rPr>
          <t>sunfashion:</t>
        </r>
        <r>
          <rPr>
            <sz val="9"/>
            <color indexed="81"/>
            <rFont val="MS P ゴシック"/>
            <family val="3"/>
            <charset val="128"/>
          </rPr>
          <t xml:space="preserve">
47%（max border  ÷0.53) 
レート125
</t>
        </r>
      </text>
    </comment>
    <comment ref="G2195" authorId="1" shapeId="0" xr:uid="{8E19B2E7-5F86-46BD-843C-E570DFBBB845}">
      <text>
        <r>
          <rPr>
            <b/>
            <sz val="9"/>
            <color indexed="81"/>
            <rFont val="MS P ゴシック"/>
            <family val="3"/>
            <charset val="128"/>
          </rPr>
          <t>sunfashion:</t>
        </r>
        <r>
          <rPr>
            <sz val="9"/>
            <color indexed="81"/>
            <rFont val="MS P ゴシック"/>
            <family val="3"/>
            <charset val="128"/>
          </rPr>
          <t xml:space="preserve">
30% 
125</t>
        </r>
      </text>
    </comment>
    <comment ref="G2196" authorId="1" shapeId="0" xr:uid="{AA72DEA2-3D2C-4288-8478-83A6B5D5EC9B}">
      <text>
        <r>
          <rPr>
            <b/>
            <sz val="9"/>
            <color indexed="81"/>
            <rFont val="MS P ゴシック"/>
            <family val="3"/>
            <charset val="128"/>
          </rPr>
          <t>sunfashion:</t>
        </r>
        <r>
          <rPr>
            <sz val="9"/>
            <color indexed="81"/>
            <rFont val="MS P ゴシック"/>
            <family val="3"/>
            <charset val="128"/>
          </rPr>
          <t xml:space="preserve">
30% 
125</t>
        </r>
      </text>
    </comment>
    <comment ref="G2215" authorId="1" shapeId="0" xr:uid="{2651E464-7538-4F15-A76F-8FEC8DD8559A}">
      <text>
        <r>
          <rPr>
            <b/>
            <sz val="9"/>
            <color indexed="81"/>
            <rFont val="MS P ゴシック"/>
            <family val="3"/>
            <charset val="128"/>
          </rPr>
          <t>sunfashion:</t>
        </r>
        <r>
          <rPr>
            <sz val="9"/>
            <color indexed="81"/>
            <rFont val="MS P ゴシック"/>
            <family val="3"/>
            <charset val="128"/>
          </rPr>
          <t xml:space="preserve">
30% 
125</t>
        </r>
      </text>
    </comment>
    <comment ref="G2216" authorId="1" shapeId="0" xr:uid="{9A607464-0C48-4EE9-948D-D5BC6E7E50BA}">
      <text>
        <r>
          <rPr>
            <b/>
            <sz val="9"/>
            <color indexed="81"/>
            <rFont val="MS P ゴシック"/>
            <family val="3"/>
            <charset val="128"/>
          </rPr>
          <t>sunfashion:</t>
        </r>
        <r>
          <rPr>
            <sz val="9"/>
            <color indexed="81"/>
            <rFont val="MS P ゴシック"/>
            <family val="3"/>
            <charset val="128"/>
          </rPr>
          <t xml:space="preserve">
34% （÷ 0.66) 
125円</t>
        </r>
      </text>
    </comment>
    <comment ref="G2217" authorId="1" shapeId="0" xr:uid="{B08417D7-4D32-45A8-AB30-972CEE46F441}">
      <text>
        <r>
          <rPr>
            <b/>
            <sz val="9"/>
            <color indexed="81"/>
            <rFont val="MS P ゴシック"/>
            <family val="3"/>
            <charset val="128"/>
          </rPr>
          <t>sunfashion:</t>
        </r>
        <r>
          <rPr>
            <sz val="9"/>
            <color indexed="81"/>
            <rFont val="MS P ゴシック"/>
            <family val="3"/>
            <charset val="128"/>
          </rPr>
          <t xml:space="preserve">
30% 
125</t>
        </r>
      </text>
    </comment>
    <comment ref="G2218" authorId="1" shapeId="0" xr:uid="{BEFF5E6F-65C6-480E-AF26-B0BE402706E7}">
      <text>
        <r>
          <rPr>
            <b/>
            <sz val="9"/>
            <color indexed="81"/>
            <rFont val="MS P ゴシック"/>
            <family val="3"/>
            <charset val="128"/>
          </rPr>
          <t>sunfashion:</t>
        </r>
        <r>
          <rPr>
            <sz val="9"/>
            <color indexed="81"/>
            <rFont val="MS P ゴシック"/>
            <family val="3"/>
            <charset val="128"/>
          </rPr>
          <t xml:space="preserve">
34% （÷ 0.66) 
125円</t>
        </r>
      </text>
    </comment>
    <comment ref="G2234" authorId="1" shapeId="0" xr:uid="{1113E5C3-E93C-4DF9-94C3-255C4C509135}">
      <text>
        <r>
          <rPr>
            <b/>
            <sz val="9"/>
            <color indexed="81"/>
            <rFont val="MS P ゴシック"/>
            <family val="3"/>
            <charset val="128"/>
          </rPr>
          <t>sunfashion:</t>
        </r>
        <r>
          <rPr>
            <sz val="9"/>
            <color indexed="81"/>
            <rFont val="MS P ゴシック"/>
            <family val="3"/>
            <charset val="128"/>
          </rPr>
          <t xml:space="preserve">
47%（max border  ÷0.53) 
レート125
</t>
        </r>
      </text>
    </comment>
    <comment ref="G2235" authorId="1" shapeId="0" xr:uid="{CC7C7C0A-53A9-40A7-9842-9414D396CCC1}">
      <text>
        <r>
          <rPr>
            <b/>
            <sz val="9"/>
            <color indexed="81"/>
            <rFont val="MS P ゴシック"/>
            <family val="3"/>
            <charset val="128"/>
          </rPr>
          <t>sunfashion:</t>
        </r>
        <r>
          <rPr>
            <sz val="9"/>
            <color indexed="81"/>
            <rFont val="MS P ゴシック"/>
            <family val="3"/>
            <charset val="128"/>
          </rPr>
          <t xml:space="preserve">
47%（max border  ÷0.53) 
レート125
</t>
        </r>
      </text>
    </comment>
    <comment ref="G2236" authorId="1" shapeId="0" xr:uid="{307DD676-3C01-43CB-ACAB-90A7269C4723}">
      <text>
        <r>
          <rPr>
            <b/>
            <sz val="9"/>
            <color indexed="81"/>
            <rFont val="MS P ゴシック"/>
            <family val="3"/>
            <charset val="128"/>
          </rPr>
          <t>sunfashion:</t>
        </r>
        <r>
          <rPr>
            <sz val="9"/>
            <color indexed="81"/>
            <rFont val="MS P ゴシック"/>
            <family val="3"/>
            <charset val="128"/>
          </rPr>
          <t xml:space="preserve">
47%（max border  ÷0.53) 
レート125
</t>
        </r>
      </text>
    </comment>
    <comment ref="E2255" authorId="1" shapeId="0" xr:uid="{AE6C1F6B-820F-45AD-9A08-AB2C59AF0D92}">
      <text>
        <r>
          <rPr>
            <b/>
            <sz val="9"/>
            <color indexed="81"/>
            <rFont val="MS P ゴシック"/>
            <family val="3"/>
            <charset val="128"/>
          </rPr>
          <t>sunfashion:</t>
        </r>
        <r>
          <rPr>
            <sz val="9"/>
            <color indexed="81"/>
            <rFont val="MS P ゴシック"/>
            <family val="3"/>
            <charset val="128"/>
          </rPr>
          <t xml:space="preserve">
20% 
125</t>
        </r>
      </text>
    </comment>
    <comment ref="E2261" authorId="1" shapeId="0" xr:uid="{EA4EC93E-6662-4F18-9E89-026CC17B72BE}">
      <text>
        <r>
          <rPr>
            <b/>
            <sz val="9"/>
            <color indexed="81"/>
            <rFont val="MS P ゴシック"/>
            <family val="3"/>
            <charset val="128"/>
          </rPr>
          <t>sunfashion:</t>
        </r>
        <r>
          <rPr>
            <sz val="9"/>
            <color indexed="81"/>
            <rFont val="MS P ゴシック"/>
            <family val="3"/>
            <charset val="128"/>
          </rPr>
          <t xml:space="preserve">
1000m条件　
改定価格\1,680→￥1,650（2023年3月末迄）</t>
        </r>
      </text>
    </comment>
    <comment ref="E2262" authorId="1" shapeId="0" xr:uid="{96F260A6-8A01-4BB6-BBF0-578D9F1309CA}">
      <text>
        <r>
          <rPr>
            <b/>
            <sz val="9"/>
            <color indexed="81"/>
            <rFont val="MS P ゴシック"/>
            <family val="3"/>
            <charset val="128"/>
          </rPr>
          <t>sunfashion:</t>
        </r>
        <r>
          <rPr>
            <sz val="9"/>
            <color indexed="81"/>
            <rFont val="MS P ゴシック"/>
            <family val="3"/>
            <charset val="128"/>
          </rPr>
          <t xml:space="preserve">
1000m条件　
改定価格\1,680→￥1,650（2023年3月末迄）</t>
        </r>
      </text>
    </comment>
    <comment ref="G2329" authorId="1" shapeId="0" xr:uid="{B19FB8D8-3873-4204-986C-F670AFACEDA1}">
      <text>
        <r>
          <rPr>
            <b/>
            <sz val="9"/>
            <color indexed="81"/>
            <rFont val="MS P ゴシック"/>
            <family val="3"/>
            <charset val="128"/>
          </rPr>
          <t>sunfashion:</t>
        </r>
        <r>
          <rPr>
            <sz val="9"/>
            <color indexed="81"/>
            <rFont val="MS P ゴシック"/>
            <family val="3"/>
            <charset val="128"/>
          </rPr>
          <t xml:space="preserve">
20% 
125</t>
        </r>
      </text>
    </comment>
    <comment ref="G2333" authorId="1" shapeId="0" xr:uid="{616F3E64-AD05-4B59-B903-37FF497C3CAC}">
      <text>
        <r>
          <rPr>
            <b/>
            <sz val="9"/>
            <color indexed="81"/>
            <rFont val="MS P ゴシック"/>
            <family val="3"/>
            <charset val="128"/>
          </rPr>
          <t>sunfashion:</t>
        </r>
        <r>
          <rPr>
            <sz val="9"/>
            <color indexed="81"/>
            <rFont val="MS P ゴシック"/>
            <family val="3"/>
            <charset val="128"/>
          </rPr>
          <t xml:space="preserve">
20% 
125</t>
        </r>
      </text>
    </comment>
    <comment ref="G2334" authorId="1" shapeId="0" xr:uid="{6C59837E-779B-4DA7-B603-2012263A75C3}">
      <text>
        <r>
          <rPr>
            <b/>
            <sz val="9"/>
            <color indexed="81"/>
            <rFont val="MS P ゴシック"/>
            <family val="3"/>
            <charset val="128"/>
          </rPr>
          <t>sunfashion:</t>
        </r>
        <r>
          <rPr>
            <sz val="9"/>
            <color indexed="81"/>
            <rFont val="MS P ゴシック"/>
            <family val="3"/>
            <charset val="128"/>
          </rPr>
          <t xml:space="preserve">
20% 
125</t>
        </r>
      </text>
    </comment>
    <comment ref="G2335" authorId="1" shapeId="0" xr:uid="{10EA8274-5089-4163-8053-7A3119EA755C}">
      <text>
        <r>
          <rPr>
            <b/>
            <sz val="9"/>
            <color indexed="81"/>
            <rFont val="MS P ゴシック"/>
            <family val="3"/>
            <charset val="128"/>
          </rPr>
          <t>sunfashion:</t>
        </r>
        <r>
          <rPr>
            <sz val="9"/>
            <color indexed="81"/>
            <rFont val="MS P ゴシック"/>
            <family val="3"/>
            <charset val="128"/>
          </rPr>
          <t xml:space="preserve">
20% 
125</t>
        </r>
      </text>
    </comment>
    <comment ref="E2340" authorId="1" shapeId="0" xr:uid="{4CDB8728-5761-40BE-AF4E-B1B689548158}">
      <text>
        <r>
          <rPr>
            <b/>
            <sz val="9"/>
            <color indexed="81"/>
            <rFont val="MS P ゴシック"/>
            <family val="3"/>
            <charset val="128"/>
          </rPr>
          <t>sunfashion:</t>
        </r>
        <r>
          <rPr>
            <sz val="9"/>
            <color indexed="81"/>
            <rFont val="MS P ゴシック"/>
            <family val="3"/>
            <charset val="128"/>
          </rPr>
          <t xml:space="preserve">
1000m条件　
改定価格\1,680→￥1,650（2023年3月末迄）</t>
        </r>
      </text>
    </comment>
    <comment ref="E2341" authorId="1" shapeId="0" xr:uid="{069EE24B-6063-414A-AE85-CA3407DD98FD}">
      <text>
        <r>
          <rPr>
            <b/>
            <sz val="9"/>
            <color indexed="81"/>
            <rFont val="MS P ゴシック"/>
            <family val="3"/>
            <charset val="128"/>
          </rPr>
          <t>sunfashion:</t>
        </r>
        <r>
          <rPr>
            <sz val="9"/>
            <color indexed="81"/>
            <rFont val="MS P ゴシック"/>
            <family val="3"/>
            <charset val="128"/>
          </rPr>
          <t xml:space="preserve">
1000m条件　
改定価格\1,680→￥1,650（2023年3月末迄）</t>
        </r>
      </text>
    </comment>
    <comment ref="H2345" authorId="1" shapeId="0" xr:uid="{670F7592-6017-4A14-A706-0BB2EDA38EE1}">
      <text>
        <r>
          <rPr>
            <b/>
            <sz val="9"/>
            <color indexed="81"/>
            <rFont val="MS P ゴシック"/>
            <family val="3"/>
            <charset val="128"/>
          </rPr>
          <t>sunfashion:</t>
        </r>
        <r>
          <rPr>
            <sz val="9"/>
            <color indexed="81"/>
            <rFont val="MS P ゴシック"/>
            <family val="3"/>
            <charset val="128"/>
          </rPr>
          <t xml:space="preserve">
20% 
125</t>
        </r>
      </text>
    </comment>
    <comment ref="H2346" authorId="1" shapeId="0" xr:uid="{4DE7B5CC-A771-4671-9B3D-7C5370BA52D4}">
      <text>
        <r>
          <rPr>
            <b/>
            <sz val="9"/>
            <color indexed="81"/>
            <rFont val="MS P ゴシック"/>
            <family val="3"/>
            <charset val="128"/>
          </rPr>
          <t>sunfashion:</t>
        </r>
        <r>
          <rPr>
            <sz val="9"/>
            <color indexed="81"/>
            <rFont val="MS P ゴシック"/>
            <family val="3"/>
            <charset val="128"/>
          </rPr>
          <t xml:space="preserve">
20% 
125</t>
        </r>
      </text>
    </comment>
    <comment ref="H2347" authorId="1" shapeId="0" xr:uid="{0EC9E7C9-9409-4965-9674-3B7615E1412A}">
      <text>
        <r>
          <rPr>
            <b/>
            <sz val="9"/>
            <color indexed="81"/>
            <rFont val="MS P ゴシック"/>
            <family val="3"/>
            <charset val="128"/>
          </rPr>
          <t>sunfashion:</t>
        </r>
        <r>
          <rPr>
            <sz val="9"/>
            <color indexed="81"/>
            <rFont val="MS P ゴシック"/>
            <family val="3"/>
            <charset val="128"/>
          </rPr>
          <t xml:space="preserve">
20% 
125</t>
        </r>
      </text>
    </comment>
    <comment ref="A2352" authorId="0" shapeId="0" xr:uid="{558EBAC7-C4CC-41AA-999A-8B8873E20EAB}">
      <text>
        <r>
          <rPr>
            <b/>
            <sz val="9"/>
            <color indexed="81"/>
            <rFont val="MS P ゴシック"/>
            <family val="3"/>
            <charset val="128"/>
          </rPr>
          <t>chiba:</t>
        </r>
        <r>
          <rPr>
            <sz val="9"/>
            <color indexed="81"/>
            <rFont val="MS P ゴシック"/>
            <family val="3"/>
            <charset val="128"/>
          </rPr>
          <t xml:space="preserve">
KKF7203CT-W</t>
        </r>
      </text>
    </comment>
    <comment ref="D2356" authorId="0" shapeId="0" xr:uid="{B1C111A5-FBFC-4392-A35D-84D4EF154B42}">
      <text>
        <r>
          <rPr>
            <b/>
            <sz val="9"/>
            <color indexed="81"/>
            <rFont val="MS P ゴシック"/>
            <family val="3"/>
            <charset val="128"/>
          </rPr>
          <t>chiba:</t>
        </r>
        <r>
          <rPr>
            <sz val="9"/>
            <color indexed="81"/>
            <rFont val="MS P ゴシック"/>
            <family val="3"/>
            <charset val="128"/>
          </rPr>
          <t xml:space="preserve">
旧単価据え置き
約36%</t>
        </r>
      </text>
    </comment>
    <comment ref="D2357" authorId="0" shapeId="0" xr:uid="{5A270493-1B6D-4C50-A27E-E9FEEFEEB784}">
      <text>
        <r>
          <rPr>
            <b/>
            <sz val="9"/>
            <color indexed="81"/>
            <rFont val="MS P ゴシック"/>
            <family val="3"/>
            <charset val="128"/>
          </rPr>
          <t>chiba:</t>
        </r>
        <r>
          <rPr>
            <sz val="9"/>
            <color indexed="81"/>
            <rFont val="MS P ゴシック"/>
            <family val="3"/>
            <charset val="128"/>
          </rPr>
          <t xml:space="preserve">
旧単価据え置き
約33%</t>
        </r>
      </text>
    </comment>
    <comment ref="A2361" authorId="0" shapeId="0" xr:uid="{2FB509A5-71DC-4E61-AFE6-81E4748638A6}">
      <text>
        <r>
          <rPr>
            <b/>
            <sz val="9"/>
            <color indexed="81"/>
            <rFont val="MS P ゴシック"/>
            <family val="3"/>
            <charset val="128"/>
          </rPr>
          <t>chiba:</t>
        </r>
        <r>
          <rPr>
            <sz val="9"/>
            <color indexed="81"/>
            <rFont val="MS P ゴシック"/>
            <family val="3"/>
            <charset val="128"/>
          </rPr>
          <t xml:space="preserve">
KKF7203CT-W</t>
        </r>
      </text>
    </comment>
    <comment ref="E2361" authorId="1" shapeId="0" xr:uid="{079A9586-0405-4235-8CB8-6BB1FB96958C}">
      <text>
        <r>
          <rPr>
            <b/>
            <sz val="9"/>
            <color indexed="81"/>
            <rFont val="MS P ゴシック"/>
            <family val="3"/>
            <charset val="128"/>
          </rPr>
          <t>sunfashion:</t>
        </r>
        <r>
          <rPr>
            <sz val="9"/>
            <color indexed="81"/>
            <rFont val="MS P ゴシック"/>
            <family val="3"/>
            <charset val="128"/>
          </rPr>
          <t xml:space="preserve">
20% 
125
梱包代として20円on して計算</t>
        </r>
      </text>
    </comment>
    <comment ref="H2373" authorId="1" shapeId="0" xr:uid="{F69A271C-A88B-469D-BB19-B8758836FAFC}">
      <text>
        <r>
          <rPr>
            <b/>
            <sz val="9"/>
            <color indexed="81"/>
            <rFont val="MS P ゴシック"/>
            <family val="3"/>
            <charset val="128"/>
          </rPr>
          <t>sunfashion:</t>
        </r>
        <r>
          <rPr>
            <sz val="9"/>
            <color indexed="81"/>
            <rFont val="MS P ゴシック"/>
            <family val="3"/>
            <charset val="128"/>
          </rPr>
          <t xml:space="preserve">
20% 
125</t>
        </r>
      </text>
    </comment>
    <comment ref="H2374" authorId="1" shapeId="0" xr:uid="{0362F6D4-E4ED-4D07-8424-474039ED28B5}">
      <text>
        <r>
          <rPr>
            <b/>
            <sz val="9"/>
            <color indexed="81"/>
            <rFont val="MS P ゴシック"/>
            <family val="3"/>
            <charset val="128"/>
          </rPr>
          <t>sunfashion:</t>
        </r>
        <r>
          <rPr>
            <sz val="9"/>
            <color indexed="81"/>
            <rFont val="MS P ゴシック"/>
            <family val="3"/>
            <charset val="128"/>
          </rPr>
          <t xml:space="preserve">
20% 
125</t>
        </r>
      </text>
    </comment>
    <comment ref="G2380" authorId="1" shapeId="0" xr:uid="{22159E1A-E32C-4972-B762-D69C39ECBCA7}">
      <text>
        <r>
          <rPr>
            <b/>
            <sz val="9"/>
            <color indexed="81"/>
            <rFont val="MS P ゴシック"/>
            <family val="3"/>
            <charset val="128"/>
          </rPr>
          <t>sunfashion:</t>
        </r>
        <r>
          <rPr>
            <sz val="9"/>
            <color indexed="81"/>
            <rFont val="MS P ゴシック"/>
            <family val="3"/>
            <charset val="128"/>
          </rPr>
          <t xml:space="preserve">
30% 
125</t>
        </r>
      </text>
    </comment>
    <comment ref="G2381" authorId="1" shapeId="0" xr:uid="{DA7CBB65-0501-40CD-8D6C-16F6452B4395}">
      <text>
        <r>
          <rPr>
            <b/>
            <sz val="9"/>
            <color indexed="81"/>
            <rFont val="MS P ゴシック"/>
            <family val="3"/>
            <charset val="128"/>
          </rPr>
          <t>sunfashion:</t>
        </r>
        <r>
          <rPr>
            <sz val="9"/>
            <color indexed="81"/>
            <rFont val="MS P ゴシック"/>
            <family val="3"/>
            <charset val="128"/>
          </rPr>
          <t xml:space="preserve">
30% 
125</t>
        </r>
      </text>
    </comment>
    <comment ref="F2387" authorId="1" shapeId="0" xr:uid="{8241F030-98F6-4C4A-9836-34A9A88A19CC}">
      <text>
        <r>
          <rPr>
            <b/>
            <sz val="9"/>
            <color indexed="81"/>
            <rFont val="MS P ゴシック"/>
            <family val="3"/>
            <charset val="128"/>
          </rPr>
          <t>sunfashion:</t>
        </r>
        <r>
          <rPr>
            <sz val="9"/>
            <color indexed="81"/>
            <rFont val="MS P ゴシック"/>
            <family val="3"/>
            <charset val="128"/>
          </rPr>
          <t xml:space="preserve">
30% 
125</t>
        </r>
      </text>
    </comment>
    <comment ref="F2388" authorId="1" shapeId="0" xr:uid="{FDE493EB-A20D-4C9C-8D3D-DB25BC8B8605}">
      <text>
        <r>
          <rPr>
            <b/>
            <sz val="9"/>
            <color indexed="81"/>
            <rFont val="MS P ゴシック"/>
            <family val="3"/>
            <charset val="128"/>
          </rPr>
          <t>sunfashion:</t>
        </r>
        <r>
          <rPr>
            <sz val="9"/>
            <color indexed="81"/>
            <rFont val="MS P ゴシック"/>
            <family val="3"/>
            <charset val="128"/>
          </rPr>
          <t xml:space="preserve">
30% 
125</t>
        </r>
      </text>
    </comment>
    <comment ref="E2392" authorId="0" shapeId="0" xr:uid="{148F9BB1-5666-44C1-95D8-49D6FC1A7033}">
      <text>
        <r>
          <rPr>
            <b/>
            <sz val="9"/>
            <color indexed="81"/>
            <rFont val="MS P ゴシック"/>
            <family val="3"/>
            <charset val="128"/>
          </rPr>
          <t>chiba:</t>
        </r>
        <r>
          <rPr>
            <sz val="9"/>
            <color indexed="81"/>
            <rFont val="MS P ゴシック"/>
            <family val="3"/>
            <charset val="128"/>
          </rPr>
          <t xml:space="preserve">
旧単価据え置き
約36%</t>
        </r>
      </text>
    </comment>
    <comment ref="H2399" authorId="1" shapeId="0" xr:uid="{575C5899-C90C-41BD-8B80-20ECE75E41DA}">
      <text>
        <r>
          <rPr>
            <b/>
            <sz val="9"/>
            <color indexed="81"/>
            <rFont val="MS P ゴシック"/>
            <family val="3"/>
            <charset val="128"/>
          </rPr>
          <t>sunfashion:</t>
        </r>
        <r>
          <rPr>
            <sz val="9"/>
            <color indexed="81"/>
            <rFont val="MS P ゴシック"/>
            <family val="3"/>
            <charset val="128"/>
          </rPr>
          <t xml:space="preserve">
47%（max border  ÷0.53) 
レート125
</t>
        </r>
      </text>
    </comment>
    <comment ref="H2400" authorId="1" shapeId="0" xr:uid="{F6365EAC-C852-474A-8FE1-C387A04B8AEE}">
      <text>
        <r>
          <rPr>
            <b/>
            <sz val="9"/>
            <color indexed="81"/>
            <rFont val="MS P ゴシック"/>
            <family val="3"/>
            <charset val="128"/>
          </rPr>
          <t>sunfashion:</t>
        </r>
        <r>
          <rPr>
            <sz val="9"/>
            <color indexed="81"/>
            <rFont val="MS P ゴシック"/>
            <family val="3"/>
            <charset val="128"/>
          </rPr>
          <t xml:space="preserve">
47%（max border  ÷0.53) 
レート125
</t>
        </r>
      </text>
    </comment>
    <comment ref="H2401" authorId="1" shapeId="0" xr:uid="{A1529861-1D26-4C5B-8C1D-26031AB0EF1F}">
      <text>
        <r>
          <rPr>
            <b/>
            <sz val="9"/>
            <color indexed="81"/>
            <rFont val="MS P ゴシック"/>
            <family val="3"/>
            <charset val="128"/>
          </rPr>
          <t>sunfashion:</t>
        </r>
        <r>
          <rPr>
            <sz val="9"/>
            <color indexed="81"/>
            <rFont val="MS P ゴシック"/>
            <family val="3"/>
            <charset val="128"/>
          </rPr>
          <t xml:space="preserve">
47%（max border  ÷0.53) 
レート125
</t>
        </r>
      </text>
    </comment>
    <comment ref="H2402" authorId="1" shapeId="0" xr:uid="{DA7621A4-37DA-4C6B-902D-AB62E7FA19CD}">
      <text>
        <r>
          <rPr>
            <b/>
            <sz val="9"/>
            <color indexed="81"/>
            <rFont val="MS P ゴシック"/>
            <family val="3"/>
            <charset val="128"/>
          </rPr>
          <t>sunfashion:</t>
        </r>
        <r>
          <rPr>
            <sz val="9"/>
            <color indexed="81"/>
            <rFont val="MS P ゴシック"/>
            <family val="3"/>
            <charset val="128"/>
          </rPr>
          <t xml:space="preserve">
47%（max border  ÷0.53) 
レート125
</t>
        </r>
      </text>
    </comment>
    <comment ref="H2403" authorId="1" shapeId="0" xr:uid="{A9E0C8CD-5DED-48C0-ABF7-39012F729176}">
      <text>
        <r>
          <rPr>
            <b/>
            <sz val="9"/>
            <color indexed="81"/>
            <rFont val="MS P ゴシック"/>
            <family val="3"/>
            <charset val="128"/>
          </rPr>
          <t>sunfashion:</t>
        </r>
        <r>
          <rPr>
            <sz val="9"/>
            <color indexed="81"/>
            <rFont val="MS P ゴシック"/>
            <family val="3"/>
            <charset val="128"/>
          </rPr>
          <t xml:space="preserve">
47%（max border  ÷0.53) 
レート125
</t>
        </r>
      </text>
    </comment>
    <comment ref="H2404" authorId="1" shapeId="0" xr:uid="{12E4DC67-B6AF-49DB-A1E6-95737CE0A822}">
      <text>
        <r>
          <rPr>
            <b/>
            <sz val="9"/>
            <color indexed="81"/>
            <rFont val="MS P ゴシック"/>
            <family val="3"/>
            <charset val="128"/>
          </rPr>
          <t>sunfashion:</t>
        </r>
        <r>
          <rPr>
            <sz val="9"/>
            <color indexed="81"/>
            <rFont val="MS P ゴシック"/>
            <family val="3"/>
            <charset val="128"/>
          </rPr>
          <t xml:space="preserve">
47%（max border  ÷0.53) 
レート125
</t>
        </r>
      </text>
    </comment>
    <comment ref="H2405" authorId="1" shapeId="0" xr:uid="{53913797-2781-491B-8508-B19519D04269}">
      <text>
        <r>
          <rPr>
            <b/>
            <sz val="9"/>
            <color indexed="81"/>
            <rFont val="MS P ゴシック"/>
            <family val="3"/>
            <charset val="128"/>
          </rPr>
          <t>sunfashion:</t>
        </r>
        <r>
          <rPr>
            <sz val="9"/>
            <color indexed="81"/>
            <rFont val="MS P ゴシック"/>
            <family val="3"/>
            <charset val="128"/>
          </rPr>
          <t xml:space="preserve">
47%（max border  ÷0.53) 
レート125
</t>
        </r>
      </text>
    </comment>
    <comment ref="H2407" authorId="1" shapeId="0" xr:uid="{4FAEC677-1474-4966-86D0-74E31F768F23}">
      <text>
        <r>
          <rPr>
            <b/>
            <sz val="9"/>
            <color indexed="81"/>
            <rFont val="MS P ゴシック"/>
            <family val="3"/>
            <charset val="128"/>
          </rPr>
          <t>sunfashion:</t>
        </r>
        <r>
          <rPr>
            <sz val="9"/>
            <color indexed="81"/>
            <rFont val="MS P ゴシック"/>
            <family val="3"/>
            <charset val="128"/>
          </rPr>
          <t xml:space="preserve">
47%（max border  ÷0.53) 
レート125
</t>
        </r>
      </text>
    </comment>
    <comment ref="H2409" authorId="1" shapeId="0" xr:uid="{7195FBFD-7EC0-49AD-A0C6-495BC1392964}">
      <text>
        <r>
          <rPr>
            <b/>
            <sz val="9"/>
            <color indexed="81"/>
            <rFont val="MS P ゴシック"/>
            <family val="3"/>
            <charset val="128"/>
          </rPr>
          <t>sunfashion:</t>
        </r>
        <r>
          <rPr>
            <sz val="9"/>
            <color indexed="81"/>
            <rFont val="MS P ゴシック"/>
            <family val="3"/>
            <charset val="128"/>
          </rPr>
          <t xml:space="preserve">
47%（max border  ÷0.53) 
レート125
</t>
        </r>
      </text>
    </comment>
    <comment ref="H2410" authorId="1" shapeId="0" xr:uid="{50B84E7D-442D-40F6-8BBF-2226111E5CD4}">
      <text>
        <r>
          <rPr>
            <b/>
            <sz val="9"/>
            <color indexed="81"/>
            <rFont val="MS P ゴシック"/>
            <family val="3"/>
            <charset val="128"/>
          </rPr>
          <t>sunfashion:</t>
        </r>
        <r>
          <rPr>
            <sz val="9"/>
            <color indexed="81"/>
            <rFont val="MS P ゴシック"/>
            <family val="3"/>
            <charset val="128"/>
          </rPr>
          <t xml:space="preserve">
47%（max border  ÷0.53) 
レート125
</t>
        </r>
      </text>
    </comment>
    <comment ref="C2420" authorId="0" shapeId="0" xr:uid="{D815E6A0-7E7F-40C1-AAC7-930F97270D44}">
      <text>
        <r>
          <rPr>
            <b/>
            <sz val="9"/>
            <color indexed="81"/>
            <rFont val="MS P ゴシック"/>
            <family val="3"/>
            <charset val="128"/>
          </rPr>
          <t>chiba:</t>
        </r>
        <r>
          <rPr>
            <sz val="9"/>
            <color indexed="81"/>
            <rFont val="MS P ゴシック"/>
            <family val="3"/>
            <charset val="128"/>
          </rPr>
          <t xml:space="preserve">
マス費用5000 + 校正費5000
</t>
        </r>
      </text>
    </comment>
    <comment ref="D2430" authorId="0" shapeId="0" xr:uid="{44BD3833-08D2-4758-986A-1C97705F7E68}">
      <text>
        <r>
          <rPr>
            <b/>
            <sz val="9"/>
            <color indexed="81"/>
            <rFont val="MS P ゴシック"/>
            <family val="3"/>
            <charset val="128"/>
          </rPr>
          <t>chiba:</t>
        </r>
        <r>
          <rPr>
            <sz val="9"/>
            <color indexed="81"/>
            <rFont val="MS P ゴシック"/>
            <family val="3"/>
            <charset val="128"/>
          </rPr>
          <t xml:space="preserve">
旧単価据え置き
20% 
120
</t>
        </r>
      </text>
    </comment>
    <comment ref="D2431" authorId="0" shapeId="0" xr:uid="{A31D3A71-D5E3-42EA-A2CE-2D580865E028}">
      <text>
        <r>
          <rPr>
            <b/>
            <sz val="9"/>
            <color indexed="81"/>
            <rFont val="MS P ゴシック"/>
            <family val="3"/>
            <charset val="128"/>
          </rPr>
          <t>chiba:</t>
        </r>
        <r>
          <rPr>
            <sz val="9"/>
            <color indexed="81"/>
            <rFont val="MS P ゴシック"/>
            <family val="3"/>
            <charset val="128"/>
          </rPr>
          <t xml:space="preserve">
旧単価据え置き
20% 
120
</t>
        </r>
      </text>
    </comment>
    <comment ref="E2436" authorId="1" shapeId="0" xr:uid="{5CD04223-5A59-4EAB-9A5C-F0A33BC5A482}">
      <text>
        <r>
          <rPr>
            <b/>
            <sz val="9"/>
            <color indexed="81"/>
            <rFont val="MS P ゴシック"/>
            <family val="3"/>
            <charset val="128"/>
          </rPr>
          <t>sunfashion:</t>
        </r>
        <r>
          <rPr>
            <sz val="9"/>
            <color indexed="81"/>
            <rFont val="MS P ゴシック"/>
            <family val="3"/>
            <charset val="128"/>
          </rPr>
          <t xml:space="preserve">
20% 
125</t>
        </r>
      </text>
    </comment>
    <comment ref="G2440" authorId="1" shapeId="0" xr:uid="{0A7E5E19-89C7-4256-8C6F-4B8A521FD401}">
      <text>
        <r>
          <rPr>
            <b/>
            <sz val="9"/>
            <color indexed="81"/>
            <rFont val="MS P ゴシック"/>
            <family val="3"/>
            <charset val="128"/>
          </rPr>
          <t>sunfashion:</t>
        </r>
        <r>
          <rPr>
            <sz val="9"/>
            <color indexed="81"/>
            <rFont val="MS P ゴシック"/>
            <family val="3"/>
            <charset val="128"/>
          </rPr>
          <t xml:space="preserve">
34% （÷ 0.66) 
125円</t>
        </r>
      </text>
    </comment>
    <comment ref="G2441" authorId="1" shapeId="0" xr:uid="{4E72F6E0-1194-4C4C-820A-3BEBE976FD6D}">
      <text>
        <r>
          <rPr>
            <b/>
            <sz val="9"/>
            <color indexed="81"/>
            <rFont val="MS P ゴシック"/>
            <family val="3"/>
            <charset val="128"/>
          </rPr>
          <t>sunfashion:</t>
        </r>
        <r>
          <rPr>
            <sz val="9"/>
            <color indexed="81"/>
            <rFont val="MS P ゴシック"/>
            <family val="3"/>
            <charset val="128"/>
          </rPr>
          <t xml:space="preserve">
34% （÷ 0.66) 
125円</t>
        </r>
      </text>
    </comment>
    <comment ref="H2445" authorId="1" shapeId="0" xr:uid="{526D855F-5974-4168-88AC-ECBF7DA70C49}">
      <text>
        <r>
          <rPr>
            <b/>
            <sz val="9"/>
            <color indexed="81"/>
            <rFont val="MS P ゴシック"/>
            <family val="3"/>
            <charset val="128"/>
          </rPr>
          <t>sunfashion:
1000m 以上特価</t>
        </r>
        <r>
          <rPr>
            <sz val="9"/>
            <color indexed="81"/>
            <rFont val="MS P ゴシック"/>
            <family val="3"/>
            <charset val="128"/>
          </rPr>
          <t xml:space="preserve">
20% 
125</t>
        </r>
      </text>
    </comment>
    <comment ref="N2445" authorId="0" shapeId="0" xr:uid="{5227173B-2BF4-4BE7-AF27-626BA288516A}">
      <text>
        <r>
          <rPr>
            <b/>
            <sz val="9"/>
            <color indexed="81"/>
            <rFont val="MS P ゴシック"/>
            <family val="3"/>
            <charset val="128"/>
          </rPr>
          <t>chiba:</t>
        </r>
        <r>
          <rPr>
            <sz val="9"/>
            <color indexed="81"/>
            <rFont val="MS P ゴシック"/>
            <family val="3"/>
            <charset val="128"/>
          </rPr>
          <t xml:space="preserve">
1000m 以上特価
1650円/m 
</t>
        </r>
      </text>
    </comment>
    <comment ref="H2448" authorId="1" shapeId="0" xr:uid="{0EF5B827-2466-42AB-9C11-B7DAEFE4309A}">
      <text>
        <r>
          <rPr>
            <b/>
            <sz val="9"/>
            <color indexed="81"/>
            <rFont val="MS P ゴシック"/>
            <family val="3"/>
            <charset val="128"/>
          </rPr>
          <t>sunfashion:
1000m 以上特価</t>
        </r>
        <r>
          <rPr>
            <sz val="9"/>
            <color indexed="81"/>
            <rFont val="MS P ゴシック"/>
            <family val="3"/>
            <charset val="128"/>
          </rPr>
          <t xml:space="preserve">
20% 
125</t>
        </r>
      </text>
    </comment>
    <comment ref="G2460" authorId="1" shapeId="0" xr:uid="{A9959ED3-EBEB-4166-9171-A43395F0BC17}">
      <text>
        <r>
          <rPr>
            <b/>
            <sz val="9"/>
            <color indexed="81"/>
            <rFont val="MS P ゴシック"/>
            <family val="3"/>
            <charset val="128"/>
          </rPr>
          <t>sunfashion:</t>
        </r>
        <r>
          <rPr>
            <sz val="9"/>
            <color indexed="81"/>
            <rFont val="MS P ゴシック"/>
            <family val="3"/>
            <charset val="128"/>
          </rPr>
          <t xml:space="preserve">
47%（max border  ÷0.53) 
レート125
</t>
        </r>
      </text>
    </comment>
    <comment ref="G2461" authorId="1" shapeId="0" xr:uid="{908D3A95-AE81-4245-B8C8-E2AF8B2C217D}">
      <text>
        <r>
          <rPr>
            <b/>
            <sz val="9"/>
            <color indexed="81"/>
            <rFont val="MS P ゴシック"/>
            <family val="3"/>
            <charset val="128"/>
          </rPr>
          <t>sunfashion:</t>
        </r>
        <r>
          <rPr>
            <sz val="9"/>
            <color indexed="81"/>
            <rFont val="MS P ゴシック"/>
            <family val="3"/>
            <charset val="128"/>
          </rPr>
          <t xml:space="preserve">
47%（max border  ÷0.53) 
レート125
</t>
        </r>
      </text>
    </comment>
    <comment ref="G2462" authorId="1" shapeId="0" xr:uid="{8653CDD9-61AA-4F0E-B62B-950C8D541B27}">
      <text>
        <r>
          <rPr>
            <b/>
            <sz val="9"/>
            <color indexed="81"/>
            <rFont val="MS P ゴシック"/>
            <family val="3"/>
            <charset val="128"/>
          </rPr>
          <t>sunfashion:</t>
        </r>
        <r>
          <rPr>
            <sz val="9"/>
            <color indexed="81"/>
            <rFont val="MS P ゴシック"/>
            <family val="3"/>
            <charset val="128"/>
          </rPr>
          <t xml:space="preserve">
47%（max border  ÷0.53) 
レート125
</t>
        </r>
      </text>
    </comment>
    <comment ref="G2463" authorId="1" shapeId="0" xr:uid="{B34CCD62-6E78-4C39-A659-F713DDFE7D23}">
      <text>
        <r>
          <rPr>
            <b/>
            <sz val="9"/>
            <color indexed="81"/>
            <rFont val="MS P ゴシック"/>
            <family val="3"/>
            <charset val="128"/>
          </rPr>
          <t>sunfashion:</t>
        </r>
        <r>
          <rPr>
            <sz val="9"/>
            <color indexed="81"/>
            <rFont val="MS P ゴシック"/>
            <family val="3"/>
            <charset val="128"/>
          </rPr>
          <t xml:space="preserve">
47%（max border  ÷0.53) 
レート125
</t>
        </r>
      </text>
    </comment>
    <comment ref="G2464" authorId="1" shapeId="0" xr:uid="{018C309B-58CB-4BAE-845A-1C73913052F6}">
      <text>
        <r>
          <rPr>
            <b/>
            <sz val="9"/>
            <color indexed="81"/>
            <rFont val="MS P ゴシック"/>
            <family val="3"/>
            <charset val="128"/>
          </rPr>
          <t>sunfashion:</t>
        </r>
        <r>
          <rPr>
            <sz val="9"/>
            <color indexed="81"/>
            <rFont val="MS P ゴシック"/>
            <family val="3"/>
            <charset val="128"/>
          </rPr>
          <t xml:space="preserve">
47%（max border  ÷0.53) 
レート125
</t>
        </r>
      </text>
    </comment>
    <comment ref="G2465" authorId="1" shapeId="0" xr:uid="{9BD9FB12-A43E-479A-818A-BB11EF19EE03}">
      <text>
        <r>
          <rPr>
            <b/>
            <sz val="9"/>
            <color indexed="81"/>
            <rFont val="MS P ゴシック"/>
            <family val="3"/>
            <charset val="128"/>
          </rPr>
          <t>sunfashion:</t>
        </r>
        <r>
          <rPr>
            <sz val="9"/>
            <color indexed="81"/>
            <rFont val="MS P ゴシック"/>
            <family val="3"/>
            <charset val="128"/>
          </rPr>
          <t xml:space="preserve">
47%（max border  ÷0.53) 
レート125
</t>
        </r>
      </text>
    </comment>
    <comment ref="H2469" authorId="1" shapeId="0" xr:uid="{50CC3A9E-FE66-423B-AA56-2D56B3476F3E}">
      <text>
        <r>
          <rPr>
            <b/>
            <sz val="9"/>
            <color indexed="81"/>
            <rFont val="MS P ゴシック"/>
            <family val="3"/>
            <charset val="128"/>
          </rPr>
          <t>sunfashion:</t>
        </r>
        <r>
          <rPr>
            <sz val="9"/>
            <color indexed="81"/>
            <rFont val="MS P ゴシック"/>
            <family val="3"/>
            <charset val="128"/>
          </rPr>
          <t xml:space="preserve">
47%（max border  ÷0.53) 
レート125
</t>
        </r>
      </text>
    </comment>
    <comment ref="H2470" authorId="1" shapeId="0" xr:uid="{50B3E49E-8935-47E2-A123-46F700288B07}">
      <text>
        <r>
          <rPr>
            <b/>
            <sz val="9"/>
            <color indexed="81"/>
            <rFont val="MS P ゴシック"/>
            <family val="3"/>
            <charset val="128"/>
          </rPr>
          <t>sunfashion:</t>
        </r>
        <r>
          <rPr>
            <sz val="9"/>
            <color indexed="81"/>
            <rFont val="MS P ゴシック"/>
            <family val="3"/>
            <charset val="128"/>
          </rPr>
          <t xml:space="preserve">
47%（max border  ÷0.53) 
レート125
</t>
        </r>
      </text>
    </comment>
    <comment ref="H2471" authorId="1" shapeId="0" xr:uid="{922E8AA3-DEA5-4524-91C7-2954714D89C7}">
      <text>
        <r>
          <rPr>
            <b/>
            <sz val="9"/>
            <color indexed="81"/>
            <rFont val="MS P ゴシック"/>
            <family val="3"/>
            <charset val="128"/>
          </rPr>
          <t>sunfashion:</t>
        </r>
        <r>
          <rPr>
            <sz val="9"/>
            <color indexed="81"/>
            <rFont val="MS P ゴシック"/>
            <family val="3"/>
            <charset val="128"/>
          </rPr>
          <t xml:space="preserve">
47%（max border  ÷0.53) 
レート125
</t>
        </r>
      </text>
    </comment>
    <comment ref="H2472" authorId="1" shapeId="0" xr:uid="{78AC5C2E-AEC4-4CD6-B5CA-76349388A581}">
      <text>
        <r>
          <rPr>
            <b/>
            <sz val="9"/>
            <color indexed="81"/>
            <rFont val="MS P ゴシック"/>
            <family val="3"/>
            <charset val="128"/>
          </rPr>
          <t>sunfashion:</t>
        </r>
        <r>
          <rPr>
            <sz val="9"/>
            <color indexed="81"/>
            <rFont val="MS P ゴシック"/>
            <family val="3"/>
            <charset val="128"/>
          </rPr>
          <t xml:space="preserve">
47%（max border  ÷0.53) 
レート125
</t>
        </r>
      </text>
    </comment>
    <comment ref="H2473" authorId="1" shapeId="0" xr:uid="{34086B80-22CE-4B88-827B-04CC0069D4B8}">
      <text>
        <r>
          <rPr>
            <b/>
            <sz val="9"/>
            <color indexed="81"/>
            <rFont val="MS P ゴシック"/>
            <family val="3"/>
            <charset val="128"/>
          </rPr>
          <t>sunfashion:</t>
        </r>
        <r>
          <rPr>
            <sz val="9"/>
            <color indexed="81"/>
            <rFont val="MS P ゴシック"/>
            <family val="3"/>
            <charset val="128"/>
          </rPr>
          <t xml:space="preserve">
47%（max border  ÷0.53) 
レート125
</t>
        </r>
      </text>
    </comment>
    <comment ref="H2474" authorId="1" shapeId="0" xr:uid="{E5D632FC-350D-4199-A042-C065A58BE563}">
      <text>
        <r>
          <rPr>
            <b/>
            <sz val="9"/>
            <color indexed="81"/>
            <rFont val="MS P ゴシック"/>
            <family val="3"/>
            <charset val="128"/>
          </rPr>
          <t>sunfashion:</t>
        </r>
        <r>
          <rPr>
            <sz val="9"/>
            <color indexed="81"/>
            <rFont val="MS P ゴシック"/>
            <family val="3"/>
            <charset val="128"/>
          </rPr>
          <t xml:space="preserve">
47%（max border  ÷0.53) 
レート125
</t>
        </r>
      </text>
    </comment>
    <comment ref="H2478" authorId="1" shapeId="0" xr:uid="{2D18C66F-65AA-4346-93B3-B6E6A09DAA6C}">
      <text>
        <r>
          <rPr>
            <b/>
            <sz val="9"/>
            <color indexed="81"/>
            <rFont val="MS P ゴシック"/>
            <family val="3"/>
            <charset val="128"/>
          </rPr>
          <t>sunfashion:</t>
        </r>
        <r>
          <rPr>
            <sz val="9"/>
            <color indexed="81"/>
            <rFont val="MS P ゴシック"/>
            <family val="3"/>
            <charset val="128"/>
          </rPr>
          <t xml:space="preserve">
47%（max border  ÷0.53) 
レート125
</t>
        </r>
      </text>
    </comment>
    <comment ref="H2479" authorId="1" shapeId="0" xr:uid="{62C9A3AF-3FD5-4FB5-8DE6-348027627CE7}">
      <text>
        <r>
          <rPr>
            <b/>
            <sz val="9"/>
            <color indexed="81"/>
            <rFont val="MS P ゴシック"/>
            <family val="3"/>
            <charset val="128"/>
          </rPr>
          <t>sunfashion:</t>
        </r>
        <r>
          <rPr>
            <sz val="9"/>
            <color indexed="81"/>
            <rFont val="MS P ゴシック"/>
            <family val="3"/>
            <charset val="128"/>
          </rPr>
          <t xml:space="preserve">
47%（max border  ÷0.53) 
レート125
</t>
        </r>
      </text>
    </comment>
    <comment ref="H2480" authorId="1" shapeId="0" xr:uid="{4EA950DF-0D3F-4F63-8C9F-19A33EF2C72E}">
      <text>
        <r>
          <rPr>
            <b/>
            <sz val="9"/>
            <color indexed="81"/>
            <rFont val="MS P ゴシック"/>
            <family val="3"/>
            <charset val="128"/>
          </rPr>
          <t>sunfashion:</t>
        </r>
        <r>
          <rPr>
            <sz val="9"/>
            <color indexed="81"/>
            <rFont val="MS P ゴシック"/>
            <family val="3"/>
            <charset val="128"/>
          </rPr>
          <t xml:space="preserve">
47%（max border  ÷0.53) 
レート125
</t>
        </r>
      </text>
    </comment>
    <comment ref="H2481" authorId="1" shapeId="0" xr:uid="{C403BEBB-135C-42DA-8F35-378563B8601C}">
      <text>
        <r>
          <rPr>
            <b/>
            <sz val="9"/>
            <color indexed="81"/>
            <rFont val="MS P ゴシック"/>
            <family val="3"/>
            <charset val="128"/>
          </rPr>
          <t>sunfashion:</t>
        </r>
        <r>
          <rPr>
            <sz val="9"/>
            <color indexed="81"/>
            <rFont val="MS P ゴシック"/>
            <family val="3"/>
            <charset val="128"/>
          </rPr>
          <t xml:space="preserve">
47%（max border  ÷0.53) 
レート125
</t>
        </r>
      </text>
    </comment>
    <comment ref="G2494" authorId="1" shapeId="0" xr:uid="{D14F9B0E-2A4D-4A10-A425-4A097AB62358}">
      <text>
        <r>
          <rPr>
            <b/>
            <sz val="9"/>
            <color indexed="81"/>
            <rFont val="MS P ゴシック"/>
            <family val="3"/>
            <charset val="128"/>
          </rPr>
          <t>sunfashion:
1000m 以上特価</t>
        </r>
        <r>
          <rPr>
            <sz val="9"/>
            <color indexed="81"/>
            <rFont val="MS P ゴシック"/>
            <family val="3"/>
            <charset val="128"/>
          </rPr>
          <t xml:space="preserve">
20% 
125</t>
        </r>
      </text>
    </comment>
    <comment ref="L2494" authorId="0" shapeId="0" xr:uid="{594B4B25-3F70-4594-8EC7-0ECDEF046305}">
      <text>
        <r>
          <rPr>
            <b/>
            <sz val="9"/>
            <color indexed="81"/>
            <rFont val="MS P ゴシック"/>
            <family val="3"/>
            <charset val="128"/>
          </rPr>
          <t>chiba:</t>
        </r>
        <r>
          <rPr>
            <sz val="9"/>
            <color indexed="81"/>
            <rFont val="MS P ゴシック"/>
            <family val="3"/>
            <charset val="128"/>
          </rPr>
          <t xml:space="preserve">
1000m 以上特価
1650円/m 
</t>
        </r>
      </text>
    </comment>
    <comment ref="D2504" authorId="1" shapeId="0" xr:uid="{8D615E12-3B99-41BF-9D75-6325B037CCEA}">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0" authorId="1" shapeId="0" xr:uid="{781324BB-80F8-42D5-9FF5-F6F365044401}">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1" authorId="1" shapeId="0" xr:uid="{53929B7D-803F-41D0-9830-210111E850E0}">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2" authorId="1" shapeId="0" xr:uid="{E4A00DD0-7D6A-45C4-9F58-D537E7A6213F}">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3" authorId="1" shapeId="0" xr:uid="{E2CBEF0A-41FF-47D2-B402-695E6D871DB8}">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4" authorId="1" shapeId="0" xr:uid="{93064F98-AC0A-49A8-A631-C343723DA89F}">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5" authorId="1" shapeId="0" xr:uid="{6A0DD5DA-CB7A-4A00-AF2B-37148538D554}">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6" authorId="1" shapeId="0" xr:uid="{2AADA309-2FF1-4EC7-B4E3-DA3AC066EC4C}">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7" authorId="1" shapeId="0" xr:uid="{BBC87D6F-C033-4818-B268-E438BFE7E1D3}">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8" authorId="1" shapeId="0" xr:uid="{8A97AFEE-38C7-46D4-9F9D-C4720D5C68D2}">
      <text>
        <r>
          <rPr>
            <b/>
            <sz val="9"/>
            <color indexed="81"/>
            <rFont val="MS P ゴシック"/>
            <family val="3"/>
            <charset val="128"/>
          </rPr>
          <t>sunfashion:</t>
        </r>
        <r>
          <rPr>
            <sz val="9"/>
            <color indexed="81"/>
            <rFont val="MS P ゴシック"/>
            <family val="3"/>
            <charset val="128"/>
          </rPr>
          <t xml:space="preserve">
47%（max border  ÷0.53) 
レート125
</t>
        </r>
      </text>
    </comment>
    <comment ref="G2519" authorId="1" shapeId="0" xr:uid="{DF3DEE5C-21A3-4D7D-8A7F-35C596589DA7}">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0" authorId="1" shapeId="0" xr:uid="{64D1E993-E9AB-40E0-AA58-B0AE350DFA86}">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2" authorId="1" shapeId="0" xr:uid="{8DD8C27A-DA78-495A-8D44-E380AC9C1DBB}">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3" authorId="1" shapeId="0" xr:uid="{3E234E7C-F0DE-436D-B6CE-4D6FC2ECC4DA}">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4" authorId="1" shapeId="0" xr:uid="{BC1BE508-A40E-44C6-A8F0-FAC49E0F2697}">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5" authorId="1" shapeId="0" xr:uid="{18C67702-C7D6-47C5-95CF-563DFAC86AEB}">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6" authorId="1" shapeId="0" xr:uid="{1883EF8D-37DE-4CD6-9BA4-A9F9E2525889}">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7" authorId="1" shapeId="0" xr:uid="{A4D1D600-CC17-4E1C-9D81-8F0395AC699C}">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8" authorId="1" shapeId="0" xr:uid="{26FACFD4-D7BF-463C-9463-6DE9E0FFDBA4}">
      <text>
        <r>
          <rPr>
            <b/>
            <sz val="9"/>
            <color indexed="81"/>
            <rFont val="MS P ゴシック"/>
            <family val="3"/>
            <charset val="128"/>
          </rPr>
          <t>sunfashion:</t>
        </r>
        <r>
          <rPr>
            <sz val="9"/>
            <color indexed="81"/>
            <rFont val="MS P ゴシック"/>
            <family val="3"/>
            <charset val="128"/>
          </rPr>
          <t xml:space="preserve">
47%（max border  ÷0.53) 
レート125
</t>
        </r>
      </text>
    </comment>
    <comment ref="G2529" authorId="1" shapeId="0" xr:uid="{D869811E-27D6-4298-9F87-F1404D5AD9AE}">
      <text>
        <r>
          <rPr>
            <b/>
            <sz val="9"/>
            <color indexed="81"/>
            <rFont val="MS P ゴシック"/>
            <family val="3"/>
            <charset val="128"/>
          </rPr>
          <t>sunfashion:</t>
        </r>
        <r>
          <rPr>
            <sz val="9"/>
            <color indexed="81"/>
            <rFont val="MS P ゴシック"/>
            <family val="3"/>
            <charset val="128"/>
          </rPr>
          <t xml:space="preserve">
47%（max border  ÷0.53) 
レート125
</t>
        </r>
      </text>
    </comment>
    <comment ref="G2530" authorId="1" shapeId="0" xr:uid="{5F8F8649-5B9D-42FC-8A4B-46B5008EAD23}">
      <text>
        <r>
          <rPr>
            <b/>
            <sz val="9"/>
            <color indexed="81"/>
            <rFont val="MS P ゴシック"/>
            <family val="3"/>
            <charset val="128"/>
          </rPr>
          <t>sunfashion:</t>
        </r>
        <r>
          <rPr>
            <sz val="9"/>
            <color indexed="81"/>
            <rFont val="MS P ゴシック"/>
            <family val="3"/>
            <charset val="128"/>
          </rPr>
          <t xml:space="preserve">
47%（max border  ÷0.53) 
レート125
</t>
        </r>
      </text>
    </comment>
    <comment ref="D2534" authorId="1" shapeId="0" xr:uid="{F658B044-D8DC-4252-B653-158CF50DE94B}">
      <text>
        <r>
          <rPr>
            <b/>
            <sz val="9"/>
            <color indexed="81"/>
            <rFont val="MS P ゴシック"/>
            <family val="3"/>
            <charset val="128"/>
          </rPr>
          <t>sunfashion:</t>
        </r>
        <r>
          <rPr>
            <sz val="9"/>
            <color indexed="81"/>
            <rFont val="MS P ゴシック"/>
            <family val="3"/>
            <charset val="128"/>
          </rPr>
          <t xml:space="preserve">
47%（max border  ÷0.53) 
レート125
</t>
        </r>
      </text>
    </comment>
    <comment ref="G2538" authorId="1" shapeId="0" xr:uid="{884A3A17-1652-439B-9E2E-133B0ADC2DFC}">
      <text>
        <r>
          <rPr>
            <b/>
            <sz val="9"/>
            <color indexed="81"/>
            <rFont val="MS P ゴシック"/>
            <family val="3"/>
            <charset val="128"/>
          </rPr>
          <t>sunfashion:</t>
        </r>
        <r>
          <rPr>
            <sz val="9"/>
            <color indexed="81"/>
            <rFont val="MS P ゴシック"/>
            <family val="3"/>
            <charset val="128"/>
          </rPr>
          <t xml:space="preserve">
40 % 
125</t>
        </r>
      </text>
    </comment>
    <comment ref="B2546" authorId="0" shapeId="0" xr:uid="{9ED8191D-5EEE-4080-999B-AADDA142B1AD}">
      <text>
        <r>
          <rPr>
            <b/>
            <sz val="9"/>
            <color indexed="81"/>
            <rFont val="MS P ゴシック"/>
            <family val="3"/>
            <charset val="128"/>
          </rPr>
          <t>chiba:</t>
        </r>
        <r>
          <rPr>
            <sz val="9"/>
            <color indexed="81"/>
            <rFont val="MS P ゴシック"/>
            <family val="3"/>
            <charset val="128"/>
          </rPr>
          <t xml:space="preserve">
弱撥水樹脂</t>
        </r>
      </text>
    </comment>
    <comment ref="H2546" authorId="1" shapeId="0" xr:uid="{B6266928-7EAA-4DC8-BB66-52DCF9376822}">
      <text>
        <r>
          <rPr>
            <b/>
            <sz val="9"/>
            <color indexed="81"/>
            <rFont val="MS P ゴシック"/>
            <family val="3"/>
            <charset val="128"/>
          </rPr>
          <t>sunfashion:
1000m 以上特価</t>
        </r>
        <r>
          <rPr>
            <sz val="9"/>
            <color indexed="81"/>
            <rFont val="MS P ゴシック"/>
            <family val="3"/>
            <charset val="128"/>
          </rPr>
          <t xml:space="preserve">
20% 
125</t>
        </r>
      </text>
    </comment>
    <comment ref="B2547" authorId="0" shapeId="0" xr:uid="{8EEF1A71-A830-4123-B62A-1616AC0E6FE1}">
      <text>
        <r>
          <rPr>
            <b/>
            <sz val="9"/>
            <color indexed="81"/>
            <rFont val="MS P ゴシック"/>
            <family val="3"/>
            <charset val="128"/>
          </rPr>
          <t>chiba:</t>
        </r>
        <r>
          <rPr>
            <sz val="9"/>
            <color indexed="81"/>
            <rFont val="MS P ゴシック"/>
            <family val="3"/>
            <charset val="128"/>
          </rPr>
          <t xml:space="preserve">
弱撥水樹脂</t>
        </r>
      </text>
    </comment>
    <comment ref="H2547" authorId="1" shapeId="0" xr:uid="{35AD023B-3236-4A96-ADF5-FC348D1772CB}">
      <text>
        <r>
          <rPr>
            <b/>
            <sz val="9"/>
            <color indexed="81"/>
            <rFont val="MS P ゴシック"/>
            <family val="3"/>
            <charset val="128"/>
          </rPr>
          <t>sunfashion:
1000m 以上特価</t>
        </r>
        <r>
          <rPr>
            <sz val="9"/>
            <color indexed="81"/>
            <rFont val="MS P ゴシック"/>
            <family val="3"/>
            <charset val="128"/>
          </rPr>
          <t xml:space="preserve">
20% 
125</t>
        </r>
      </text>
    </comment>
    <comment ref="H2551" authorId="1" shapeId="0" xr:uid="{79CE8BB8-98F5-41AC-8CF3-FA3EAA5D5588}">
      <text>
        <r>
          <rPr>
            <b/>
            <sz val="9"/>
            <color indexed="81"/>
            <rFont val="MS P ゴシック"/>
            <family val="3"/>
            <charset val="128"/>
          </rPr>
          <t>sunfashion:
1000m 以上特価</t>
        </r>
        <r>
          <rPr>
            <sz val="9"/>
            <color indexed="81"/>
            <rFont val="MS P ゴシック"/>
            <family val="3"/>
            <charset val="128"/>
          </rPr>
          <t xml:space="preserve">
20% 
125</t>
        </r>
      </text>
    </comment>
    <comment ref="H2565" authorId="1" shapeId="0" xr:uid="{217FD4E6-E3A9-4A47-A0F2-3C408D5AE05A}">
      <text>
        <r>
          <rPr>
            <b/>
            <sz val="9"/>
            <color indexed="81"/>
            <rFont val="MS P ゴシック"/>
            <family val="3"/>
            <charset val="128"/>
          </rPr>
          <t>sunfashion:</t>
        </r>
        <r>
          <rPr>
            <sz val="9"/>
            <color indexed="81"/>
            <rFont val="MS P ゴシック"/>
            <family val="3"/>
            <charset val="128"/>
          </rPr>
          <t xml:space="preserve">
abt 40%
レート125
</t>
        </r>
      </text>
    </comment>
    <comment ref="H2566" authorId="1" shapeId="0" xr:uid="{BF57D152-3F91-483A-B3D2-B0371E955FAC}">
      <text>
        <r>
          <rPr>
            <b/>
            <sz val="9"/>
            <color indexed="81"/>
            <rFont val="MS P ゴシック"/>
            <family val="3"/>
            <charset val="128"/>
          </rPr>
          <t>sunfashion:</t>
        </r>
        <r>
          <rPr>
            <sz val="9"/>
            <color indexed="81"/>
            <rFont val="MS P ゴシック"/>
            <family val="3"/>
            <charset val="128"/>
          </rPr>
          <t xml:space="preserve">
abt 40%
レート125
</t>
        </r>
      </text>
    </comment>
    <comment ref="H2567" authorId="1" shapeId="0" xr:uid="{1B8B03FC-DCEC-4CC0-8A77-99C6D7E13A43}">
      <text>
        <r>
          <rPr>
            <b/>
            <sz val="9"/>
            <color indexed="81"/>
            <rFont val="MS P ゴシック"/>
            <family val="3"/>
            <charset val="128"/>
          </rPr>
          <t>sunfashion:</t>
        </r>
        <r>
          <rPr>
            <sz val="9"/>
            <color indexed="81"/>
            <rFont val="MS P ゴシック"/>
            <family val="3"/>
            <charset val="128"/>
          </rPr>
          <t xml:space="preserve">
abt 40%
レート125
</t>
        </r>
      </text>
    </comment>
    <comment ref="H2568" authorId="1" shapeId="0" xr:uid="{DF694A66-DF77-4705-9B75-3DE6FA440ED9}">
      <text>
        <r>
          <rPr>
            <b/>
            <sz val="9"/>
            <color indexed="81"/>
            <rFont val="MS P ゴシック"/>
            <family val="3"/>
            <charset val="128"/>
          </rPr>
          <t>sunfashion:</t>
        </r>
        <r>
          <rPr>
            <sz val="9"/>
            <color indexed="81"/>
            <rFont val="MS P ゴシック"/>
            <family val="3"/>
            <charset val="128"/>
          </rPr>
          <t xml:space="preserve">
abt 40%
レート125
</t>
        </r>
      </text>
    </comment>
    <comment ref="H2569" authorId="1" shapeId="0" xr:uid="{447169F2-9ED3-400D-B844-5ECE00424025}">
      <text>
        <r>
          <rPr>
            <b/>
            <sz val="9"/>
            <color indexed="81"/>
            <rFont val="MS P ゴシック"/>
            <family val="3"/>
            <charset val="128"/>
          </rPr>
          <t>sunfashion:</t>
        </r>
        <r>
          <rPr>
            <sz val="9"/>
            <color indexed="81"/>
            <rFont val="MS P ゴシック"/>
            <family val="3"/>
            <charset val="128"/>
          </rPr>
          <t xml:space="preserve">
abt 40%
レート125
</t>
        </r>
      </text>
    </comment>
    <comment ref="G2587" authorId="1" shapeId="0" xr:uid="{A9F4D87A-C347-425D-A4B7-0D3D8D8244F7}">
      <text>
        <r>
          <rPr>
            <b/>
            <sz val="9"/>
            <color indexed="81"/>
            <rFont val="MS P ゴシック"/>
            <family val="3"/>
            <charset val="128"/>
          </rPr>
          <t>sunfashion:</t>
        </r>
        <r>
          <rPr>
            <sz val="9"/>
            <color indexed="81"/>
            <rFont val="MS P ゴシック"/>
            <family val="3"/>
            <charset val="128"/>
          </rPr>
          <t xml:space="preserve">
abt 40%
レート125
</t>
        </r>
      </text>
    </comment>
    <comment ref="G2588" authorId="1" shapeId="0" xr:uid="{223D0D66-5311-4661-A308-631C9625B0B0}">
      <text>
        <r>
          <rPr>
            <b/>
            <sz val="9"/>
            <color indexed="81"/>
            <rFont val="MS P ゴシック"/>
            <family val="3"/>
            <charset val="128"/>
          </rPr>
          <t>sunfashion:</t>
        </r>
        <r>
          <rPr>
            <sz val="9"/>
            <color indexed="81"/>
            <rFont val="MS P ゴシック"/>
            <family val="3"/>
            <charset val="128"/>
          </rPr>
          <t xml:space="preserve">
abt 40%
レート125
</t>
        </r>
      </text>
    </comment>
    <comment ref="G2589" authorId="1" shapeId="0" xr:uid="{3F672048-F311-4C70-80EB-02AB611E833C}">
      <text>
        <r>
          <rPr>
            <b/>
            <sz val="9"/>
            <color indexed="81"/>
            <rFont val="MS P ゴシック"/>
            <family val="3"/>
            <charset val="128"/>
          </rPr>
          <t>sunfashion:</t>
        </r>
        <r>
          <rPr>
            <sz val="9"/>
            <color indexed="81"/>
            <rFont val="MS P ゴシック"/>
            <family val="3"/>
            <charset val="128"/>
          </rPr>
          <t xml:space="preserve">
abt 40%
レート125
</t>
        </r>
      </text>
    </comment>
    <comment ref="G2590" authorId="1" shapeId="0" xr:uid="{8F7515F8-6F7D-43A7-B5EE-EA6F29831915}">
      <text>
        <r>
          <rPr>
            <b/>
            <sz val="9"/>
            <color indexed="81"/>
            <rFont val="MS P ゴシック"/>
            <family val="3"/>
            <charset val="128"/>
          </rPr>
          <t>sunfashion:</t>
        </r>
        <r>
          <rPr>
            <sz val="9"/>
            <color indexed="81"/>
            <rFont val="MS P ゴシック"/>
            <family val="3"/>
            <charset val="128"/>
          </rPr>
          <t xml:space="preserve">
abt 40%
レート125
</t>
        </r>
      </text>
    </comment>
    <comment ref="G2591" authorId="1" shapeId="0" xr:uid="{00F3BD51-0ACE-482E-8BF4-0BD68327C221}">
      <text>
        <r>
          <rPr>
            <b/>
            <sz val="9"/>
            <color indexed="81"/>
            <rFont val="MS P ゴシック"/>
            <family val="3"/>
            <charset val="128"/>
          </rPr>
          <t>sunfashion:</t>
        </r>
        <r>
          <rPr>
            <sz val="9"/>
            <color indexed="81"/>
            <rFont val="MS P ゴシック"/>
            <family val="3"/>
            <charset val="128"/>
          </rPr>
          <t xml:space="preserve">
abt 40%
レート125
</t>
        </r>
      </text>
    </comment>
    <comment ref="G2595" authorId="1" shapeId="0" xr:uid="{F12AFFD1-A5AC-47A9-8D17-131C15186E57}">
      <text>
        <r>
          <rPr>
            <b/>
            <sz val="9"/>
            <color indexed="81"/>
            <rFont val="MS P ゴシック"/>
            <family val="3"/>
            <charset val="128"/>
          </rPr>
          <t>sunfashion:</t>
        </r>
        <r>
          <rPr>
            <sz val="9"/>
            <color indexed="81"/>
            <rFont val="MS P ゴシック"/>
            <family val="3"/>
            <charset val="128"/>
          </rPr>
          <t xml:space="preserve">
abt 40%
レート125
</t>
        </r>
      </text>
    </comment>
    <comment ref="G2596" authorId="1" shapeId="0" xr:uid="{6DEDD981-D285-4F27-A45D-67ECC89DD58E}">
      <text>
        <r>
          <rPr>
            <b/>
            <sz val="9"/>
            <color indexed="81"/>
            <rFont val="MS P ゴシック"/>
            <family val="3"/>
            <charset val="128"/>
          </rPr>
          <t>sunfashion:</t>
        </r>
        <r>
          <rPr>
            <sz val="9"/>
            <color indexed="81"/>
            <rFont val="MS P ゴシック"/>
            <family val="3"/>
            <charset val="128"/>
          </rPr>
          <t xml:space="preserve">
abt 40%
レート125
</t>
        </r>
      </text>
    </comment>
    <comment ref="G2597" authorId="1" shapeId="0" xr:uid="{E6C6F385-677E-4A5A-8267-AE4BA59723A3}">
      <text>
        <r>
          <rPr>
            <b/>
            <sz val="9"/>
            <color indexed="81"/>
            <rFont val="MS P ゴシック"/>
            <family val="3"/>
            <charset val="128"/>
          </rPr>
          <t>sunfashion:</t>
        </r>
        <r>
          <rPr>
            <sz val="9"/>
            <color indexed="81"/>
            <rFont val="MS P ゴシック"/>
            <family val="3"/>
            <charset val="128"/>
          </rPr>
          <t xml:space="preserve">
abt 40%
レート125
</t>
        </r>
      </text>
    </comment>
    <comment ref="G2598" authorId="1" shapeId="0" xr:uid="{526EF3BC-D07F-401C-9029-36AD5CA3AD69}">
      <text>
        <r>
          <rPr>
            <b/>
            <sz val="9"/>
            <color indexed="81"/>
            <rFont val="MS P ゴシック"/>
            <family val="3"/>
            <charset val="128"/>
          </rPr>
          <t>sunfashion:</t>
        </r>
        <r>
          <rPr>
            <sz val="9"/>
            <color indexed="81"/>
            <rFont val="MS P ゴシック"/>
            <family val="3"/>
            <charset val="128"/>
          </rPr>
          <t xml:space="preserve">
abt 40%
レート125
</t>
        </r>
      </text>
    </comment>
    <comment ref="G2599" authorId="1" shapeId="0" xr:uid="{B15D62D7-D43C-41F9-9F2B-00C9DA47CBDC}">
      <text>
        <r>
          <rPr>
            <b/>
            <sz val="9"/>
            <color indexed="81"/>
            <rFont val="MS P ゴシック"/>
            <family val="3"/>
            <charset val="128"/>
          </rPr>
          <t>sunfashion:</t>
        </r>
        <r>
          <rPr>
            <sz val="9"/>
            <color indexed="81"/>
            <rFont val="MS P ゴシック"/>
            <family val="3"/>
            <charset val="128"/>
          </rPr>
          <t xml:space="preserve">
abt 40%
レート125
</t>
        </r>
      </text>
    </comment>
    <comment ref="G2615" authorId="1" shapeId="0" xr:uid="{211014F4-A267-43E7-971B-A2F77A55984D}">
      <text>
        <r>
          <rPr>
            <b/>
            <sz val="9"/>
            <color indexed="81"/>
            <rFont val="MS P ゴシック"/>
            <family val="3"/>
            <charset val="128"/>
          </rPr>
          <t>sunfashion:</t>
        </r>
        <r>
          <rPr>
            <sz val="9"/>
            <color indexed="81"/>
            <rFont val="MS P ゴシック"/>
            <family val="3"/>
            <charset val="128"/>
          </rPr>
          <t xml:space="preserve">
47%（max border  ÷0.53) 
レート125
</t>
        </r>
      </text>
    </comment>
    <comment ref="G2616" authorId="1" shapeId="0" xr:uid="{E0CA6E51-5587-4D7D-B291-66C888AFD73E}">
      <text>
        <r>
          <rPr>
            <b/>
            <sz val="9"/>
            <color indexed="81"/>
            <rFont val="MS P ゴシック"/>
            <family val="3"/>
            <charset val="128"/>
          </rPr>
          <t>sunfashion:</t>
        </r>
        <r>
          <rPr>
            <sz val="9"/>
            <color indexed="81"/>
            <rFont val="MS P ゴシック"/>
            <family val="3"/>
            <charset val="128"/>
          </rPr>
          <t xml:space="preserve">
47%（max border  ÷0.53) 
レート125
</t>
        </r>
      </text>
    </comment>
    <comment ref="G2617" authorId="1" shapeId="0" xr:uid="{F0912C15-786A-4D0D-8CCE-516F027DB8B2}">
      <text>
        <r>
          <rPr>
            <b/>
            <sz val="9"/>
            <color indexed="81"/>
            <rFont val="MS P ゴシック"/>
            <family val="3"/>
            <charset val="128"/>
          </rPr>
          <t>sunfashion:</t>
        </r>
        <r>
          <rPr>
            <sz val="9"/>
            <color indexed="81"/>
            <rFont val="MS P ゴシック"/>
            <family val="3"/>
            <charset val="128"/>
          </rPr>
          <t xml:space="preserve">
47%（max border  ÷0.53) 
レート125
</t>
        </r>
      </text>
    </comment>
    <comment ref="G2623" authorId="1" shapeId="0" xr:uid="{8DB3DAAE-5772-450A-90C0-DA1CF55EB961}">
      <text>
        <r>
          <rPr>
            <b/>
            <sz val="9"/>
            <color indexed="81"/>
            <rFont val="MS P ゴシック"/>
            <family val="3"/>
            <charset val="128"/>
          </rPr>
          <t>sunfashion:</t>
        </r>
        <r>
          <rPr>
            <sz val="9"/>
            <color indexed="81"/>
            <rFont val="MS P ゴシック"/>
            <family val="3"/>
            <charset val="128"/>
          </rPr>
          <t xml:space="preserve">
47%（max border  ÷0.53) 
レート125
</t>
        </r>
      </text>
    </comment>
    <comment ref="G2627" authorId="1" shapeId="0" xr:uid="{04822C08-544D-43B0-9D42-DDBD5DD87F29}">
      <text>
        <r>
          <rPr>
            <b/>
            <sz val="9"/>
            <color indexed="81"/>
            <rFont val="MS P ゴシック"/>
            <family val="3"/>
            <charset val="128"/>
          </rPr>
          <t>sunfashion:</t>
        </r>
        <r>
          <rPr>
            <sz val="9"/>
            <color indexed="81"/>
            <rFont val="MS P ゴシック"/>
            <family val="3"/>
            <charset val="128"/>
          </rPr>
          <t xml:space="preserve">
47%（max border  ÷0.53) 
レート125
</t>
        </r>
      </text>
    </comment>
    <comment ref="G2634" authorId="1" shapeId="0" xr:uid="{D8CA532B-B0CC-40AC-8F24-1D68431A3110}">
      <text>
        <r>
          <rPr>
            <b/>
            <sz val="9"/>
            <color indexed="81"/>
            <rFont val="MS P ゴシック"/>
            <family val="3"/>
            <charset val="128"/>
          </rPr>
          <t>sunfashion:</t>
        </r>
        <r>
          <rPr>
            <sz val="9"/>
            <color indexed="81"/>
            <rFont val="MS P ゴシック"/>
            <family val="3"/>
            <charset val="128"/>
          </rPr>
          <t xml:space="preserve">
47%（max border  ÷0.53) 
レート125
</t>
        </r>
      </text>
    </comment>
    <comment ref="G2638" authorId="1" shapeId="0" xr:uid="{16EB6C16-B162-4C91-A729-1E773691AF84}">
      <text>
        <r>
          <rPr>
            <b/>
            <sz val="9"/>
            <color indexed="81"/>
            <rFont val="MS P ゴシック"/>
            <family val="3"/>
            <charset val="128"/>
          </rPr>
          <t>sunfashion:</t>
        </r>
        <r>
          <rPr>
            <sz val="9"/>
            <color indexed="81"/>
            <rFont val="MS P ゴシック"/>
            <family val="3"/>
            <charset val="128"/>
          </rPr>
          <t xml:space="preserve">
abt 40%
レート125
</t>
        </r>
      </text>
    </comment>
    <comment ref="G2639" authorId="1" shapeId="0" xr:uid="{DA8F2D86-C549-4A31-925C-2C58AE233DC3}">
      <text>
        <r>
          <rPr>
            <b/>
            <sz val="9"/>
            <color indexed="81"/>
            <rFont val="MS P ゴシック"/>
            <family val="3"/>
            <charset val="128"/>
          </rPr>
          <t>sunfashion:</t>
        </r>
        <r>
          <rPr>
            <sz val="9"/>
            <color indexed="81"/>
            <rFont val="MS P ゴシック"/>
            <family val="3"/>
            <charset val="128"/>
          </rPr>
          <t xml:space="preserve">
abt 40%
レート125
</t>
        </r>
      </text>
    </comment>
    <comment ref="G2641" authorId="1" shapeId="0" xr:uid="{B8D6F65A-B8C0-49DC-84FB-2701961EFD6E}">
      <text>
        <r>
          <rPr>
            <b/>
            <sz val="9"/>
            <color indexed="81"/>
            <rFont val="MS P ゴシック"/>
            <family val="3"/>
            <charset val="128"/>
          </rPr>
          <t>sunfashion:</t>
        </r>
        <r>
          <rPr>
            <sz val="9"/>
            <color indexed="81"/>
            <rFont val="MS P ゴシック"/>
            <family val="3"/>
            <charset val="128"/>
          </rPr>
          <t xml:space="preserve">
abt 40%
レート125
</t>
        </r>
      </text>
    </comment>
    <comment ref="G2642" authorId="1" shapeId="0" xr:uid="{E101C4A3-6266-405A-9050-4A0633F30944}">
      <text>
        <r>
          <rPr>
            <b/>
            <sz val="9"/>
            <color indexed="81"/>
            <rFont val="MS P ゴシック"/>
            <family val="3"/>
            <charset val="128"/>
          </rPr>
          <t>sunfashion:</t>
        </r>
        <r>
          <rPr>
            <sz val="9"/>
            <color indexed="81"/>
            <rFont val="MS P ゴシック"/>
            <family val="3"/>
            <charset val="128"/>
          </rPr>
          <t xml:space="preserve">
abt 40%
レート125
</t>
        </r>
      </text>
    </comment>
    <comment ref="A2646" authorId="0" shapeId="0" xr:uid="{C055AD64-A2EB-455A-A2EB-415AFCCF0662}">
      <text>
        <r>
          <rPr>
            <b/>
            <sz val="9"/>
            <color indexed="81"/>
            <rFont val="MS P ゴシック"/>
            <family val="3"/>
            <charset val="128"/>
          </rPr>
          <t>chiba:</t>
        </r>
        <r>
          <rPr>
            <sz val="9"/>
            <color indexed="81"/>
            <rFont val="MS P ゴシック"/>
            <family val="3"/>
            <charset val="128"/>
          </rPr>
          <t xml:space="preserve">
弱撥水樹脂</t>
        </r>
      </text>
    </comment>
    <comment ref="E2646" authorId="0" shapeId="0" xr:uid="{F5912A62-635E-4C5D-8EE8-5F0D7AE4B14C}">
      <text>
        <r>
          <rPr>
            <b/>
            <sz val="9"/>
            <color indexed="81"/>
            <rFont val="MS P ゴシック"/>
            <family val="3"/>
            <charset val="128"/>
          </rPr>
          <t>chiba:</t>
        </r>
        <r>
          <rPr>
            <sz val="9"/>
            <color indexed="81"/>
            <rFont val="MS P ゴシック"/>
            <family val="3"/>
            <charset val="128"/>
          </rPr>
          <t xml:space="preserve">
通常単価30% 
レート125円
</t>
        </r>
        <r>
          <rPr>
            <sz val="9"/>
            <color indexed="81"/>
            <rFont val="ＭＳ Ｐゴシック"/>
            <family val="3"/>
            <charset val="128"/>
          </rPr>
          <t>€</t>
        </r>
        <r>
          <rPr>
            <sz val="9"/>
            <color indexed="81"/>
            <rFont val="MS P ゴシック"/>
            <family val="3"/>
            <charset val="128"/>
          </rPr>
          <t xml:space="preserve"> 20.35/m
+カット代 </t>
        </r>
        <r>
          <rPr>
            <sz val="9"/>
            <color indexed="81"/>
            <rFont val="ＭＳ Ｐゴシック"/>
            <family val="3"/>
            <charset val="128"/>
          </rPr>
          <t>€</t>
        </r>
        <r>
          <rPr>
            <sz val="9"/>
            <color indexed="81"/>
            <rFont val="MS P ゴシック"/>
            <family val="3"/>
            <charset val="128"/>
          </rPr>
          <t xml:space="preserve">3/m </t>
        </r>
      </text>
    </comment>
    <comment ref="A2651" authorId="0" shapeId="0" xr:uid="{4DE134A6-D6C5-4AAC-BE53-A062574652B6}">
      <text>
        <r>
          <rPr>
            <b/>
            <sz val="9"/>
            <color indexed="81"/>
            <rFont val="MS P ゴシック"/>
            <family val="3"/>
            <charset val="128"/>
          </rPr>
          <t>chiba:</t>
        </r>
        <r>
          <rPr>
            <sz val="9"/>
            <color indexed="81"/>
            <rFont val="MS P ゴシック"/>
            <family val="3"/>
            <charset val="128"/>
          </rPr>
          <t xml:space="preserve">
弱撥水樹脂</t>
        </r>
      </text>
    </comment>
    <comment ref="C2651" authorId="0" shapeId="0" xr:uid="{903EE193-FEDC-43CB-B91C-E02CB13E77F5}">
      <text>
        <r>
          <rPr>
            <b/>
            <sz val="9"/>
            <color indexed="81"/>
            <rFont val="MS P ゴシック"/>
            <family val="3"/>
            <charset val="128"/>
          </rPr>
          <t>chiba:</t>
        </r>
        <r>
          <rPr>
            <sz val="9"/>
            <color indexed="81"/>
            <rFont val="MS P ゴシック"/>
            <family val="3"/>
            <charset val="128"/>
          </rPr>
          <t xml:space="preserve">
通常単価30% 
レート125円
</t>
        </r>
        <r>
          <rPr>
            <sz val="9"/>
            <color indexed="81"/>
            <rFont val="ＭＳ Ｐゴシック"/>
            <family val="3"/>
            <charset val="128"/>
          </rPr>
          <t>€</t>
        </r>
        <r>
          <rPr>
            <sz val="9"/>
            <color indexed="81"/>
            <rFont val="MS P ゴシック"/>
            <family val="3"/>
            <charset val="128"/>
          </rPr>
          <t xml:space="preserve"> 20.35/m
+カット代 </t>
        </r>
        <r>
          <rPr>
            <sz val="9"/>
            <color indexed="81"/>
            <rFont val="ＭＳ Ｐゴシック"/>
            <family val="3"/>
            <charset val="128"/>
          </rPr>
          <t>€</t>
        </r>
        <r>
          <rPr>
            <sz val="9"/>
            <color indexed="81"/>
            <rFont val="MS P ゴシック"/>
            <family val="3"/>
            <charset val="128"/>
          </rPr>
          <t xml:space="preserve">3/m </t>
        </r>
      </text>
    </comment>
    <comment ref="A2652" authorId="0" shapeId="0" xr:uid="{929B4CED-60D3-4E7F-86D0-23749BBBD8F4}">
      <text>
        <r>
          <rPr>
            <b/>
            <sz val="9"/>
            <color indexed="81"/>
            <rFont val="MS P ゴシック"/>
            <family val="3"/>
            <charset val="128"/>
          </rPr>
          <t>chiba:</t>
        </r>
        <r>
          <rPr>
            <sz val="9"/>
            <color indexed="81"/>
            <rFont val="MS P ゴシック"/>
            <family val="3"/>
            <charset val="128"/>
          </rPr>
          <t xml:space="preserve">
弱撥水樹脂</t>
        </r>
      </text>
    </comment>
    <comment ref="C2652" authorId="0" shapeId="0" xr:uid="{2696A31C-4128-477E-8613-BD1F2E61430E}">
      <text>
        <r>
          <rPr>
            <b/>
            <sz val="9"/>
            <color indexed="81"/>
            <rFont val="MS P ゴシック"/>
            <family val="3"/>
            <charset val="128"/>
          </rPr>
          <t>chiba:</t>
        </r>
        <r>
          <rPr>
            <sz val="9"/>
            <color indexed="81"/>
            <rFont val="MS P ゴシック"/>
            <family val="3"/>
            <charset val="128"/>
          </rPr>
          <t xml:space="preserve">
通常単価30% 
レート125円
</t>
        </r>
        <r>
          <rPr>
            <sz val="9"/>
            <color indexed="81"/>
            <rFont val="ＭＳ Ｐゴシック"/>
            <family val="3"/>
            <charset val="128"/>
          </rPr>
          <t>€</t>
        </r>
        <r>
          <rPr>
            <sz val="9"/>
            <color indexed="81"/>
            <rFont val="MS P ゴシック"/>
            <family val="3"/>
            <charset val="128"/>
          </rPr>
          <t xml:space="preserve"> 20.35/m
+カット代 </t>
        </r>
        <r>
          <rPr>
            <sz val="9"/>
            <color indexed="81"/>
            <rFont val="ＭＳ Ｐゴシック"/>
            <family val="3"/>
            <charset val="128"/>
          </rPr>
          <t>€</t>
        </r>
        <r>
          <rPr>
            <sz val="9"/>
            <color indexed="81"/>
            <rFont val="MS P ゴシック"/>
            <family val="3"/>
            <charset val="128"/>
          </rPr>
          <t xml:space="preserve">3/m </t>
        </r>
      </text>
    </comment>
    <comment ref="A2657" authorId="0" shapeId="0" xr:uid="{33DEDE1A-F9C6-426E-A114-BA982244917D}">
      <text>
        <r>
          <rPr>
            <b/>
            <sz val="9"/>
            <color indexed="81"/>
            <rFont val="MS P ゴシック"/>
            <family val="3"/>
            <charset val="128"/>
          </rPr>
          <t>chiba:</t>
        </r>
        <r>
          <rPr>
            <sz val="9"/>
            <color indexed="81"/>
            <rFont val="MS P ゴシック"/>
            <family val="3"/>
            <charset val="128"/>
          </rPr>
          <t xml:space="preserve">
弱撥水樹脂</t>
        </r>
      </text>
    </comment>
    <comment ref="E2657" authorId="0" shapeId="0" xr:uid="{42B6EDD4-9F8F-48EC-90E3-03936D8B2235}">
      <text>
        <r>
          <rPr>
            <b/>
            <sz val="9"/>
            <color indexed="81"/>
            <rFont val="MS P ゴシック"/>
            <family val="3"/>
            <charset val="128"/>
          </rPr>
          <t>chiba:</t>
        </r>
        <r>
          <rPr>
            <sz val="9"/>
            <color indexed="81"/>
            <rFont val="MS P ゴシック"/>
            <family val="3"/>
            <charset val="128"/>
          </rPr>
          <t xml:space="preserve">
通常単価30% 
レート125円
</t>
        </r>
        <r>
          <rPr>
            <sz val="9"/>
            <color indexed="81"/>
            <rFont val="ＭＳ Ｐゴシック"/>
            <family val="3"/>
            <charset val="128"/>
          </rPr>
          <t>€</t>
        </r>
        <r>
          <rPr>
            <sz val="9"/>
            <color indexed="81"/>
            <rFont val="MS P ゴシック"/>
            <family val="3"/>
            <charset val="128"/>
          </rPr>
          <t xml:space="preserve"> 20.35/m
+カット代 </t>
        </r>
        <r>
          <rPr>
            <sz val="9"/>
            <color indexed="81"/>
            <rFont val="ＭＳ Ｐゴシック"/>
            <family val="3"/>
            <charset val="128"/>
          </rPr>
          <t>€</t>
        </r>
        <r>
          <rPr>
            <sz val="9"/>
            <color indexed="81"/>
            <rFont val="MS P ゴシック"/>
            <family val="3"/>
            <charset val="128"/>
          </rPr>
          <t xml:space="preserve">3/m </t>
        </r>
      </text>
    </comment>
    <comment ref="A2658" authorId="0" shapeId="0" xr:uid="{CB3A0DF6-7C88-480D-AEC6-495EA65579A5}">
      <text>
        <r>
          <rPr>
            <b/>
            <sz val="9"/>
            <color indexed="81"/>
            <rFont val="MS P ゴシック"/>
            <family val="3"/>
            <charset val="128"/>
          </rPr>
          <t>chiba:</t>
        </r>
        <r>
          <rPr>
            <sz val="9"/>
            <color indexed="81"/>
            <rFont val="MS P ゴシック"/>
            <family val="3"/>
            <charset val="128"/>
          </rPr>
          <t xml:space="preserve">
弱撥水樹脂</t>
        </r>
      </text>
    </comment>
    <comment ref="E2658" authorId="0" shapeId="0" xr:uid="{EBBC08F8-847A-49D7-B0B0-909AB2FF0C2D}">
      <text>
        <r>
          <rPr>
            <b/>
            <sz val="9"/>
            <color indexed="81"/>
            <rFont val="MS P ゴシック"/>
            <family val="3"/>
            <charset val="128"/>
          </rPr>
          <t>chiba:</t>
        </r>
        <r>
          <rPr>
            <sz val="9"/>
            <color indexed="81"/>
            <rFont val="MS P ゴシック"/>
            <family val="3"/>
            <charset val="128"/>
          </rPr>
          <t xml:space="preserve">
通常単価30% 
レート125円
</t>
        </r>
        <r>
          <rPr>
            <sz val="9"/>
            <color indexed="81"/>
            <rFont val="ＭＳ Ｐゴシック"/>
            <family val="3"/>
            <charset val="128"/>
          </rPr>
          <t>€</t>
        </r>
        <r>
          <rPr>
            <sz val="9"/>
            <color indexed="81"/>
            <rFont val="MS P ゴシック"/>
            <family val="3"/>
            <charset val="128"/>
          </rPr>
          <t xml:space="preserve"> 20.35/m
+カット代 </t>
        </r>
        <r>
          <rPr>
            <sz val="9"/>
            <color indexed="81"/>
            <rFont val="ＭＳ Ｐゴシック"/>
            <family val="3"/>
            <charset val="128"/>
          </rPr>
          <t>€</t>
        </r>
        <r>
          <rPr>
            <sz val="9"/>
            <color indexed="81"/>
            <rFont val="MS P ゴシック"/>
            <family val="3"/>
            <charset val="128"/>
          </rPr>
          <t xml:space="preserve">3/m </t>
        </r>
      </text>
    </comment>
    <comment ref="A2661" authorId="0" shapeId="0" xr:uid="{D3560473-6584-4502-AEE5-8365630658A1}">
      <text>
        <r>
          <rPr>
            <b/>
            <sz val="9"/>
            <color indexed="81"/>
            <rFont val="MS P ゴシック"/>
            <family val="3"/>
            <charset val="128"/>
          </rPr>
          <t>chiba:</t>
        </r>
        <r>
          <rPr>
            <sz val="9"/>
            <color indexed="81"/>
            <rFont val="MS P ゴシック"/>
            <family val="3"/>
            <charset val="128"/>
          </rPr>
          <t xml:space="preserve">
弱撥水樹脂</t>
        </r>
      </text>
    </comment>
    <comment ref="E2661" authorId="0" shapeId="0" xr:uid="{49CB793B-44A6-443E-8C33-085C6D560EB9}">
      <text>
        <r>
          <rPr>
            <b/>
            <sz val="9"/>
            <color indexed="81"/>
            <rFont val="MS P ゴシック"/>
            <family val="3"/>
            <charset val="128"/>
          </rPr>
          <t>chiba:</t>
        </r>
        <r>
          <rPr>
            <sz val="9"/>
            <color indexed="81"/>
            <rFont val="MS P ゴシック"/>
            <family val="3"/>
            <charset val="128"/>
          </rPr>
          <t xml:space="preserve">
通常単価30% 
レート125円
</t>
        </r>
        <r>
          <rPr>
            <sz val="9"/>
            <color indexed="81"/>
            <rFont val="ＭＳ Ｐゴシック"/>
            <family val="3"/>
            <charset val="128"/>
          </rPr>
          <t>€</t>
        </r>
        <r>
          <rPr>
            <sz val="9"/>
            <color indexed="81"/>
            <rFont val="MS P ゴシック"/>
            <family val="3"/>
            <charset val="128"/>
          </rPr>
          <t xml:space="preserve"> 20.35/m
+カット代 </t>
        </r>
        <r>
          <rPr>
            <sz val="9"/>
            <color indexed="81"/>
            <rFont val="ＭＳ Ｐゴシック"/>
            <family val="3"/>
            <charset val="128"/>
          </rPr>
          <t>€</t>
        </r>
        <r>
          <rPr>
            <sz val="9"/>
            <color indexed="81"/>
            <rFont val="MS P ゴシック"/>
            <family val="3"/>
            <charset val="128"/>
          </rPr>
          <t xml:space="preserve">3/m </t>
        </r>
      </text>
    </comment>
    <comment ref="D2686" authorId="1" shapeId="0" xr:uid="{4F3FDA20-6B3F-42C5-A10C-71E7456B9102}">
      <text>
        <r>
          <rPr>
            <b/>
            <sz val="9"/>
            <color indexed="81"/>
            <rFont val="MS P ゴシック"/>
            <family val="3"/>
            <charset val="128"/>
          </rPr>
          <t>sunfashion:</t>
        </r>
        <r>
          <rPr>
            <sz val="9"/>
            <color indexed="81"/>
            <rFont val="MS P ゴシック"/>
            <family val="3"/>
            <charset val="128"/>
          </rPr>
          <t xml:space="preserve">
47%（max border  ÷0.53) 
レート125</t>
        </r>
      </text>
    </comment>
    <comment ref="D2687" authorId="1" shapeId="0" xr:uid="{76E575A0-7C62-4B90-922D-6BA7BB1CADA9}">
      <text>
        <r>
          <rPr>
            <b/>
            <sz val="9"/>
            <color indexed="81"/>
            <rFont val="MS P ゴシック"/>
            <family val="3"/>
            <charset val="128"/>
          </rPr>
          <t>sunfashion:</t>
        </r>
        <r>
          <rPr>
            <sz val="9"/>
            <color indexed="81"/>
            <rFont val="MS P ゴシック"/>
            <family val="3"/>
            <charset val="128"/>
          </rPr>
          <t xml:space="preserve">
47%（max border  ÷0.53) 
レート125</t>
        </r>
      </text>
    </comment>
    <comment ref="D2688" authorId="1" shapeId="0" xr:uid="{ADF764E4-8B13-40CE-BCDE-223431083894}">
      <text>
        <r>
          <rPr>
            <b/>
            <sz val="9"/>
            <color indexed="81"/>
            <rFont val="MS P ゴシック"/>
            <family val="3"/>
            <charset val="128"/>
          </rPr>
          <t>sunfashion:</t>
        </r>
        <r>
          <rPr>
            <sz val="9"/>
            <color indexed="81"/>
            <rFont val="MS P ゴシック"/>
            <family val="3"/>
            <charset val="128"/>
          </rPr>
          <t xml:space="preserve">
47%（max border  ÷0.53) 
レート125</t>
        </r>
      </text>
    </comment>
    <comment ref="D2691" authorId="1" shapeId="0" xr:uid="{5FFEA20F-C27B-43E3-927C-E9B175F6EFE4}">
      <text>
        <r>
          <rPr>
            <b/>
            <sz val="9"/>
            <color indexed="81"/>
            <rFont val="MS P ゴシック"/>
            <family val="3"/>
            <charset val="128"/>
          </rPr>
          <t>sunfashion:</t>
        </r>
        <r>
          <rPr>
            <sz val="9"/>
            <color indexed="81"/>
            <rFont val="MS P ゴシック"/>
            <family val="3"/>
            <charset val="128"/>
          </rPr>
          <t xml:space="preserve">
47%（max border  ÷0.53) 
レート125</t>
        </r>
      </text>
    </comment>
    <comment ref="D2692" authorId="1" shapeId="0" xr:uid="{409F9C59-CC6A-4F1D-866D-B240B1736ADB}">
      <text>
        <r>
          <rPr>
            <b/>
            <sz val="9"/>
            <color indexed="81"/>
            <rFont val="MS P ゴシック"/>
            <family val="3"/>
            <charset val="128"/>
          </rPr>
          <t>sunfashion:</t>
        </r>
        <r>
          <rPr>
            <sz val="9"/>
            <color indexed="81"/>
            <rFont val="MS P ゴシック"/>
            <family val="3"/>
            <charset val="128"/>
          </rPr>
          <t xml:space="preserve">
47%（max border  ÷0.53) 
レート125</t>
        </r>
      </text>
    </comment>
    <comment ref="D2693" authorId="1" shapeId="0" xr:uid="{772EDA5A-5EF5-4133-929A-5ACB5B7F7AC9}">
      <text>
        <r>
          <rPr>
            <b/>
            <sz val="9"/>
            <color indexed="81"/>
            <rFont val="MS P ゴシック"/>
            <family val="3"/>
            <charset val="128"/>
          </rPr>
          <t>sunfashion:</t>
        </r>
        <r>
          <rPr>
            <sz val="9"/>
            <color indexed="81"/>
            <rFont val="MS P ゴシック"/>
            <family val="3"/>
            <charset val="128"/>
          </rPr>
          <t xml:space="preserve">
47%（max border  ÷0.53) 
レート125</t>
        </r>
      </text>
    </comment>
    <comment ref="E2698" authorId="1" shapeId="0" xr:uid="{44200AC9-BDBF-4BBF-A0AA-4074F646D92C}">
      <text>
        <r>
          <rPr>
            <b/>
            <sz val="9"/>
            <color indexed="81"/>
            <rFont val="MS P ゴシック"/>
            <family val="3"/>
            <charset val="128"/>
          </rPr>
          <t>sunfashion:</t>
        </r>
        <r>
          <rPr>
            <sz val="9"/>
            <color indexed="81"/>
            <rFont val="MS P ゴシック"/>
            <family val="3"/>
            <charset val="128"/>
          </rPr>
          <t xml:space="preserve">
レート125円
47%（トリムmax border 47% ÷0.53) </t>
        </r>
      </text>
    </comment>
    <comment ref="E2699" authorId="1" shapeId="0" xr:uid="{501AF0F0-7E36-448E-9DBC-1621E87CF18B}">
      <text>
        <r>
          <rPr>
            <b/>
            <sz val="9"/>
            <color indexed="81"/>
            <rFont val="MS P ゴシック"/>
            <family val="3"/>
            <charset val="128"/>
          </rPr>
          <t>sunfashion:</t>
        </r>
        <r>
          <rPr>
            <sz val="9"/>
            <color indexed="81"/>
            <rFont val="MS P ゴシック"/>
            <family val="3"/>
            <charset val="128"/>
          </rPr>
          <t xml:space="preserve">
レート125円
47%（トリムmax border 47% ÷0.53) </t>
        </r>
      </text>
    </comment>
    <comment ref="G2702" authorId="1" shapeId="0" xr:uid="{39B022D2-A6D8-4A8C-A99D-7708940712F0}">
      <text>
        <r>
          <rPr>
            <b/>
            <sz val="9"/>
            <color indexed="81"/>
            <rFont val="MS P ゴシック"/>
            <family val="3"/>
            <charset val="128"/>
          </rPr>
          <t>sunfashion:</t>
        </r>
        <r>
          <rPr>
            <sz val="9"/>
            <color indexed="81"/>
            <rFont val="MS P ゴシック"/>
            <family val="3"/>
            <charset val="128"/>
          </rPr>
          <t xml:space="preserve">
47%（max border  ÷0.53) 
レート125
</t>
        </r>
      </text>
    </comment>
    <comment ref="G2703" authorId="1" shapeId="0" xr:uid="{21467F16-5FD6-439D-B43D-B56EF0451242}">
      <text>
        <r>
          <rPr>
            <b/>
            <sz val="9"/>
            <color indexed="81"/>
            <rFont val="MS P ゴシック"/>
            <family val="3"/>
            <charset val="128"/>
          </rPr>
          <t>sunfashion:</t>
        </r>
        <r>
          <rPr>
            <sz val="9"/>
            <color indexed="81"/>
            <rFont val="MS P ゴシック"/>
            <family val="3"/>
            <charset val="128"/>
          </rPr>
          <t xml:space="preserve">
47%（max border  ÷0.53) 
レート125
</t>
        </r>
      </text>
    </comment>
    <comment ref="A2720" authorId="0" shapeId="0" xr:uid="{C0603CDE-A43C-42DD-8A26-82032A23B048}">
      <text>
        <r>
          <rPr>
            <b/>
            <sz val="9"/>
            <color indexed="81"/>
            <rFont val="MS P ゴシック"/>
            <family val="3"/>
            <charset val="128"/>
          </rPr>
          <t>chiba:</t>
        </r>
        <r>
          <rPr>
            <sz val="9"/>
            <color indexed="81"/>
            <rFont val="MS P ゴシック"/>
            <family val="3"/>
            <charset val="128"/>
          </rPr>
          <t xml:space="preserve">
フロリア刺繍</t>
        </r>
      </text>
    </comment>
    <comment ref="A2721" authorId="0" shapeId="0" xr:uid="{502B00C7-1F10-49E8-8102-713F89F96CD0}">
      <text>
        <r>
          <rPr>
            <b/>
            <sz val="9"/>
            <color indexed="81"/>
            <rFont val="MS P ゴシック"/>
            <family val="3"/>
            <charset val="128"/>
          </rPr>
          <t>chiba:</t>
        </r>
        <r>
          <rPr>
            <sz val="9"/>
            <color indexed="81"/>
            <rFont val="MS P ゴシック"/>
            <family val="3"/>
            <charset val="128"/>
          </rPr>
          <t xml:space="preserve">
フロリア刺繍</t>
        </r>
      </text>
    </comment>
    <comment ref="A2727" authorId="0" shapeId="0" xr:uid="{187F20A4-7C8C-4FD5-83BD-ADC42F33F2EC}">
      <text>
        <r>
          <rPr>
            <b/>
            <sz val="9"/>
            <color indexed="81"/>
            <rFont val="MS P ゴシック"/>
            <family val="3"/>
            <charset val="128"/>
          </rPr>
          <t>chiba:</t>
        </r>
        <r>
          <rPr>
            <sz val="9"/>
            <color indexed="81"/>
            <rFont val="MS P ゴシック"/>
            <family val="3"/>
            <charset val="128"/>
          </rPr>
          <t xml:space="preserve">
フロリア刺繍</t>
        </r>
      </text>
    </comment>
    <comment ref="F2799" authorId="1" shapeId="0" xr:uid="{DADC8CB2-16A7-4890-90B9-281ED7128EB0}">
      <text>
        <r>
          <rPr>
            <b/>
            <sz val="9"/>
            <color indexed="81"/>
            <rFont val="MS P ゴシック"/>
            <family val="3"/>
            <charset val="128"/>
          </rPr>
          <t>sunfashion:</t>
        </r>
        <r>
          <rPr>
            <sz val="9"/>
            <color indexed="81"/>
            <rFont val="MS P ゴシック"/>
            <family val="3"/>
            <charset val="128"/>
          </rPr>
          <t xml:space="preserve">
30% 
125</t>
        </r>
      </text>
    </comment>
    <comment ref="F2800" authorId="1" shapeId="0" xr:uid="{6D941095-46A3-48EA-B389-B7F3F96E99E5}">
      <text>
        <r>
          <rPr>
            <b/>
            <sz val="9"/>
            <color indexed="81"/>
            <rFont val="MS P ゴシック"/>
            <family val="3"/>
            <charset val="128"/>
          </rPr>
          <t>sunfashion:</t>
        </r>
        <r>
          <rPr>
            <sz val="9"/>
            <color indexed="81"/>
            <rFont val="MS P ゴシック"/>
            <family val="3"/>
            <charset val="128"/>
          </rPr>
          <t xml:space="preserve">
前回単価に合わせて
67% （÷0.33)
125円</t>
        </r>
      </text>
    </comment>
    <comment ref="F2801" authorId="1" shapeId="0" xr:uid="{42B3EFC3-59E4-42F9-93E0-93C768EFD5D0}">
      <text>
        <r>
          <rPr>
            <b/>
            <sz val="9"/>
            <color indexed="81"/>
            <rFont val="MS P ゴシック"/>
            <family val="3"/>
            <charset val="128"/>
          </rPr>
          <t>sunfashion:</t>
        </r>
        <r>
          <rPr>
            <sz val="9"/>
            <color indexed="81"/>
            <rFont val="MS P ゴシック"/>
            <family val="3"/>
            <charset val="128"/>
          </rPr>
          <t xml:space="preserve">
47%（max border  ÷0.53) 
レート125
</t>
        </r>
      </text>
    </comment>
    <comment ref="G2807" authorId="1" shapeId="0" xr:uid="{72FE3E08-775D-4B72-B0C1-FC87C2A3343F}">
      <text>
        <r>
          <rPr>
            <b/>
            <sz val="9"/>
            <color indexed="81"/>
            <rFont val="MS P ゴシック"/>
            <family val="3"/>
            <charset val="128"/>
          </rPr>
          <t>sunfashion:</t>
        </r>
        <r>
          <rPr>
            <sz val="9"/>
            <color indexed="81"/>
            <rFont val="MS P ゴシック"/>
            <family val="3"/>
            <charset val="128"/>
          </rPr>
          <t xml:space="preserve">
abt 40%
レート125
</t>
        </r>
      </text>
    </comment>
    <comment ref="F2828" authorId="1" shapeId="0" xr:uid="{3E55E5EA-51F3-4F13-BCBC-0C68C969354E}">
      <text>
        <r>
          <rPr>
            <b/>
            <sz val="9"/>
            <color indexed="81"/>
            <rFont val="MS P ゴシック"/>
            <family val="3"/>
            <charset val="128"/>
          </rPr>
          <t>sunfashion:</t>
        </r>
        <r>
          <rPr>
            <sz val="9"/>
            <color indexed="81"/>
            <rFont val="MS P ゴシック"/>
            <family val="3"/>
            <charset val="128"/>
          </rPr>
          <t xml:space="preserve">
30% 
125</t>
        </r>
      </text>
    </comment>
    <comment ref="F2850" authorId="1" shapeId="0" xr:uid="{BAEA5822-C6FC-4B76-B66E-26636A825D6F}">
      <text>
        <r>
          <rPr>
            <b/>
            <sz val="9"/>
            <color indexed="81"/>
            <rFont val="MS P ゴシック"/>
            <family val="3"/>
            <charset val="128"/>
          </rPr>
          <t>sunfashion:</t>
        </r>
        <r>
          <rPr>
            <sz val="9"/>
            <color indexed="81"/>
            <rFont val="MS P ゴシック"/>
            <family val="3"/>
            <charset val="128"/>
          </rPr>
          <t xml:space="preserve">
30% 
125</t>
        </r>
      </text>
    </comment>
    <comment ref="G2861" authorId="1" shapeId="0" xr:uid="{CD3C2C96-3E51-403F-B546-8E203B9A252A}">
      <text>
        <r>
          <rPr>
            <b/>
            <sz val="9"/>
            <color indexed="81"/>
            <rFont val="MS P ゴシック"/>
            <family val="3"/>
            <charset val="128"/>
          </rPr>
          <t>sunfashion:</t>
        </r>
        <r>
          <rPr>
            <sz val="9"/>
            <color indexed="81"/>
            <rFont val="MS P ゴシック"/>
            <family val="3"/>
            <charset val="128"/>
          </rPr>
          <t xml:space="preserve">
47%（max border  ÷0.53) 
レート125
</t>
        </r>
      </text>
    </comment>
    <comment ref="G2862" authorId="1" shapeId="0" xr:uid="{D2A87B3F-7C79-4639-A191-A5FA32C1F2ED}">
      <text>
        <r>
          <rPr>
            <b/>
            <sz val="9"/>
            <color indexed="81"/>
            <rFont val="MS P ゴシック"/>
            <family val="3"/>
            <charset val="128"/>
          </rPr>
          <t>sunfashion:</t>
        </r>
        <r>
          <rPr>
            <sz val="9"/>
            <color indexed="81"/>
            <rFont val="MS P ゴシック"/>
            <family val="3"/>
            <charset val="128"/>
          </rPr>
          <t xml:space="preserve">
47%（max border  ÷0.53) 
レート125
</t>
        </r>
      </text>
    </comment>
    <comment ref="G2883" authorId="1" shapeId="0" xr:uid="{C9183E02-9BBC-4E9C-B84C-8016C943DA3A}">
      <text>
        <r>
          <rPr>
            <b/>
            <sz val="9"/>
            <color indexed="81"/>
            <rFont val="MS P ゴシック"/>
            <family val="3"/>
            <charset val="128"/>
          </rPr>
          <t>sunfashion:</t>
        </r>
        <r>
          <rPr>
            <sz val="9"/>
            <color indexed="81"/>
            <rFont val="MS P ゴシック"/>
            <family val="3"/>
            <charset val="128"/>
          </rPr>
          <t xml:space="preserve">
abt 40%
レート125
</t>
        </r>
      </text>
    </comment>
    <comment ref="G2906" authorId="1" shapeId="0" xr:uid="{1C747803-7881-472A-B6DF-CD01535960C0}">
      <text>
        <r>
          <rPr>
            <b/>
            <sz val="9"/>
            <color indexed="81"/>
            <rFont val="MS P ゴシック"/>
            <family val="3"/>
            <charset val="128"/>
          </rPr>
          <t>sunfashion:</t>
        </r>
        <r>
          <rPr>
            <sz val="9"/>
            <color indexed="81"/>
            <rFont val="MS P ゴシック"/>
            <family val="3"/>
            <charset val="128"/>
          </rPr>
          <t xml:space="preserve">
abt 40%
レート125
</t>
        </r>
      </text>
    </comment>
    <comment ref="G2983" authorId="1" shapeId="0" xr:uid="{3195251D-56CE-4E1B-97D9-827992F86B38}">
      <text>
        <r>
          <rPr>
            <b/>
            <sz val="9"/>
            <color indexed="81"/>
            <rFont val="MS P ゴシック"/>
            <family val="3"/>
            <charset val="128"/>
          </rPr>
          <t>sunfashion:</t>
        </r>
        <r>
          <rPr>
            <sz val="9"/>
            <color indexed="81"/>
            <rFont val="MS P ゴシック"/>
            <family val="3"/>
            <charset val="128"/>
          </rPr>
          <t xml:space="preserve">
47%（max border  ÷0.53) 
レート125
</t>
        </r>
      </text>
    </comment>
    <comment ref="A3003" authorId="1" shapeId="0" xr:uid="{2BE6B11C-AAC2-4D39-B736-7913C671A4CB}">
      <text>
        <r>
          <rPr>
            <b/>
            <sz val="9"/>
            <color indexed="81"/>
            <rFont val="MS P ゴシック"/>
            <family val="3"/>
            <charset val="128"/>
          </rPr>
          <t>sunfashion:</t>
        </r>
        <r>
          <rPr>
            <sz val="9"/>
            <color indexed="81"/>
            <rFont val="MS P ゴシック"/>
            <family val="3"/>
            <charset val="128"/>
          </rPr>
          <t xml:space="preserve">
 (*FWL-770106 wrongly labeled on your swatch)</t>
        </r>
      </text>
    </comment>
    <comment ref="B3015" authorId="1" shapeId="0" xr:uid="{21250ACD-F6D7-4DEA-A826-4A985F4C3732}">
      <text>
        <r>
          <rPr>
            <b/>
            <sz val="9"/>
            <color indexed="81"/>
            <rFont val="MS P ゴシック"/>
            <family val="3"/>
            <charset val="128"/>
          </rPr>
          <t>sunfashion:</t>
        </r>
        <r>
          <rPr>
            <sz val="9"/>
            <color indexed="81"/>
            <rFont val="MS P ゴシック"/>
            <family val="3"/>
            <charset val="128"/>
          </rPr>
          <t xml:space="preserve">
KF4005
D/#F-3407
</t>
        </r>
      </text>
    </comment>
    <comment ref="A3032" authorId="0" shapeId="0" xr:uid="{AA0E14CD-F699-444D-AA64-43583243D666}">
      <text>
        <r>
          <rPr>
            <b/>
            <sz val="9"/>
            <color indexed="81"/>
            <rFont val="MS P ゴシック"/>
            <family val="3"/>
            <charset val="128"/>
          </rPr>
          <t>chiba:</t>
        </r>
        <r>
          <rPr>
            <sz val="9"/>
            <color indexed="81"/>
            <rFont val="MS P ゴシック"/>
            <family val="3"/>
            <charset val="128"/>
          </rPr>
          <t xml:space="preserve">
弱撥水樹脂</t>
        </r>
      </text>
    </comment>
    <comment ref="G3070" authorId="1" shapeId="0" xr:uid="{45E30CE9-24DF-4AB8-AFA5-D93DE6A8DD9A}">
      <text>
        <r>
          <rPr>
            <b/>
            <sz val="9"/>
            <color indexed="81"/>
            <rFont val="MS P ゴシック"/>
            <family val="3"/>
            <charset val="128"/>
          </rPr>
          <t>sunfashion:</t>
        </r>
        <r>
          <rPr>
            <sz val="9"/>
            <color indexed="81"/>
            <rFont val="MS P ゴシック"/>
            <family val="3"/>
            <charset val="128"/>
          </rPr>
          <t xml:space="preserve">
34% （÷ 0.66) 
125円</t>
        </r>
      </text>
    </comment>
    <comment ref="G3071" authorId="1" shapeId="0" xr:uid="{DF4CA377-2F87-4A08-B5E8-CED515909DA7}">
      <text>
        <r>
          <rPr>
            <b/>
            <sz val="9"/>
            <color indexed="81"/>
            <rFont val="MS P ゴシック"/>
            <family val="3"/>
            <charset val="128"/>
          </rPr>
          <t>sunfashion:</t>
        </r>
        <r>
          <rPr>
            <sz val="9"/>
            <color indexed="81"/>
            <rFont val="MS P ゴシック"/>
            <family val="3"/>
            <charset val="128"/>
          </rPr>
          <t xml:space="preserve">
34% （÷ 0.66) 
125円</t>
        </r>
      </text>
    </comment>
    <comment ref="A3099" authorId="1" shapeId="0" xr:uid="{4FD2F8D6-CD24-48B3-95F3-24785FA27C18}">
      <text>
        <r>
          <rPr>
            <b/>
            <sz val="9"/>
            <color indexed="81"/>
            <rFont val="MS P ゴシック"/>
            <family val="3"/>
            <charset val="128"/>
          </rPr>
          <t>sunfashion:</t>
        </r>
        <r>
          <rPr>
            <sz val="9"/>
            <color indexed="81"/>
            <rFont val="MS P ゴシック"/>
            <family val="3"/>
            <charset val="128"/>
          </rPr>
          <t xml:space="preserve">
KF 4005 D/# F-3431</t>
        </r>
      </text>
    </comment>
    <comment ref="A3100" authorId="1" shapeId="0" xr:uid="{276E98DE-32E4-48AB-A11C-D9F412EDE5BD}">
      <text>
        <r>
          <rPr>
            <b/>
            <sz val="9"/>
            <color indexed="81"/>
            <rFont val="MS P ゴシック"/>
            <family val="3"/>
            <charset val="128"/>
          </rPr>
          <t>sunfashion:</t>
        </r>
        <r>
          <rPr>
            <sz val="9"/>
            <color indexed="81"/>
            <rFont val="MS P ゴシック"/>
            <family val="3"/>
            <charset val="128"/>
          </rPr>
          <t xml:space="preserve">
KF 4005 D/# F-3431</t>
        </r>
      </text>
    </comment>
    <comment ref="A3101" authorId="1" shapeId="0" xr:uid="{38E9947C-0D3A-4B11-A4F8-EB8E9DA36F9A}">
      <text>
        <r>
          <rPr>
            <b/>
            <sz val="9"/>
            <color indexed="81"/>
            <rFont val="MS P ゴシック"/>
            <family val="3"/>
            <charset val="128"/>
          </rPr>
          <t>sunfashion:</t>
        </r>
        <r>
          <rPr>
            <sz val="9"/>
            <color indexed="81"/>
            <rFont val="MS P ゴシック"/>
            <family val="3"/>
            <charset val="128"/>
          </rPr>
          <t xml:space="preserve">
KF 4005 D/# F-3431</t>
        </r>
      </text>
    </comment>
    <comment ref="A3149" authorId="1" shapeId="0" xr:uid="{55BFEFEC-CD14-4CC6-BD98-3ED1231960FA}">
      <text>
        <r>
          <rPr>
            <b/>
            <sz val="9"/>
            <color indexed="81"/>
            <rFont val="MS P ゴシック"/>
            <family val="3"/>
            <charset val="128"/>
          </rPr>
          <t>sunfashion:</t>
        </r>
        <r>
          <rPr>
            <sz val="9"/>
            <color indexed="81"/>
            <rFont val="MS P ゴシック"/>
            <family val="3"/>
            <charset val="128"/>
          </rPr>
          <t xml:space="preserve">
KKP3800 D/#93</t>
        </r>
      </text>
    </comment>
    <comment ref="A3150" authorId="1" shapeId="0" xr:uid="{9917A40B-A7EF-4BC9-90FB-294CFFBE9ED2}">
      <text>
        <r>
          <rPr>
            <b/>
            <sz val="9"/>
            <color indexed="81"/>
            <rFont val="MS P ゴシック"/>
            <family val="3"/>
            <charset val="128"/>
          </rPr>
          <t>sunfashion:</t>
        </r>
        <r>
          <rPr>
            <sz val="9"/>
            <color indexed="81"/>
            <rFont val="MS P ゴシック"/>
            <family val="3"/>
            <charset val="128"/>
          </rPr>
          <t xml:space="preserve">
KKP3800 D/#SB-380</t>
        </r>
      </text>
    </comment>
    <comment ref="A3151" authorId="1" shapeId="0" xr:uid="{DD25FA2C-67A1-44FA-BDAC-63B06191B61A}">
      <text>
        <r>
          <rPr>
            <b/>
            <sz val="9"/>
            <color indexed="81"/>
            <rFont val="MS P ゴシック"/>
            <family val="3"/>
            <charset val="128"/>
          </rPr>
          <t>sunfashion:</t>
        </r>
        <r>
          <rPr>
            <sz val="9"/>
            <color indexed="81"/>
            <rFont val="MS P ゴシック"/>
            <family val="3"/>
            <charset val="128"/>
          </rPr>
          <t xml:space="preserve">
KKP3801 D/#62</t>
        </r>
      </text>
    </comment>
    <comment ref="A3152" authorId="1" shapeId="0" xr:uid="{48398FFD-B65E-49E2-8677-8EB77F75CF83}">
      <text>
        <r>
          <rPr>
            <b/>
            <sz val="9"/>
            <color indexed="81"/>
            <rFont val="MS P ゴシック"/>
            <family val="3"/>
            <charset val="128"/>
          </rPr>
          <t>sunfashion:</t>
        </r>
        <r>
          <rPr>
            <sz val="9"/>
            <color indexed="81"/>
            <rFont val="MS P ゴシック"/>
            <family val="3"/>
            <charset val="128"/>
          </rPr>
          <t xml:space="preserve">
KKP3801-58 D/#SB-173</t>
        </r>
      </text>
    </comment>
    <comment ref="A3174" authorId="1" shapeId="0" xr:uid="{CA65C41C-C417-4860-8E34-9199BFB975A4}">
      <text>
        <r>
          <rPr>
            <b/>
            <sz val="9"/>
            <color indexed="81"/>
            <rFont val="MS P ゴシック"/>
            <family val="3"/>
            <charset val="128"/>
          </rPr>
          <t>sunfashion:</t>
        </r>
        <r>
          <rPr>
            <sz val="9"/>
            <color indexed="81"/>
            <rFont val="MS P ゴシック"/>
            <family val="3"/>
            <charset val="128"/>
          </rPr>
          <t xml:space="preserve">
KF 4005 D/# F-3431</t>
        </r>
      </text>
    </comment>
    <comment ref="A3212" authorId="0" shapeId="0" xr:uid="{08442DE8-CFD8-4B1D-A15C-463DFC42198F}">
      <text>
        <r>
          <rPr>
            <b/>
            <sz val="9"/>
            <color indexed="81"/>
            <rFont val="MS P ゴシック"/>
            <family val="3"/>
            <charset val="128"/>
          </rPr>
          <t>chiba:</t>
        </r>
        <r>
          <rPr>
            <sz val="9"/>
            <color indexed="81"/>
            <rFont val="MS P ゴシック"/>
            <family val="3"/>
            <charset val="128"/>
          </rPr>
          <t xml:space="preserve">
通常撥水加工
</t>
        </r>
      </text>
    </comment>
    <comment ref="D3325" authorId="1" shapeId="0" xr:uid="{5E917757-62D6-4492-A656-14B2E30C5B17}">
      <text>
        <r>
          <rPr>
            <b/>
            <sz val="9"/>
            <color indexed="81"/>
            <rFont val="MS P ゴシック"/>
            <family val="3"/>
            <charset val="128"/>
          </rPr>
          <t>sunfashion:</t>
        </r>
        <r>
          <rPr>
            <sz val="9"/>
            <color indexed="81"/>
            <rFont val="MS P ゴシック"/>
            <family val="3"/>
            <charset val="128"/>
          </rPr>
          <t xml:space="preserve">
前回単価に合わせて
67% （÷0.33)
125円</t>
        </r>
      </text>
    </comment>
    <comment ref="G3346" authorId="1" shapeId="0" xr:uid="{02A0F2F7-3A02-4717-9A3F-52EE93CB04F6}">
      <text>
        <r>
          <rPr>
            <b/>
            <sz val="9"/>
            <color indexed="81"/>
            <rFont val="MS P ゴシック"/>
            <family val="3"/>
            <charset val="128"/>
          </rPr>
          <t>sunfashion:</t>
        </r>
        <r>
          <rPr>
            <sz val="9"/>
            <color indexed="81"/>
            <rFont val="MS P ゴシック"/>
            <family val="3"/>
            <charset val="128"/>
          </rPr>
          <t xml:space="preserve">
47%（max border  ÷0.53) 
レート125
</t>
        </r>
      </text>
    </comment>
    <comment ref="G3347" authorId="1" shapeId="0" xr:uid="{7D7837BD-D90A-4D88-97D0-9C813B4D2497}">
      <text>
        <r>
          <rPr>
            <b/>
            <sz val="9"/>
            <color indexed="81"/>
            <rFont val="MS P ゴシック"/>
            <family val="3"/>
            <charset val="128"/>
          </rPr>
          <t>sunfashion:</t>
        </r>
        <r>
          <rPr>
            <sz val="9"/>
            <color indexed="81"/>
            <rFont val="MS P ゴシック"/>
            <family val="3"/>
            <charset val="128"/>
          </rPr>
          <t xml:space="preserve">
47%（max border  ÷0.53) 
レート125
</t>
        </r>
      </text>
    </comment>
    <comment ref="I3354" authorId="0" shapeId="0" xr:uid="{34923D8F-6287-4CD4-A7B8-64CD9A4BDFFA}">
      <text>
        <r>
          <rPr>
            <b/>
            <sz val="9"/>
            <color indexed="81"/>
            <rFont val="MS P ゴシック"/>
            <family val="3"/>
            <charset val="128"/>
          </rPr>
          <t>chiba:</t>
        </r>
        <r>
          <rPr>
            <sz val="9"/>
            <color indexed="81"/>
            <rFont val="MS P ゴシック"/>
            <family val="3"/>
            <charset val="128"/>
          </rPr>
          <t xml:space="preserve">
30.45*1.5</t>
        </r>
      </text>
    </comment>
    <comment ref="I3355" authorId="0" shapeId="0" xr:uid="{758599CD-64E1-49E9-877B-435194A46824}">
      <text>
        <r>
          <rPr>
            <b/>
            <sz val="9"/>
            <color indexed="81"/>
            <rFont val="MS P ゴシック"/>
            <family val="3"/>
            <charset val="128"/>
          </rPr>
          <t>chiba:</t>
        </r>
        <r>
          <rPr>
            <sz val="9"/>
            <color indexed="81"/>
            <rFont val="MS P ゴシック"/>
            <family val="3"/>
            <charset val="128"/>
          </rPr>
          <t xml:space="preserve">
38.4*1.5</t>
        </r>
      </text>
    </comment>
    <comment ref="I3356" authorId="0" shapeId="0" xr:uid="{2EBD22AC-5B09-436D-92FE-3F747D70C502}">
      <text>
        <r>
          <rPr>
            <b/>
            <sz val="9"/>
            <color indexed="81"/>
            <rFont val="MS P ゴシック"/>
            <family val="3"/>
            <charset val="128"/>
          </rPr>
          <t>chiba:</t>
        </r>
        <r>
          <rPr>
            <sz val="9"/>
            <color indexed="81"/>
            <rFont val="MS P ゴシック"/>
            <family val="3"/>
            <charset val="128"/>
          </rPr>
          <t xml:space="preserve">
46.43*1.5</t>
        </r>
      </text>
    </comment>
    <comment ref="I3357" authorId="0" shapeId="0" xr:uid="{3ADC6819-1D5F-4330-A501-7C17D0ADB4D3}">
      <text>
        <r>
          <rPr>
            <b/>
            <sz val="9"/>
            <color indexed="81"/>
            <rFont val="MS P ゴシック"/>
            <family val="3"/>
            <charset val="128"/>
          </rPr>
          <t>chiba:</t>
        </r>
        <r>
          <rPr>
            <sz val="9"/>
            <color indexed="81"/>
            <rFont val="MS P ゴシック"/>
            <family val="3"/>
            <charset val="128"/>
          </rPr>
          <t xml:space="preserve">
48.22*1.5</t>
        </r>
      </text>
    </comment>
    <comment ref="G3358" authorId="0" shapeId="0" xr:uid="{F016F832-0517-47F3-9CFF-B843B244FBD3}">
      <text>
        <r>
          <rPr>
            <b/>
            <sz val="9"/>
            <color indexed="81"/>
            <rFont val="MS P ゴシック"/>
            <family val="3"/>
            <charset val="128"/>
          </rPr>
          <t>chiba:</t>
        </r>
        <r>
          <rPr>
            <sz val="9"/>
            <color indexed="81"/>
            <rFont val="MS P ゴシック"/>
            <family val="3"/>
            <charset val="128"/>
          </rPr>
          <t xml:space="preserve">
在庫からなのでバルク単価</t>
        </r>
      </text>
    </comment>
    <comment ref="I3358" authorId="0" shapeId="0" xr:uid="{CBDF38FD-A32E-44BA-BA2F-08184E83BED8}">
      <text>
        <r>
          <rPr>
            <b/>
            <sz val="9"/>
            <color indexed="81"/>
            <rFont val="MS P ゴシック"/>
            <family val="3"/>
            <charset val="128"/>
          </rPr>
          <t>chiba:</t>
        </r>
        <r>
          <rPr>
            <sz val="9"/>
            <color indexed="81"/>
            <rFont val="MS P ゴシック"/>
            <family val="3"/>
            <charset val="128"/>
          </rPr>
          <t xml:space="preserve">
在庫からなのでバルク単価</t>
        </r>
      </text>
    </comment>
    <comment ref="N3358" authorId="0" shapeId="0" xr:uid="{468168FF-F7C2-4C77-B634-B956AF81AAFB}">
      <text>
        <r>
          <rPr>
            <b/>
            <sz val="9"/>
            <color indexed="81"/>
            <rFont val="MS P ゴシック"/>
            <family val="3"/>
            <charset val="128"/>
          </rPr>
          <t>chiba:</t>
        </r>
        <r>
          <rPr>
            <sz val="9"/>
            <color indexed="81"/>
            <rFont val="MS P ゴシック"/>
            <family val="3"/>
            <charset val="128"/>
          </rPr>
          <t xml:space="preserve">
在庫からなのでバルク単価</t>
        </r>
      </text>
    </comment>
    <comment ref="G3359" authorId="0" shapeId="0" xr:uid="{A3EF5837-08F4-4394-80B8-9C3573DE8E6D}">
      <text>
        <r>
          <rPr>
            <b/>
            <sz val="9"/>
            <color indexed="81"/>
            <rFont val="MS P ゴシック"/>
            <family val="3"/>
            <charset val="128"/>
          </rPr>
          <t>chiba:</t>
        </r>
        <r>
          <rPr>
            <sz val="9"/>
            <color indexed="81"/>
            <rFont val="MS P ゴシック"/>
            <family val="3"/>
            <charset val="128"/>
          </rPr>
          <t xml:space="preserve">
在庫からなのでバルク単価</t>
        </r>
      </text>
    </comment>
    <comment ref="I3359" authorId="0" shapeId="0" xr:uid="{9D355B6B-5760-4280-AB4A-45713A3F8D32}">
      <text>
        <r>
          <rPr>
            <b/>
            <sz val="9"/>
            <color indexed="81"/>
            <rFont val="MS P ゴシック"/>
            <family val="3"/>
            <charset val="128"/>
          </rPr>
          <t>chiba:</t>
        </r>
        <r>
          <rPr>
            <sz val="9"/>
            <color indexed="81"/>
            <rFont val="MS P ゴシック"/>
            <family val="3"/>
            <charset val="128"/>
          </rPr>
          <t xml:space="preserve">
在庫からなのでバルク単価</t>
        </r>
      </text>
    </comment>
    <comment ref="N3359" authorId="0" shapeId="0" xr:uid="{8BC61787-839C-43CD-B209-95B006671AC2}">
      <text>
        <r>
          <rPr>
            <b/>
            <sz val="9"/>
            <color indexed="81"/>
            <rFont val="MS P ゴシック"/>
            <family val="3"/>
            <charset val="128"/>
          </rPr>
          <t>chiba:</t>
        </r>
        <r>
          <rPr>
            <sz val="9"/>
            <color indexed="81"/>
            <rFont val="MS P ゴシック"/>
            <family val="3"/>
            <charset val="128"/>
          </rPr>
          <t xml:space="preserve">
在庫からなのでバルク単価</t>
        </r>
      </text>
    </comment>
    <comment ref="G3360" authorId="0" shapeId="0" xr:uid="{9D769F93-1A1A-43B2-9CB9-3A12B6BFA854}">
      <text>
        <r>
          <rPr>
            <b/>
            <sz val="9"/>
            <color indexed="81"/>
            <rFont val="MS P ゴシック"/>
            <family val="3"/>
            <charset val="128"/>
          </rPr>
          <t>chiba:</t>
        </r>
        <r>
          <rPr>
            <sz val="9"/>
            <color indexed="81"/>
            <rFont val="MS P ゴシック"/>
            <family val="3"/>
            <charset val="128"/>
          </rPr>
          <t xml:space="preserve">
在庫からなのでバルク単価</t>
        </r>
      </text>
    </comment>
    <comment ref="I3360" authorId="0" shapeId="0" xr:uid="{4619CCDC-46C5-48E6-B2D2-B1D231BE2975}">
      <text>
        <r>
          <rPr>
            <b/>
            <sz val="9"/>
            <color indexed="81"/>
            <rFont val="MS P ゴシック"/>
            <family val="3"/>
            <charset val="128"/>
          </rPr>
          <t>chiba:</t>
        </r>
        <r>
          <rPr>
            <sz val="9"/>
            <color indexed="81"/>
            <rFont val="MS P ゴシック"/>
            <family val="3"/>
            <charset val="128"/>
          </rPr>
          <t xml:space="preserve">
在庫からなのでバルク単価</t>
        </r>
      </text>
    </comment>
    <comment ref="N3360" authorId="0" shapeId="0" xr:uid="{D65D7EC1-B86D-4379-BF92-0FCF999C6749}">
      <text>
        <r>
          <rPr>
            <b/>
            <sz val="9"/>
            <color indexed="81"/>
            <rFont val="MS P ゴシック"/>
            <family val="3"/>
            <charset val="128"/>
          </rPr>
          <t>chiba:</t>
        </r>
        <r>
          <rPr>
            <sz val="9"/>
            <color indexed="81"/>
            <rFont val="MS P ゴシック"/>
            <family val="3"/>
            <charset val="128"/>
          </rPr>
          <t xml:space="preserve">
在庫からなのでバルク単価</t>
        </r>
      </text>
    </comment>
    <comment ref="I3361" authorId="0" shapeId="0" xr:uid="{5382D19D-1E14-43B4-824B-8D6246775AF4}">
      <text>
        <r>
          <rPr>
            <b/>
            <sz val="9"/>
            <color indexed="81"/>
            <rFont val="MS P ゴシック"/>
            <family val="3"/>
            <charset val="128"/>
          </rPr>
          <t>chiba:</t>
        </r>
        <r>
          <rPr>
            <sz val="9"/>
            <color indexed="81"/>
            <rFont val="MS P ゴシック"/>
            <family val="3"/>
            <charset val="128"/>
          </rPr>
          <t xml:space="preserve">
17.06*1.5</t>
        </r>
      </text>
    </comment>
    <comment ref="G3362" authorId="0" shapeId="0" xr:uid="{CE1F5688-8719-4762-A56D-6FADEF11C659}">
      <text>
        <r>
          <rPr>
            <b/>
            <sz val="9"/>
            <color indexed="81"/>
            <rFont val="MS P ゴシック"/>
            <family val="3"/>
            <charset val="128"/>
          </rPr>
          <t>chiba:</t>
        </r>
        <r>
          <rPr>
            <sz val="9"/>
            <color indexed="81"/>
            <rFont val="MS P ゴシック"/>
            <family val="3"/>
            <charset val="128"/>
          </rPr>
          <t xml:space="preserve">
在庫からなのでバルク単価</t>
        </r>
      </text>
    </comment>
    <comment ref="I3362" authorId="0" shapeId="0" xr:uid="{6A90F699-971F-4A11-BA05-7315A90FC215}">
      <text>
        <r>
          <rPr>
            <b/>
            <sz val="9"/>
            <color indexed="81"/>
            <rFont val="MS P ゴシック"/>
            <family val="3"/>
            <charset val="128"/>
          </rPr>
          <t>chiba:</t>
        </r>
        <r>
          <rPr>
            <sz val="9"/>
            <color indexed="81"/>
            <rFont val="MS P ゴシック"/>
            <family val="3"/>
            <charset val="128"/>
          </rPr>
          <t xml:space="preserve">
在庫からなのでバルク単価</t>
        </r>
      </text>
    </comment>
    <comment ref="N3362" authorId="0" shapeId="0" xr:uid="{98593D1F-ECE5-4119-9058-73E2EB0A4986}">
      <text>
        <r>
          <rPr>
            <b/>
            <sz val="9"/>
            <color indexed="81"/>
            <rFont val="MS P ゴシック"/>
            <family val="3"/>
            <charset val="128"/>
          </rPr>
          <t>chiba:</t>
        </r>
        <r>
          <rPr>
            <sz val="9"/>
            <color indexed="81"/>
            <rFont val="MS P ゴシック"/>
            <family val="3"/>
            <charset val="128"/>
          </rPr>
          <t xml:space="preserve">
在庫からなのでバルク単価</t>
        </r>
      </text>
    </comment>
    <comment ref="I3363" authorId="0" shapeId="0" xr:uid="{FFA7BABA-9C5C-4761-AF20-749187ECCAA7}">
      <text>
        <r>
          <rPr>
            <b/>
            <sz val="9"/>
            <color indexed="81"/>
            <rFont val="MS P ゴシック"/>
            <family val="3"/>
            <charset val="128"/>
          </rPr>
          <t>chiba:</t>
        </r>
        <r>
          <rPr>
            <sz val="9"/>
            <color indexed="81"/>
            <rFont val="MS P ゴシック"/>
            <family val="3"/>
            <charset val="128"/>
          </rPr>
          <t xml:space="preserve">
44.2*1.5</t>
        </r>
      </text>
    </comment>
    <comment ref="G3364" authorId="0" shapeId="0" xr:uid="{A26C08B9-BE01-4C3E-8587-989499C044E8}">
      <text>
        <r>
          <rPr>
            <b/>
            <sz val="9"/>
            <color indexed="81"/>
            <rFont val="MS P ゴシック"/>
            <family val="3"/>
            <charset val="128"/>
          </rPr>
          <t>chiba:</t>
        </r>
        <r>
          <rPr>
            <sz val="9"/>
            <color indexed="81"/>
            <rFont val="MS P ゴシック"/>
            <family val="3"/>
            <charset val="128"/>
          </rPr>
          <t xml:space="preserve">
在庫からなのでバルク単価</t>
        </r>
      </text>
    </comment>
    <comment ref="I3364" authorId="0" shapeId="0" xr:uid="{F68B0112-65D2-428C-A050-2FE8938A857C}">
      <text>
        <r>
          <rPr>
            <b/>
            <sz val="9"/>
            <color indexed="81"/>
            <rFont val="MS P ゴシック"/>
            <family val="3"/>
            <charset val="128"/>
          </rPr>
          <t>chiba:</t>
        </r>
        <r>
          <rPr>
            <sz val="9"/>
            <color indexed="81"/>
            <rFont val="MS P ゴシック"/>
            <family val="3"/>
            <charset val="128"/>
          </rPr>
          <t xml:space="preserve">
在庫からなのでバルク単価</t>
        </r>
      </text>
    </comment>
    <comment ref="N3364" authorId="0" shapeId="0" xr:uid="{6E7CDBD5-D51D-4911-81F3-4A6CE4B69A58}">
      <text>
        <r>
          <rPr>
            <b/>
            <sz val="9"/>
            <color indexed="81"/>
            <rFont val="MS P ゴシック"/>
            <family val="3"/>
            <charset val="128"/>
          </rPr>
          <t>chiba:</t>
        </r>
        <r>
          <rPr>
            <sz val="9"/>
            <color indexed="81"/>
            <rFont val="MS P ゴシック"/>
            <family val="3"/>
            <charset val="128"/>
          </rPr>
          <t xml:space="preserve">
在庫からなのでバルク単価</t>
        </r>
      </text>
    </comment>
    <comment ref="I3365" authorId="0" shapeId="0" xr:uid="{4726D42E-C2DD-4847-861C-D64E7E4ED13D}">
      <text>
        <r>
          <rPr>
            <b/>
            <sz val="9"/>
            <color indexed="81"/>
            <rFont val="MS P ゴシック"/>
            <family val="3"/>
            <charset val="128"/>
          </rPr>
          <t>chiba:</t>
        </r>
        <r>
          <rPr>
            <sz val="9"/>
            <color indexed="81"/>
            <rFont val="MS P ゴシック"/>
            <family val="3"/>
            <charset val="128"/>
          </rPr>
          <t xml:space="preserve">
43.67*1.5</t>
        </r>
      </text>
    </comment>
    <comment ref="G3374" authorId="0" shapeId="0" xr:uid="{798D20D8-6E89-4453-B237-9C8F8E6BFC20}">
      <text>
        <r>
          <rPr>
            <b/>
            <sz val="9"/>
            <color indexed="81"/>
            <rFont val="MS P ゴシック"/>
            <family val="3"/>
            <charset val="128"/>
          </rPr>
          <t>chiba:</t>
        </r>
        <r>
          <rPr>
            <sz val="9"/>
            <color indexed="81"/>
            <rFont val="MS P ゴシック"/>
            <family val="3"/>
            <charset val="128"/>
          </rPr>
          <t xml:space="preserve">
30.45*1.5</t>
        </r>
      </text>
    </comment>
    <comment ref="G3375" authorId="0" shapeId="0" xr:uid="{576F3DC9-CDDF-46A1-A936-C23B016384F8}">
      <text>
        <r>
          <rPr>
            <b/>
            <sz val="9"/>
            <color indexed="81"/>
            <rFont val="MS P ゴシック"/>
            <family val="3"/>
            <charset val="128"/>
          </rPr>
          <t>chiba:</t>
        </r>
        <r>
          <rPr>
            <sz val="9"/>
            <color indexed="81"/>
            <rFont val="MS P ゴシック"/>
            <family val="3"/>
            <charset val="128"/>
          </rPr>
          <t xml:space="preserve">
38.4*1.5</t>
        </r>
      </text>
    </comment>
    <comment ref="G3376" authorId="0" shapeId="0" xr:uid="{71337782-964C-46F9-80D1-F24D463B6FD3}">
      <text>
        <r>
          <rPr>
            <b/>
            <sz val="9"/>
            <color indexed="81"/>
            <rFont val="MS P ゴシック"/>
            <family val="3"/>
            <charset val="128"/>
          </rPr>
          <t>chiba:</t>
        </r>
        <r>
          <rPr>
            <sz val="9"/>
            <color indexed="81"/>
            <rFont val="MS P ゴシック"/>
            <family val="3"/>
            <charset val="128"/>
          </rPr>
          <t xml:space="preserve">
46.43*1.5</t>
        </r>
      </text>
    </comment>
    <comment ref="G3377" authorId="0" shapeId="0" xr:uid="{EF1DDC1F-8746-4368-9508-8296DFEDD6AC}">
      <text>
        <r>
          <rPr>
            <b/>
            <sz val="9"/>
            <color indexed="81"/>
            <rFont val="MS P ゴシック"/>
            <family val="3"/>
            <charset val="128"/>
          </rPr>
          <t>chiba:</t>
        </r>
        <r>
          <rPr>
            <sz val="9"/>
            <color indexed="81"/>
            <rFont val="MS P ゴシック"/>
            <family val="3"/>
            <charset val="128"/>
          </rPr>
          <t xml:space="preserve">
48.22*1.5</t>
        </r>
      </text>
    </comment>
    <comment ref="G3378" authorId="0" shapeId="0" xr:uid="{AE1F0C35-D605-40F5-A95A-01EB93856F76}">
      <text>
        <r>
          <rPr>
            <b/>
            <sz val="9"/>
            <color indexed="81"/>
            <rFont val="MS P ゴシック"/>
            <family val="3"/>
            <charset val="128"/>
          </rPr>
          <t>chiba:</t>
        </r>
        <r>
          <rPr>
            <sz val="9"/>
            <color indexed="81"/>
            <rFont val="MS P ゴシック"/>
            <family val="3"/>
            <charset val="128"/>
          </rPr>
          <t xml:space="preserve">
在庫からなのでバルク単価</t>
        </r>
      </text>
    </comment>
    <comment ref="G3379" authorId="0" shapeId="0" xr:uid="{25A926A5-6D76-4ADD-A50C-9C62D5CA92F6}">
      <text>
        <r>
          <rPr>
            <b/>
            <sz val="9"/>
            <color indexed="81"/>
            <rFont val="MS P ゴシック"/>
            <family val="3"/>
            <charset val="128"/>
          </rPr>
          <t>chiba:</t>
        </r>
        <r>
          <rPr>
            <sz val="9"/>
            <color indexed="81"/>
            <rFont val="MS P ゴシック"/>
            <family val="3"/>
            <charset val="128"/>
          </rPr>
          <t xml:space="preserve">
在庫からなのでバルク単価</t>
        </r>
      </text>
    </comment>
    <comment ref="G3380" authorId="0" shapeId="0" xr:uid="{7EE980D6-6C0A-4074-A70E-276928D994B0}">
      <text>
        <r>
          <rPr>
            <b/>
            <sz val="9"/>
            <color indexed="81"/>
            <rFont val="MS P ゴシック"/>
            <family val="3"/>
            <charset val="128"/>
          </rPr>
          <t>chiba:</t>
        </r>
        <r>
          <rPr>
            <sz val="9"/>
            <color indexed="81"/>
            <rFont val="MS P ゴシック"/>
            <family val="3"/>
            <charset val="128"/>
          </rPr>
          <t xml:space="preserve">
在庫からなのでバルク単価</t>
        </r>
      </text>
    </comment>
    <comment ref="G3381" authorId="0" shapeId="0" xr:uid="{E117C6E1-8681-4260-97B3-9B0195760F13}">
      <text>
        <r>
          <rPr>
            <b/>
            <sz val="9"/>
            <color indexed="81"/>
            <rFont val="MS P ゴシック"/>
            <family val="3"/>
            <charset val="128"/>
          </rPr>
          <t>chiba:</t>
        </r>
        <r>
          <rPr>
            <sz val="9"/>
            <color indexed="81"/>
            <rFont val="MS P ゴシック"/>
            <family val="3"/>
            <charset val="128"/>
          </rPr>
          <t xml:space="preserve">
17.06*1.5</t>
        </r>
      </text>
    </comment>
    <comment ref="G3382" authorId="0" shapeId="0" xr:uid="{99BB3CE0-5B64-4BA2-932F-42F20F58E020}">
      <text>
        <r>
          <rPr>
            <b/>
            <sz val="9"/>
            <color indexed="81"/>
            <rFont val="MS P ゴシック"/>
            <family val="3"/>
            <charset val="128"/>
          </rPr>
          <t>chiba:</t>
        </r>
        <r>
          <rPr>
            <sz val="9"/>
            <color indexed="81"/>
            <rFont val="MS P ゴシック"/>
            <family val="3"/>
            <charset val="128"/>
          </rPr>
          <t xml:space="preserve">
在庫からなのでバルク単価</t>
        </r>
      </text>
    </comment>
    <comment ref="G3383" authorId="0" shapeId="0" xr:uid="{CA041508-9555-4C8E-A789-8E1B08E6C4DA}">
      <text>
        <r>
          <rPr>
            <b/>
            <sz val="9"/>
            <color indexed="81"/>
            <rFont val="MS P ゴシック"/>
            <family val="3"/>
            <charset val="128"/>
          </rPr>
          <t>chiba:</t>
        </r>
        <r>
          <rPr>
            <sz val="9"/>
            <color indexed="81"/>
            <rFont val="MS P ゴシック"/>
            <family val="3"/>
            <charset val="128"/>
          </rPr>
          <t xml:space="preserve">
44.2*1.5</t>
        </r>
      </text>
    </comment>
    <comment ref="G3384" authorId="0" shapeId="0" xr:uid="{98864F06-99E4-459F-823D-8B7436ACD4CC}">
      <text>
        <r>
          <rPr>
            <b/>
            <sz val="9"/>
            <color indexed="81"/>
            <rFont val="MS P ゴシック"/>
            <family val="3"/>
            <charset val="128"/>
          </rPr>
          <t>chiba:</t>
        </r>
        <r>
          <rPr>
            <sz val="9"/>
            <color indexed="81"/>
            <rFont val="MS P ゴシック"/>
            <family val="3"/>
            <charset val="128"/>
          </rPr>
          <t xml:space="preserve">
在庫からなのでバルク単価</t>
        </r>
      </text>
    </comment>
    <comment ref="G3385" authorId="0" shapeId="0" xr:uid="{E3A3EB70-76BE-4D33-A9C5-2A6F13DB4D71}">
      <text>
        <r>
          <rPr>
            <b/>
            <sz val="9"/>
            <color indexed="81"/>
            <rFont val="MS P ゴシック"/>
            <family val="3"/>
            <charset val="128"/>
          </rPr>
          <t>chiba:</t>
        </r>
        <r>
          <rPr>
            <sz val="9"/>
            <color indexed="81"/>
            <rFont val="MS P ゴシック"/>
            <family val="3"/>
            <charset val="128"/>
          </rPr>
          <t xml:space="preserve">
43.67*1.5</t>
        </r>
      </text>
    </comment>
    <comment ref="D3393" authorId="0" shapeId="0" xr:uid="{46DD46B3-591D-4BEF-96DC-D1D14F15E65D}">
      <text>
        <r>
          <rPr>
            <b/>
            <sz val="9"/>
            <color indexed="81"/>
            <rFont val="MS P ゴシック"/>
            <family val="3"/>
            <charset val="128"/>
          </rPr>
          <t>chiba:</t>
        </r>
        <r>
          <rPr>
            <sz val="9"/>
            <color indexed="81"/>
            <rFont val="MS P ゴシック"/>
            <family val="3"/>
            <charset val="128"/>
          </rPr>
          <t xml:space="preserve">
Cannage + pointille degrade = € 500 in total で請求</t>
        </r>
      </text>
    </comment>
    <comment ref="D3394" authorId="0" shapeId="0" xr:uid="{CF481847-3309-4357-94EC-0504ED39D856}">
      <text>
        <r>
          <rPr>
            <b/>
            <sz val="9"/>
            <color indexed="81"/>
            <rFont val="MS P ゴシック"/>
            <family val="3"/>
            <charset val="128"/>
          </rPr>
          <t>chiba:</t>
        </r>
        <r>
          <rPr>
            <sz val="9"/>
            <color indexed="81"/>
            <rFont val="MS P ゴシック"/>
            <family val="3"/>
            <charset val="128"/>
          </rPr>
          <t xml:space="preserve">
Cannage + pointille degrade = € 500 in total で請求</t>
        </r>
      </text>
    </comment>
    <comment ref="C3404" authorId="0" shapeId="0" xr:uid="{FCD83565-9101-4370-AAA9-BA22604BCDB1}">
      <text>
        <r>
          <rPr>
            <b/>
            <sz val="9"/>
            <color indexed="81"/>
            <rFont val="MS P ゴシック"/>
            <family val="3"/>
            <charset val="128"/>
          </rPr>
          <t>chiba:</t>
        </r>
        <r>
          <rPr>
            <sz val="9"/>
            <color indexed="81"/>
            <rFont val="MS P ゴシック"/>
            <family val="3"/>
            <charset val="128"/>
          </rPr>
          <t xml:space="preserve">
30.45*1.5</t>
        </r>
      </text>
    </comment>
    <comment ref="C3405" authorId="0" shapeId="0" xr:uid="{DBCAC5F2-6351-4EBD-A362-114676C8A9A6}">
      <text>
        <r>
          <rPr>
            <b/>
            <sz val="9"/>
            <color indexed="81"/>
            <rFont val="MS P ゴシック"/>
            <family val="3"/>
            <charset val="128"/>
          </rPr>
          <t>chiba:</t>
        </r>
        <r>
          <rPr>
            <sz val="9"/>
            <color indexed="81"/>
            <rFont val="MS P ゴシック"/>
            <family val="3"/>
            <charset val="128"/>
          </rPr>
          <t xml:space="preserve">
38.4*1.5</t>
        </r>
      </text>
    </comment>
    <comment ref="C3406" authorId="0" shapeId="0" xr:uid="{0076D03D-78FC-40A2-8EA2-17818156718F}">
      <text>
        <r>
          <rPr>
            <b/>
            <sz val="9"/>
            <color indexed="81"/>
            <rFont val="MS P ゴシック"/>
            <family val="3"/>
            <charset val="128"/>
          </rPr>
          <t>chiba:</t>
        </r>
        <r>
          <rPr>
            <sz val="9"/>
            <color indexed="81"/>
            <rFont val="MS P ゴシック"/>
            <family val="3"/>
            <charset val="128"/>
          </rPr>
          <t xml:space="preserve">
46.43*1.5</t>
        </r>
      </text>
    </comment>
    <comment ref="C3407" authorId="0" shapeId="0" xr:uid="{81F2ECD5-25F2-411B-BEEB-8A09B3BE74C6}">
      <text>
        <r>
          <rPr>
            <b/>
            <sz val="9"/>
            <color indexed="81"/>
            <rFont val="MS P ゴシック"/>
            <family val="3"/>
            <charset val="128"/>
          </rPr>
          <t>chiba:</t>
        </r>
        <r>
          <rPr>
            <sz val="9"/>
            <color indexed="81"/>
            <rFont val="MS P ゴシック"/>
            <family val="3"/>
            <charset val="128"/>
          </rPr>
          <t xml:space="preserve">
48.22*1.5</t>
        </r>
      </text>
    </comment>
    <comment ref="C3408" authorId="0" shapeId="0" xr:uid="{2D5B39EC-2B4E-406F-BE6F-0E814226C06B}">
      <text>
        <r>
          <rPr>
            <b/>
            <sz val="9"/>
            <color indexed="81"/>
            <rFont val="MS P ゴシック"/>
            <family val="3"/>
            <charset val="128"/>
          </rPr>
          <t>chiba:</t>
        </r>
        <r>
          <rPr>
            <sz val="9"/>
            <color indexed="81"/>
            <rFont val="MS P ゴシック"/>
            <family val="3"/>
            <charset val="128"/>
          </rPr>
          <t xml:space="preserve">
在庫からなのでバルク単価</t>
        </r>
      </text>
    </comment>
    <comment ref="E3408" authorId="0" shapeId="0" xr:uid="{977A2E70-EEAA-45CC-BB5E-DFD99D7564E0}">
      <text>
        <r>
          <rPr>
            <b/>
            <sz val="9"/>
            <color indexed="81"/>
            <rFont val="MS P ゴシック"/>
            <family val="3"/>
            <charset val="128"/>
          </rPr>
          <t>chiba:</t>
        </r>
        <r>
          <rPr>
            <sz val="9"/>
            <color indexed="81"/>
            <rFont val="MS P ゴシック"/>
            <family val="3"/>
            <charset val="128"/>
          </rPr>
          <t xml:space="preserve">
在庫からなのでバルク単価</t>
        </r>
      </text>
    </comment>
    <comment ref="C3409" authorId="0" shapeId="0" xr:uid="{B0CF60EB-0EB4-46CF-ADB8-EBC0FF666DD1}">
      <text>
        <r>
          <rPr>
            <b/>
            <sz val="9"/>
            <color indexed="81"/>
            <rFont val="MS P ゴシック"/>
            <family val="3"/>
            <charset val="128"/>
          </rPr>
          <t>chiba:</t>
        </r>
        <r>
          <rPr>
            <sz val="9"/>
            <color indexed="81"/>
            <rFont val="MS P ゴシック"/>
            <family val="3"/>
            <charset val="128"/>
          </rPr>
          <t xml:space="preserve">
在庫からなのでバルク単価</t>
        </r>
      </text>
    </comment>
    <comment ref="E3409" authorId="0" shapeId="0" xr:uid="{E1C1C844-E7A1-4CF2-8BA9-CA12DAFCB082}">
      <text>
        <r>
          <rPr>
            <b/>
            <sz val="9"/>
            <color indexed="81"/>
            <rFont val="MS P ゴシック"/>
            <family val="3"/>
            <charset val="128"/>
          </rPr>
          <t>chiba:</t>
        </r>
        <r>
          <rPr>
            <sz val="9"/>
            <color indexed="81"/>
            <rFont val="MS P ゴシック"/>
            <family val="3"/>
            <charset val="128"/>
          </rPr>
          <t xml:space="preserve">
在庫からなのでバルク単価</t>
        </r>
      </text>
    </comment>
    <comment ref="C3410" authorId="0" shapeId="0" xr:uid="{2D7C3183-FA05-4764-AAD8-46081B2FFC67}">
      <text>
        <r>
          <rPr>
            <b/>
            <sz val="9"/>
            <color indexed="81"/>
            <rFont val="MS P ゴシック"/>
            <family val="3"/>
            <charset val="128"/>
          </rPr>
          <t>chiba:</t>
        </r>
        <r>
          <rPr>
            <sz val="9"/>
            <color indexed="81"/>
            <rFont val="MS P ゴシック"/>
            <family val="3"/>
            <charset val="128"/>
          </rPr>
          <t xml:space="preserve">
在庫からなのでバルク単価</t>
        </r>
      </text>
    </comment>
    <comment ref="E3410" authorId="0" shapeId="0" xr:uid="{296091C5-B871-4078-9599-DE8899CB7772}">
      <text>
        <r>
          <rPr>
            <b/>
            <sz val="9"/>
            <color indexed="81"/>
            <rFont val="MS P ゴシック"/>
            <family val="3"/>
            <charset val="128"/>
          </rPr>
          <t>chiba:</t>
        </r>
        <r>
          <rPr>
            <sz val="9"/>
            <color indexed="81"/>
            <rFont val="MS P ゴシック"/>
            <family val="3"/>
            <charset val="128"/>
          </rPr>
          <t xml:space="preserve">
在庫からなのでバルク単価</t>
        </r>
      </text>
    </comment>
    <comment ref="C3411" authorId="0" shapeId="0" xr:uid="{355E519F-9038-4C0C-8A90-6864B8EF8356}">
      <text>
        <r>
          <rPr>
            <b/>
            <sz val="9"/>
            <color indexed="81"/>
            <rFont val="MS P ゴシック"/>
            <family val="3"/>
            <charset val="128"/>
          </rPr>
          <t>chiba:</t>
        </r>
        <r>
          <rPr>
            <sz val="9"/>
            <color indexed="81"/>
            <rFont val="MS P ゴシック"/>
            <family val="3"/>
            <charset val="128"/>
          </rPr>
          <t xml:space="preserve">
17.06*1.5</t>
        </r>
      </text>
    </comment>
    <comment ref="C3412" authorId="0" shapeId="0" xr:uid="{E2CF5EF4-10DE-4C20-AE6C-A26996C7EB9C}">
      <text>
        <r>
          <rPr>
            <b/>
            <sz val="9"/>
            <color indexed="81"/>
            <rFont val="MS P ゴシック"/>
            <family val="3"/>
            <charset val="128"/>
          </rPr>
          <t>chiba:</t>
        </r>
        <r>
          <rPr>
            <sz val="9"/>
            <color indexed="81"/>
            <rFont val="MS P ゴシック"/>
            <family val="3"/>
            <charset val="128"/>
          </rPr>
          <t xml:space="preserve">
在庫からなのでバルク単価</t>
        </r>
      </text>
    </comment>
    <comment ref="E3412" authorId="0" shapeId="0" xr:uid="{E66E5978-4192-4A0F-A287-CC99CE51034E}">
      <text>
        <r>
          <rPr>
            <b/>
            <sz val="9"/>
            <color indexed="81"/>
            <rFont val="MS P ゴシック"/>
            <family val="3"/>
            <charset val="128"/>
          </rPr>
          <t>chiba:</t>
        </r>
        <r>
          <rPr>
            <sz val="9"/>
            <color indexed="81"/>
            <rFont val="MS P ゴシック"/>
            <family val="3"/>
            <charset val="128"/>
          </rPr>
          <t xml:space="preserve">
在庫からなのでバルク単価</t>
        </r>
      </text>
    </comment>
    <comment ref="C3413" authorId="0" shapeId="0" xr:uid="{9D0F640A-A9B5-46C3-A070-DAC00079C9C3}">
      <text>
        <r>
          <rPr>
            <b/>
            <sz val="9"/>
            <color indexed="81"/>
            <rFont val="MS P ゴシック"/>
            <family val="3"/>
            <charset val="128"/>
          </rPr>
          <t>chiba:</t>
        </r>
        <r>
          <rPr>
            <sz val="9"/>
            <color indexed="81"/>
            <rFont val="MS P ゴシック"/>
            <family val="3"/>
            <charset val="128"/>
          </rPr>
          <t xml:space="preserve">
44.2*1.5</t>
        </r>
      </text>
    </comment>
    <comment ref="C3414" authorId="0" shapeId="0" xr:uid="{81A257BE-7F0A-438E-B3CD-31B975813E82}">
      <text>
        <r>
          <rPr>
            <b/>
            <sz val="9"/>
            <color indexed="81"/>
            <rFont val="MS P ゴシック"/>
            <family val="3"/>
            <charset val="128"/>
          </rPr>
          <t>chiba:</t>
        </r>
        <r>
          <rPr>
            <sz val="9"/>
            <color indexed="81"/>
            <rFont val="MS P ゴシック"/>
            <family val="3"/>
            <charset val="128"/>
          </rPr>
          <t xml:space="preserve">
在庫からなのでバルク単価</t>
        </r>
      </text>
    </comment>
    <comment ref="E3414" authorId="0" shapeId="0" xr:uid="{4BDB529E-CFB7-472D-8208-B028BEFD319D}">
      <text>
        <r>
          <rPr>
            <b/>
            <sz val="9"/>
            <color indexed="81"/>
            <rFont val="MS P ゴシック"/>
            <family val="3"/>
            <charset val="128"/>
          </rPr>
          <t>chiba:</t>
        </r>
        <r>
          <rPr>
            <sz val="9"/>
            <color indexed="81"/>
            <rFont val="MS P ゴシック"/>
            <family val="3"/>
            <charset val="128"/>
          </rPr>
          <t xml:space="preserve">
在庫からなのでバルク単価</t>
        </r>
      </text>
    </comment>
    <comment ref="C3415" authorId="0" shapeId="0" xr:uid="{5060542B-64B0-4DD9-AEA8-F05851F1F113}">
      <text>
        <r>
          <rPr>
            <b/>
            <sz val="9"/>
            <color indexed="81"/>
            <rFont val="MS P ゴシック"/>
            <family val="3"/>
            <charset val="128"/>
          </rPr>
          <t>chiba:</t>
        </r>
        <r>
          <rPr>
            <sz val="9"/>
            <color indexed="81"/>
            <rFont val="MS P ゴシック"/>
            <family val="3"/>
            <charset val="128"/>
          </rPr>
          <t xml:space="preserve">
43.67*1.5</t>
        </r>
      </text>
    </comment>
    <comment ref="D3448" authorId="0" shapeId="0" xr:uid="{3F22056D-882B-4638-9E0C-6A9E99B74F63}">
      <text>
        <r>
          <rPr>
            <b/>
            <sz val="9"/>
            <color indexed="81"/>
            <rFont val="MS P ゴシック"/>
            <family val="3"/>
            <charset val="128"/>
          </rPr>
          <t>chiba:</t>
        </r>
        <r>
          <rPr>
            <sz val="9"/>
            <color indexed="81"/>
            <rFont val="MS P ゴシック"/>
            <family val="3"/>
            <charset val="128"/>
          </rPr>
          <t xml:space="preserve">
30.45*1.5</t>
        </r>
      </text>
    </comment>
    <comment ref="D3449" authorId="0" shapeId="0" xr:uid="{77BEF1F2-2299-4040-BAA7-C8BA28CDE78B}">
      <text>
        <r>
          <rPr>
            <b/>
            <sz val="9"/>
            <color indexed="81"/>
            <rFont val="MS P ゴシック"/>
            <family val="3"/>
            <charset val="128"/>
          </rPr>
          <t>chiba:</t>
        </r>
        <r>
          <rPr>
            <sz val="9"/>
            <color indexed="81"/>
            <rFont val="MS P ゴシック"/>
            <family val="3"/>
            <charset val="128"/>
          </rPr>
          <t xml:space="preserve">
38.4*1.5</t>
        </r>
      </text>
    </comment>
    <comment ref="D3450" authorId="0" shapeId="0" xr:uid="{5FE13140-FBAD-4B7F-9D4A-9D7896962B2A}">
      <text>
        <r>
          <rPr>
            <b/>
            <sz val="9"/>
            <color indexed="81"/>
            <rFont val="MS P ゴシック"/>
            <family val="3"/>
            <charset val="128"/>
          </rPr>
          <t>chiba:</t>
        </r>
        <r>
          <rPr>
            <sz val="9"/>
            <color indexed="81"/>
            <rFont val="MS P ゴシック"/>
            <family val="3"/>
            <charset val="128"/>
          </rPr>
          <t xml:space="preserve">
46.43*1.5</t>
        </r>
      </text>
    </comment>
    <comment ref="D3451" authorId="0" shapeId="0" xr:uid="{2845CB05-2AD1-4B15-A4C0-A20A0CA78001}">
      <text>
        <r>
          <rPr>
            <b/>
            <sz val="9"/>
            <color indexed="81"/>
            <rFont val="MS P ゴシック"/>
            <family val="3"/>
            <charset val="128"/>
          </rPr>
          <t>chiba:</t>
        </r>
        <r>
          <rPr>
            <sz val="9"/>
            <color indexed="81"/>
            <rFont val="MS P ゴシック"/>
            <family val="3"/>
            <charset val="128"/>
          </rPr>
          <t xml:space="preserve">
48.22*1.5</t>
        </r>
      </text>
    </comment>
    <comment ref="D3452" authorId="0" shapeId="0" xr:uid="{4047FDDD-B5F1-4461-B431-3E0D0EBE9518}">
      <text>
        <r>
          <rPr>
            <b/>
            <sz val="9"/>
            <color indexed="81"/>
            <rFont val="MS P ゴシック"/>
            <family val="3"/>
            <charset val="128"/>
          </rPr>
          <t>chiba:</t>
        </r>
        <r>
          <rPr>
            <sz val="9"/>
            <color indexed="81"/>
            <rFont val="MS P ゴシック"/>
            <family val="3"/>
            <charset val="128"/>
          </rPr>
          <t xml:space="preserve">
在庫からなのでバルク単価</t>
        </r>
      </text>
    </comment>
    <comment ref="G3452" authorId="0" shapeId="0" xr:uid="{007238BA-88B8-45F0-8C30-1B1995FE6DC9}">
      <text>
        <r>
          <rPr>
            <b/>
            <sz val="9"/>
            <color indexed="81"/>
            <rFont val="MS P ゴシック"/>
            <family val="3"/>
            <charset val="128"/>
          </rPr>
          <t>chiba:</t>
        </r>
        <r>
          <rPr>
            <sz val="9"/>
            <color indexed="81"/>
            <rFont val="MS P ゴシック"/>
            <family val="3"/>
            <charset val="128"/>
          </rPr>
          <t xml:space="preserve">
在庫からなのでバルク単価</t>
        </r>
      </text>
    </comment>
    <comment ref="D3453" authorId="0" shapeId="0" xr:uid="{76BBCEB6-6210-49D4-AA39-E2807D970908}">
      <text>
        <r>
          <rPr>
            <b/>
            <sz val="9"/>
            <color indexed="81"/>
            <rFont val="MS P ゴシック"/>
            <family val="3"/>
            <charset val="128"/>
          </rPr>
          <t>chiba:</t>
        </r>
        <r>
          <rPr>
            <sz val="9"/>
            <color indexed="81"/>
            <rFont val="MS P ゴシック"/>
            <family val="3"/>
            <charset val="128"/>
          </rPr>
          <t xml:space="preserve">
44.2*1.5</t>
        </r>
      </text>
    </comment>
    <comment ref="C3454" authorId="0" shapeId="0" xr:uid="{34C3A951-E4F9-4912-93C1-183B49836FF3}">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D3454" authorId="0" shapeId="0" xr:uid="{A99025BE-E8A0-475C-B6B5-399C9E40CA83}">
      <text>
        <r>
          <rPr>
            <b/>
            <sz val="9"/>
            <color indexed="81"/>
            <rFont val="MS P ゴシック"/>
            <family val="3"/>
            <charset val="128"/>
          </rPr>
          <t>chiba:</t>
        </r>
        <r>
          <rPr>
            <sz val="9"/>
            <color indexed="81"/>
            <rFont val="MS P ゴシック"/>
            <family val="3"/>
            <charset val="128"/>
          </rPr>
          <t xml:space="preserve">
在庫からなのでバルク単価</t>
        </r>
      </text>
    </comment>
    <comment ref="G3454" authorId="0" shapeId="0" xr:uid="{3874F994-AEA1-4B5F-B322-E5D51EA8FEC2}">
      <text>
        <r>
          <rPr>
            <b/>
            <sz val="9"/>
            <color indexed="81"/>
            <rFont val="MS P ゴシック"/>
            <family val="3"/>
            <charset val="128"/>
          </rPr>
          <t>chiba:</t>
        </r>
        <r>
          <rPr>
            <sz val="9"/>
            <color indexed="81"/>
            <rFont val="MS P ゴシック"/>
            <family val="3"/>
            <charset val="128"/>
          </rPr>
          <t xml:space="preserve">
在庫からなのでバルク単価</t>
        </r>
      </text>
    </comment>
    <comment ref="D3455" authorId="0" shapeId="0" xr:uid="{F2941E0B-6E45-46C8-AAE2-8CB6AC8657C1}">
      <text>
        <r>
          <rPr>
            <b/>
            <sz val="9"/>
            <color indexed="81"/>
            <rFont val="MS P ゴシック"/>
            <family val="3"/>
            <charset val="128"/>
          </rPr>
          <t>chiba:</t>
        </r>
        <r>
          <rPr>
            <sz val="9"/>
            <color indexed="81"/>
            <rFont val="MS P ゴシック"/>
            <family val="3"/>
            <charset val="128"/>
          </rPr>
          <t xml:space="preserve">
在庫からなのでバルク単価</t>
        </r>
      </text>
    </comment>
    <comment ref="G3455" authorId="0" shapeId="0" xr:uid="{60BF9CF9-7A4D-4E2B-A972-DDE3AFD0E43E}">
      <text>
        <r>
          <rPr>
            <b/>
            <sz val="9"/>
            <color indexed="81"/>
            <rFont val="MS P ゴシック"/>
            <family val="3"/>
            <charset val="128"/>
          </rPr>
          <t>chiba:</t>
        </r>
        <r>
          <rPr>
            <sz val="9"/>
            <color indexed="81"/>
            <rFont val="MS P ゴシック"/>
            <family val="3"/>
            <charset val="128"/>
          </rPr>
          <t xml:space="preserve">
在庫からなのでバルク単価</t>
        </r>
      </text>
    </comment>
    <comment ref="D3456" authorId="0" shapeId="0" xr:uid="{7DD8259C-2F12-4C4E-BEB2-12EEFCC73611}">
      <text>
        <r>
          <rPr>
            <b/>
            <sz val="9"/>
            <color indexed="81"/>
            <rFont val="MS P ゴシック"/>
            <family val="3"/>
            <charset val="128"/>
          </rPr>
          <t>chiba:</t>
        </r>
        <r>
          <rPr>
            <sz val="9"/>
            <color indexed="81"/>
            <rFont val="MS P ゴシック"/>
            <family val="3"/>
            <charset val="128"/>
          </rPr>
          <t xml:space="preserve">
43.67*1.5</t>
        </r>
      </text>
    </comment>
    <comment ref="D3457" authorId="0" shapeId="0" xr:uid="{697EF0B3-CEC5-4542-ACFC-3E081A0D5DB0}">
      <text>
        <r>
          <rPr>
            <b/>
            <sz val="9"/>
            <color indexed="81"/>
            <rFont val="MS P ゴシック"/>
            <family val="3"/>
            <charset val="128"/>
          </rPr>
          <t>chiba:</t>
        </r>
        <r>
          <rPr>
            <sz val="9"/>
            <color indexed="81"/>
            <rFont val="MS P ゴシック"/>
            <family val="3"/>
            <charset val="128"/>
          </rPr>
          <t xml:space="preserve">
17.06*1.5</t>
        </r>
      </text>
    </comment>
    <comment ref="C3458" authorId="0" shapeId="0" xr:uid="{0597A593-5D1D-459C-A8E0-5DB7C397F65E}">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D3458" authorId="0" shapeId="0" xr:uid="{C9220AB3-17DB-4AD4-B248-1E8B7374DD77}">
      <text>
        <r>
          <rPr>
            <b/>
            <sz val="9"/>
            <color indexed="81"/>
            <rFont val="MS P ゴシック"/>
            <family val="3"/>
            <charset val="128"/>
          </rPr>
          <t>chiba:</t>
        </r>
        <r>
          <rPr>
            <sz val="9"/>
            <color indexed="81"/>
            <rFont val="MS P ゴシック"/>
            <family val="3"/>
            <charset val="128"/>
          </rPr>
          <t xml:space="preserve">
在庫からなのでバルク単価</t>
        </r>
      </text>
    </comment>
    <comment ref="G3458" authorId="0" shapeId="0" xr:uid="{004E47CA-148E-4EE4-9804-58A309242285}">
      <text>
        <r>
          <rPr>
            <b/>
            <sz val="9"/>
            <color indexed="81"/>
            <rFont val="MS P ゴシック"/>
            <family val="3"/>
            <charset val="128"/>
          </rPr>
          <t>chiba:</t>
        </r>
        <r>
          <rPr>
            <sz val="9"/>
            <color indexed="81"/>
            <rFont val="MS P ゴシック"/>
            <family val="3"/>
            <charset val="128"/>
          </rPr>
          <t xml:space="preserve">
在庫からなのでバルク単価</t>
        </r>
      </text>
    </comment>
    <comment ref="D3476" authorId="0" shapeId="0" xr:uid="{739544DA-8914-4C6E-A05F-8AAEBB75294F}">
      <text>
        <r>
          <rPr>
            <b/>
            <sz val="9"/>
            <color indexed="81"/>
            <rFont val="MS P ゴシック"/>
            <family val="3"/>
            <charset val="128"/>
          </rPr>
          <t>chiba:</t>
        </r>
        <r>
          <rPr>
            <sz val="9"/>
            <color indexed="81"/>
            <rFont val="MS P ゴシック"/>
            <family val="3"/>
            <charset val="128"/>
          </rPr>
          <t xml:space="preserve">
30.45*1.5</t>
        </r>
      </text>
    </comment>
    <comment ref="D3477" authorId="0" shapeId="0" xr:uid="{2945AC4D-7A34-4076-8059-232F3D2B8EFB}">
      <text>
        <r>
          <rPr>
            <b/>
            <sz val="9"/>
            <color indexed="81"/>
            <rFont val="MS P ゴシック"/>
            <family val="3"/>
            <charset val="128"/>
          </rPr>
          <t>chiba:</t>
        </r>
        <r>
          <rPr>
            <sz val="9"/>
            <color indexed="81"/>
            <rFont val="MS P ゴシック"/>
            <family val="3"/>
            <charset val="128"/>
          </rPr>
          <t xml:space="preserve">
38.4*1.5</t>
        </r>
      </text>
    </comment>
    <comment ref="D3478" authorId="0" shapeId="0" xr:uid="{71B72086-B8CF-44B4-A209-FF87C196254E}">
      <text>
        <r>
          <rPr>
            <b/>
            <sz val="9"/>
            <color indexed="81"/>
            <rFont val="MS P ゴシック"/>
            <family val="3"/>
            <charset val="128"/>
          </rPr>
          <t>chiba:</t>
        </r>
        <r>
          <rPr>
            <sz val="9"/>
            <color indexed="81"/>
            <rFont val="MS P ゴシック"/>
            <family val="3"/>
            <charset val="128"/>
          </rPr>
          <t xml:space="preserve">
46.43*1.5</t>
        </r>
      </text>
    </comment>
    <comment ref="D3479" authorId="0" shapeId="0" xr:uid="{A2D58D5A-3B3C-4946-B6E6-B1B52BB219DE}">
      <text>
        <r>
          <rPr>
            <b/>
            <sz val="9"/>
            <color indexed="81"/>
            <rFont val="MS P ゴシック"/>
            <family val="3"/>
            <charset val="128"/>
          </rPr>
          <t>chiba:</t>
        </r>
        <r>
          <rPr>
            <sz val="9"/>
            <color indexed="81"/>
            <rFont val="MS P ゴシック"/>
            <family val="3"/>
            <charset val="128"/>
          </rPr>
          <t xml:space="preserve">
48.22*1.5</t>
        </r>
      </text>
    </comment>
    <comment ref="D3480" authorId="0" shapeId="0" xr:uid="{453A8C6F-55E3-43F2-928E-261A474E5F87}">
      <text>
        <r>
          <rPr>
            <b/>
            <sz val="9"/>
            <color indexed="81"/>
            <rFont val="MS P ゴシック"/>
            <family val="3"/>
            <charset val="128"/>
          </rPr>
          <t>chiba:</t>
        </r>
        <r>
          <rPr>
            <sz val="9"/>
            <color indexed="81"/>
            <rFont val="MS P ゴシック"/>
            <family val="3"/>
            <charset val="128"/>
          </rPr>
          <t xml:space="preserve">
在庫からなのでバルク単価</t>
        </r>
      </text>
    </comment>
    <comment ref="D3481" authorId="0" shapeId="0" xr:uid="{B3DA0D37-EEB0-481D-BE18-30A680B77334}">
      <text>
        <r>
          <rPr>
            <b/>
            <sz val="9"/>
            <color indexed="81"/>
            <rFont val="MS P ゴシック"/>
            <family val="3"/>
            <charset val="128"/>
          </rPr>
          <t>chiba:</t>
        </r>
        <r>
          <rPr>
            <sz val="9"/>
            <color indexed="81"/>
            <rFont val="MS P ゴシック"/>
            <family val="3"/>
            <charset val="128"/>
          </rPr>
          <t xml:space="preserve">
44.2*1.5</t>
        </r>
      </text>
    </comment>
    <comment ref="C3482" authorId="0" shapeId="0" xr:uid="{4595BF25-4055-4D56-8045-32C64E7B2159}">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D3482" authorId="0" shapeId="0" xr:uid="{EAB23DCD-CCCC-4A66-A67A-7B6247FF5E07}">
      <text>
        <r>
          <rPr>
            <b/>
            <sz val="9"/>
            <color indexed="81"/>
            <rFont val="MS P ゴシック"/>
            <family val="3"/>
            <charset val="128"/>
          </rPr>
          <t>chiba:</t>
        </r>
        <r>
          <rPr>
            <sz val="9"/>
            <color indexed="81"/>
            <rFont val="MS P ゴシック"/>
            <family val="3"/>
            <charset val="128"/>
          </rPr>
          <t xml:space="preserve">
在庫からなのでバルク単価</t>
        </r>
      </text>
    </comment>
    <comment ref="D3483" authorId="0" shapeId="0" xr:uid="{71A441CF-3FB7-46D9-88A5-4E338CC2EF9A}">
      <text>
        <r>
          <rPr>
            <b/>
            <sz val="9"/>
            <color indexed="81"/>
            <rFont val="MS P ゴシック"/>
            <family val="3"/>
            <charset val="128"/>
          </rPr>
          <t>chiba:</t>
        </r>
        <r>
          <rPr>
            <sz val="9"/>
            <color indexed="81"/>
            <rFont val="MS P ゴシック"/>
            <family val="3"/>
            <charset val="128"/>
          </rPr>
          <t xml:space="preserve">
在庫からなのでバルク単価</t>
        </r>
      </text>
    </comment>
    <comment ref="D3484" authorId="0" shapeId="0" xr:uid="{ACDC6C0A-614E-4CFE-A36A-E11F20789AAE}">
      <text>
        <r>
          <rPr>
            <b/>
            <sz val="9"/>
            <color indexed="81"/>
            <rFont val="MS P ゴシック"/>
            <family val="3"/>
            <charset val="128"/>
          </rPr>
          <t>chiba:</t>
        </r>
        <r>
          <rPr>
            <sz val="9"/>
            <color indexed="81"/>
            <rFont val="MS P ゴシック"/>
            <family val="3"/>
            <charset val="128"/>
          </rPr>
          <t xml:space="preserve">
43.67*1.5</t>
        </r>
      </text>
    </comment>
    <comment ref="D3485" authorId="0" shapeId="0" xr:uid="{EE1B387E-2F89-4D20-BFA8-50454E2CC420}">
      <text>
        <r>
          <rPr>
            <b/>
            <sz val="9"/>
            <color indexed="81"/>
            <rFont val="MS P ゴシック"/>
            <family val="3"/>
            <charset val="128"/>
          </rPr>
          <t>chiba:</t>
        </r>
        <r>
          <rPr>
            <sz val="9"/>
            <color indexed="81"/>
            <rFont val="MS P ゴシック"/>
            <family val="3"/>
            <charset val="128"/>
          </rPr>
          <t xml:space="preserve">
17.06*1.5</t>
        </r>
      </text>
    </comment>
    <comment ref="C3486" authorId="0" shapeId="0" xr:uid="{436CB689-3823-4FF4-BED8-4BFE27DA6170}">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D3486" authorId="0" shapeId="0" xr:uid="{CB3039C2-CD32-4B31-A67A-13FCCC5B4D93}">
      <text>
        <r>
          <rPr>
            <b/>
            <sz val="9"/>
            <color indexed="81"/>
            <rFont val="MS P ゴシック"/>
            <family val="3"/>
            <charset val="128"/>
          </rPr>
          <t>chiba:</t>
        </r>
        <r>
          <rPr>
            <sz val="9"/>
            <color indexed="81"/>
            <rFont val="MS P ゴシック"/>
            <family val="3"/>
            <charset val="128"/>
          </rPr>
          <t xml:space="preserve">
在庫からなのでバルク単価</t>
        </r>
      </text>
    </comment>
    <comment ref="C3504" authorId="0" shapeId="0" xr:uid="{E6474B3E-C7F2-487B-ADA8-53AFE7B68728}">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D3504" authorId="0" shapeId="0" xr:uid="{1D40561B-01EB-41FB-A493-C5598709D396}">
      <text>
        <r>
          <rPr>
            <b/>
            <sz val="9"/>
            <color indexed="81"/>
            <rFont val="MS P ゴシック"/>
            <family val="3"/>
            <charset val="128"/>
          </rPr>
          <t>chiba:</t>
        </r>
        <r>
          <rPr>
            <sz val="9"/>
            <color indexed="81"/>
            <rFont val="MS P ゴシック"/>
            <family val="3"/>
            <charset val="128"/>
          </rPr>
          <t xml:space="preserve">
在庫からなのでバルク単価</t>
        </r>
      </text>
    </comment>
    <comment ref="D3505" authorId="0" shapeId="0" xr:uid="{68A6D509-B790-4913-8474-D904DC132E0B}">
      <text>
        <r>
          <rPr>
            <b/>
            <sz val="9"/>
            <color indexed="81"/>
            <rFont val="MS P ゴシック"/>
            <family val="3"/>
            <charset val="128"/>
          </rPr>
          <t>chiba:</t>
        </r>
        <r>
          <rPr>
            <sz val="9"/>
            <color indexed="81"/>
            <rFont val="MS P ゴシック"/>
            <family val="3"/>
            <charset val="128"/>
          </rPr>
          <t xml:space="preserve">
17.06*1.5</t>
        </r>
      </text>
    </comment>
    <comment ref="C3506" authorId="0" shapeId="0" xr:uid="{ED4B7213-D755-4177-A8FC-CCB2A465FDDB}">
      <text>
        <r>
          <rPr>
            <b/>
            <sz val="9"/>
            <color indexed="81"/>
            <rFont val="MS P ゴシック"/>
            <family val="3"/>
            <charset val="128"/>
          </rPr>
          <t>chiba:</t>
        </r>
        <r>
          <rPr>
            <sz val="9"/>
            <color indexed="81"/>
            <rFont val="MS P ゴシック"/>
            <family val="3"/>
            <charset val="128"/>
          </rPr>
          <t xml:space="preserve">
実際の発送は7mのみ
1m 試験サンプル用にカット</t>
        </r>
      </text>
    </comment>
    <comment ref="D3506" authorId="0" shapeId="0" xr:uid="{57236B43-48C5-4FEA-9301-3C67963603B4}">
      <text>
        <r>
          <rPr>
            <b/>
            <sz val="9"/>
            <color indexed="81"/>
            <rFont val="MS P ゴシック"/>
            <family val="3"/>
            <charset val="128"/>
          </rPr>
          <t>chiba:</t>
        </r>
        <r>
          <rPr>
            <sz val="9"/>
            <color indexed="81"/>
            <rFont val="MS P ゴシック"/>
            <family val="3"/>
            <charset val="128"/>
          </rPr>
          <t xml:space="preserve">
在庫からなのでバルク単価</t>
        </r>
      </text>
    </comment>
    <comment ref="A3518" authorId="0" shapeId="0" xr:uid="{DD1C4170-254B-4F9B-B62B-BFD66B799C5F}">
      <text>
        <r>
          <rPr>
            <b/>
            <sz val="9"/>
            <color indexed="81"/>
            <rFont val="MS P ゴシック"/>
            <family val="3"/>
            <charset val="128"/>
          </rPr>
          <t>chiba:</t>
        </r>
        <r>
          <rPr>
            <sz val="9"/>
            <color indexed="81"/>
            <rFont val="MS P ゴシック"/>
            <family val="3"/>
            <charset val="128"/>
          </rPr>
          <t xml:space="preserve">
KKF3770-W
</t>
        </r>
      </text>
    </comment>
    <comment ref="F3550" authorId="0" shapeId="0" xr:uid="{8534F1E8-4572-4485-BD46-E4E16330C371}">
      <text>
        <r>
          <rPr>
            <b/>
            <sz val="9"/>
            <color indexed="81"/>
            <rFont val="MS P ゴシック"/>
            <family val="3"/>
            <charset val="128"/>
          </rPr>
          <t>chiba:</t>
        </r>
        <r>
          <rPr>
            <sz val="9"/>
            <color indexed="81"/>
            <rFont val="MS P ゴシック"/>
            <family val="3"/>
            <charset val="128"/>
          </rPr>
          <t xml:space="preserve">
次回から520円</t>
        </r>
      </text>
    </comment>
    <comment ref="G3556" authorId="1" shapeId="0" xr:uid="{61C0432D-AE7B-4FF1-A546-0B6D15B20621}">
      <text>
        <r>
          <rPr>
            <b/>
            <sz val="9"/>
            <color indexed="81"/>
            <rFont val="MS P ゴシック"/>
            <family val="3"/>
            <charset val="128"/>
          </rPr>
          <t>sunfashion:</t>
        </r>
        <r>
          <rPr>
            <sz val="9"/>
            <color indexed="81"/>
            <rFont val="MS P ゴシック"/>
            <family val="3"/>
            <charset val="128"/>
          </rPr>
          <t xml:space="preserve">
40 % 
125</t>
        </r>
      </text>
    </comment>
    <comment ref="G3560" authorId="1" shapeId="0" xr:uid="{EEB2C52B-2612-4263-9EE5-15619881DEAF}">
      <text>
        <r>
          <rPr>
            <b/>
            <sz val="9"/>
            <color indexed="81"/>
            <rFont val="MS P ゴシック"/>
            <family val="3"/>
            <charset val="128"/>
          </rPr>
          <t>sunfashion:</t>
        </r>
        <r>
          <rPr>
            <sz val="9"/>
            <color indexed="81"/>
            <rFont val="MS P ゴシック"/>
            <family val="3"/>
            <charset val="128"/>
          </rPr>
          <t xml:space="preserve">
34% （÷ 0.66) 
125円</t>
        </r>
      </text>
    </comment>
    <comment ref="C3570" authorId="1" shapeId="0" xr:uid="{B74F0367-BC9B-42EA-95C3-8E7D7071A5DE}">
      <text>
        <r>
          <rPr>
            <b/>
            <sz val="9"/>
            <color indexed="81"/>
            <rFont val="MS P ゴシック"/>
            <family val="3"/>
            <charset val="128"/>
          </rPr>
          <t>sunfashion:</t>
        </r>
        <r>
          <rPr>
            <sz val="9"/>
            <color indexed="81"/>
            <rFont val="MS P ゴシック"/>
            <family val="3"/>
            <charset val="128"/>
          </rPr>
          <t xml:space="preserve">
KF 4005 D/# F-3431</t>
        </r>
      </text>
    </comment>
    <comment ref="C3571" authorId="1" shapeId="0" xr:uid="{C1608642-9787-4928-9E88-CF856262C44F}">
      <text>
        <r>
          <rPr>
            <b/>
            <sz val="9"/>
            <color indexed="81"/>
            <rFont val="MS P ゴシック"/>
            <family val="3"/>
            <charset val="128"/>
          </rPr>
          <t>sunfashion:</t>
        </r>
        <r>
          <rPr>
            <sz val="9"/>
            <color indexed="81"/>
            <rFont val="MS P ゴシック"/>
            <family val="3"/>
            <charset val="128"/>
          </rPr>
          <t xml:space="preserve">
KF 4005 D/# F-3431</t>
        </r>
      </text>
    </comment>
    <comment ref="A3593" authorId="1" shapeId="0" xr:uid="{A0260550-21CC-48EE-970D-AB4D095A2720}">
      <text>
        <r>
          <rPr>
            <b/>
            <sz val="9"/>
            <color indexed="81"/>
            <rFont val="MS P ゴシック"/>
            <family val="3"/>
            <charset val="128"/>
          </rPr>
          <t>sunfashion:</t>
        </r>
        <r>
          <rPr>
            <sz val="9"/>
            <color indexed="81"/>
            <rFont val="MS P ゴシック"/>
            <family val="3"/>
            <charset val="128"/>
          </rPr>
          <t xml:space="preserve">
KF 4005 D/# F-3431</t>
        </r>
      </text>
    </comment>
    <comment ref="A3594" authorId="1" shapeId="0" xr:uid="{554111E2-5591-4B91-9BA0-DD99860E0C59}">
      <text>
        <r>
          <rPr>
            <b/>
            <sz val="9"/>
            <color indexed="81"/>
            <rFont val="MS P ゴシック"/>
            <family val="3"/>
            <charset val="128"/>
          </rPr>
          <t>sunfashion:</t>
        </r>
        <r>
          <rPr>
            <sz val="9"/>
            <color indexed="81"/>
            <rFont val="MS P ゴシック"/>
            <family val="3"/>
            <charset val="128"/>
          </rPr>
          <t xml:space="preserve">
KF 4005 D/# F-3431</t>
        </r>
      </text>
    </comment>
    <comment ref="A3595" authorId="1" shapeId="0" xr:uid="{B49BAAB4-A175-492C-8CB7-3AAA1DF0DBE9}">
      <text>
        <r>
          <rPr>
            <b/>
            <sz val="9"/>
            <color indexed="81"/>
            <rFont val="MS P ゴシック"/>
            <family val="3"/>
            <charset val="128"/>
          </rPr>
          <t>sunfashion:</t>
        </r>
        <r>
          <rPr>
            <sz val="9"/>
            <color indexed="81"/>
            <rFont val="MS P ゴシック"/>
            <family val="3"/>
            <charset val="128"/>
          </rPr>
          <t xml:space="preserve">
KF 4005 D/# F-3431</t>
        </r>
      </text>
    </comment>
    <comment ref="A3596" authorId="1" shapeId="0" xr:uid="{D74BB7A0-ED32-4419-A48C-316F6228135E}">
      <text>
        <r>
          <rPr>
            <b/>
            <sz val="9"/>
            <color indexed="81"/>
            <rFont val="MS P ゴシック"/>
            <family val="3"/>
            <charset val="128"/>
          </rPr>
          <t>sunfashion:</t>
        </r>
        <r>
          <rPr>
            <sz val="9"/>
            <color indexed="81"/>
            <rFont val="MS P ゴシック"/>
            <family val="3"/>
            <charset val="128"/>
          </rPr>
          <t xml:space="preserve">
KF 4005 D/# F-3431</t>
        </r>
      </text>
    </comment>
    <comment ref="E3644" authorId="0" shapeId="0" xr:uid="{06717C58-EF48-4D52-8873-40E79905B3C7}">
      <text>
        <r>
          <rPr>
            <b/>
            <sz val="9"/>
            <color indexed="81"/>
            <rFont val="MS P ゴシック"/>
            <family val="3"/>
            <charset val="128"/>
          </rPr>
          <t>chiba:</t>
        </r>
        <r>
          <rPr>
            <sz val="9"/>
            <color indexed="81"/>
            <rFont val="MS P ゴシック"/>
            <family val="3"/>
            <charset val="128"/>
          </rPr>
          <t xml:space="preserve">
3000m 以上、バルク単価</t>
        </r>
      </text>
    </comment>
    <comment ref="F3894" authorId="1" shapeId="0" xr:uid="{81E461F9-9AA1-4F23-97D6-DBFFA7E160DC}">
      <text>
        <r>
          <rPr>
            <b/>
            <sz val="9"/>
            <color indexed="81"/>
            <rFont val="MS P ゴシック"/>
            <family val="3"/>
            <charset val="128"/>
          </rPr>
          <t>sunfashion:</t>
        </r>
        <r>
          <rPr>
            <sz val="9"/>
            <color indexed="81"/>
            <rFont val="MS P ゴシック"/>
            <family val="3"/>
            <charset val="128"/>
          </rPr>
          <t xml:space="preserve">
40 % 
125</t>
        </r>
      </text>
    </comment>
    <comment ref="H3998" authorId="0" shapeId="0" xr:uid="{6FDB9F22-5BCE-4C6F-AC1B-8B294BEE0417}">
      <text>
        <r>
          <rPr>
            <b/>
            <sz val="9"/>
            <color indexed="81"/>
            <rFont val="MS P ゴシック"/>
            <family val="3"/>
            <charset val="128"/>
          </rPr>
          <t>chiba:</t>
        </r>
        <r>
          <rPr>
            <sz val="9"/>
            <color indexed="81"/>
            <rFont val="MS P ゴシック"/>
            <family val="3"/>
            <charset val="128"/>
          </rPr>
          <t xml:space="preserve">
今回は請求なし</t>
        </r>
      </text>
    </comment>
    <comment ref="A4018" authorId="0" shapeId="0" xr:uid="{490B911F-724F-4494-81D2-DE3EF8C6E5B9}">
      <text>
        <r>
          <rPr>
            <b/>
            <sz val="9"/>
            <color indexed="81"/>
            <rFont val="MS P ゴシック"/>
            <family val="3"/>
            <charset val="128"/>
          </rPr>
          <t>chiba:</t>
        </r>
        <r>
          <rPr>
            <sz val="9"/>
            <color indexed="81"/>
            <rFont val="MS P ゴシック"/>
            <family val="3"/>
            <charset val="128"/>
          </rPr>
          <t xml:space="preserve">
KF4005 </t>
        </r>
      </text>
    </comment>
    <comment ref="A4040" authorId="0" shapeId="0" xr:uid="{75B066AC-D6C2-4C93-9B13-921BCB10461F}">
      <text>
        <r>
          <rPr>
            <b/>
            <sz val="9"/>
            <color indexed="81"/>
            <rFont val="MS P ゴシック"/>
            <family val="3"/>
            <charset val="128"/>
          </rPr>
          <t>chiba:</t>
        </r>
        <r>
          <rPr>
            <sz val="9"/>
            <color indexed="81"/>
            <rFont val="MS P ゴシック"/>
            <family val="3"/>
            <charset val="128"/>
          </rPr>
          <t xml:space="preserve">
KKF9225/#1 </t>
        </r>
      </text>
    </comment>
    <comment ref="A4041" authorId="0" shapeId="0" xr:uid="{9728B835-02DB-4392-BEBA-37C2258935B4}">
      <text>
        <r>
          <rPr>
            <b/>
            <sz val="9"/>
            <color indexed="81"/>
            <rFont val="MS P ゴシック"/>
            <family val="3"/>
            <charset val="128"/>
          </rPr>
          <t>chiba:</t>
        </r>
        <r>
          <rPr>
            <sz val="9"/>
            <color indexed="81"/>
            <rFont val="MS P ゴシック"/>
            <family val="3"/>
            <charset val="128"/>
          </rPr>
          <t xml:space="preserve">
KKF9225/#1 </t>
        </r>
      </text>
    </comment>
    <comment ref="A4045" authorId="0" shapeId="0" xr:uid="{D8715EB7-69E4-4A89-BBD6-24866391BD32}">
      <text>
        <r>
          <rPr>
            <b/>
            <sz val="9"/>
            <color indexed="81"/>
            <rFont val="MS P ゴシック"/>
            <family val="3"/>
            <charset val="128"/>
          </rPr>
          <t>chiba:</t>
        </r>
        <r>
          <rPr>
            <sz val="9"/>
            <color indexed="81"/>
            <rFont val="MS P ゴシック"/>
            <family val="3"/>
            <charset val="128"/>
          </rPr>
          <t xml:space="preserve">
KKF9225  D/# 1</t>
        </r>
      </text>
    </comment>
    <comment ref="A4381" authorId="0" shapeId="0" xr:uid="{5624F2B1-72ED-437A-AE90-180CE4688C55}">
      <text>
        <r>
          <rPr>
            <b/>
            <sz val="9"/>
            <color indexed="81"/>
            <rFont val="MS P ゴシック"/>
            <family val="3"/>
            <charset val="128"/>
          </rPr>
          <t>chiba:</t>
        </r>
        <r>
          <rPr>
            <sz val="9"/>
            <color indexed="81"/>
            <rFont val="MS P ゴシック"/>
            <family val="3"/>
            <charset val="128"/>
          </rPr>
          <t xml:space="preserve">
在庫限り廃番</t>
        </r>
      </text>
    </comment>
    <comment ref="A4382" authorId="0" shapeId="0" xr:uid="{6DF47DC5-5193-4FBB-B541-D2FDFDE19F8B}">
      <text>
        <r>
          <rPr>
            <b/>
            <sz val="9"/>
            <color indexed="81"/>
            <rFont val="MS P ゴシック"/>
            <family val="3"/>
            <charset val="128"/>
          </rPr>
          <t>chiba:</t>
        </r>
        <r>
          <rPr>
            <sz val="9"/>
            <color indexed="81"/>
            <rFont val="MS P ゴシック"/>
            <family val="3"/>
            <charset val="128"/>
          </rPr>
          <t xml:space="preserve">
在庫限り廃番</t>
        </r>
      </text>
    </comment>
    <comment ref="D4603" authorId="0" shapeId="0" xr:uid="{0820F3C9-7D4D-4807-8C43-4C60AD69A6C9}">
      <text>
        <r>
          <rPr>
            <b/>
            <sz val="9"/>
            <color indexed="81"/>
            <rFont val="MS P ゴシック"/>
            <family val="3"/>
            <charset val="128"/>
          </rPr>
          <t>chiba:</t>
        </r>
        <r>
          <rPr>
            <sz val="9"/>
            <color indexed="81"/>
            <rFont val="MS P ゴシック"/>
            <family val="3"/>
            <charset val="128"/>
          </rPr>
          <t xml:space="preserve">
商品代580円 + カット代 100円/m +念のためキバタ生産アップチャージ 100円/m</t>
        </r>
      </text>
    </comment>
    <comment ref="D4604" authorId="0" shapeId="0" xr:uid="{EEF9A9AD-498A-4E06-BF39-EF648200970C}">
      <text>
        <r>
          <rPr>
            <b/>
            <sz val="9"/>
            <color indexed="81"/>
            <rFont val="MS P ゴシック"/>
            <family val="3"/>
            <charset val="128"/>
          </rPr>
          <t>chiba:</t>
        </r>
        <r>
          <rPr>
            <sz val="9"/>
            <color indexed="81"/>
            <rFont val="MS P ゴシック"/>
            <family val="3"/>
            <charset val="128"/>
          </rPr>
          <t xml:space="preserve">
商品代580円 +念のためキバタ生産1反〜9反 100円/mアップ+輸出梱包 30円/m </t>
        </r>
      </text>
    </comment>
    <comment ref="D4605" authorId="0" shapeId="0" xr:uid="{F7B4045B-CB23-4F0D-89D1-ACD77F59210C}">
      <text>
        <r>
          <rPr>
            <b/>
            <sz val="9"/>
            <color indexed="81"/>
            <rFont val="MS P ゴシック"/>
            <family val="3"/>
            <charset val="128"/>
          </rPr>
          <t>chiba:</t>
        </r>
        <r>
          <rPr>
            <sz val="9"/>
            <color indexed="81"/>
            <rFont val="MS P ゴシック"/>
            <family val="3"/>
            <charset val="128"/>
          </rPr>
          <t xml:space="preserve">
商品代580円 + カット代 100円/m +念のためキバタ生産アップチャージ 100円/m</t>
        </r>
      </text>
    </comment>
    <comment ref="D4606" authorId="0" shapeId="0" xr:uid="{DC4B4E8D-665B-4782-B380-1848D50C5361}">
      <text>
        <r>
          <rPr>
            <b/>
            <sz val="9"/>
            <color indexed="81"/>
            <rFont val="MS P ゴシック"/>
            <family val="3"/>
            <charset val="128"/>
          </rPr>
          <t>chiba:</t>
        </r>
        <r>
          <rPr>
            <sz val="9"/>
            <color indexed="81"/>
            <rFont val="MS P ゴシック"/>
            <family val="3"/>
            <charset val="128"/>
          </rPr>
          <t xml:space="preserve">
商品代580円 +念のためキバタ生産1反〜9反 100円/mアップ+輸出梱包 30円/m </t>
        </r>
      </text>
    </comment>
    <comment ref="E4625" authorId="0" shapeId="0" xr:uid="{FF2AE736-9E8C-427E-B36B-B672E45A63CC}">
      <text>
        <r>
          <rPr>
            <b/>
            <sz val="9"/>
            <color indexed="81"/>
            <rFont val="MS P ゴシック"/>
            <family val="3"/>
            <charset val="128"/>
          </rPr>
          <t>chiba:</t>
        </r>
        <r>
          <rPr>
            <sz val="9"/>
            <color indexed="81"/>
            <rFont val="MS P ゴシック"/>
            <family val="3"/>
            <charset val="128"/>
          </rPr>
          <t xml:space="preserve">
キバタ生産アップチャージ +100円
こみ580+100+100に合わせて計算</t>
        </r>
      </text>
    </comment>
    <comment ref="G4644" authorId="1" shapeId="0" xr:uid="{57FD56C8-FC36-45E7-9898-B3C2272578C4}">
      <text>
        <r>
          <rPr>
            <b/>
            <sz val="9"/>
            <color indexed="81"/>
            <rFont val="MS P ゴシック"/>
            <family val="3"/>
            <charset val="128"/>
          </rPr>
          <t>sunfashion:</t>
        </r>
        <r>
          <rPr>
            <sz val="9"/>
            <color indexed="81"/>
            <rFont val="MS P ゴシック"/>
            <family val="3"/>
            <charset val="128"/>
          </rPr>
          <t xml:space="preserve">
47%（max border  ÷0.53) 
レート125
</t>
        </r>
      </text>
    </comment>
  </commentList>
</comments>
</file>

<file path=xl/sharedStrings.xml><?xml version="1.0" encoding="utf-8"?>
<sst xmlns="http://schemas.openxmlformats.org/spreadsheetml/2006/main" count="21189" uniqueCount="5227">
  <si>
    <t>ART. NO.</t>
    <phoneticPr fontId="4"/>
  </si>
  <si>
    <t>QTY</t>
    <phoneticPr fontId="4"/>
  </si>
  <si>
    <t>Put-up</t>
    <phoneticPr fontId="4"/>
  </si>
  <si>
    <t>SF-USA</t>
    <phoneticPr fontId="4"/>
  </si>
  <si>
    <t>Polyester-100%</t>
    <phoneticPr fontId="4"/>
  </si>
  <si>
    <t>Black</t>
    <phoneticPr fontId="4"/>
  </si>
  <si>
    <t>Petersham Ribbon</t>
    <phoneticPr fontId="4"/>
  </si>
  <si>
    <t>(per roll)</t>
    <phoneticPr fontId="4"/>
  </si>
  <si>
    <t>(per meter)</t>
    <phoneticPr fontId="4"/>
  </si>
  <si>
    <t>T3500</t>
    <phoneticPr fontId="4"/>
  </si>
  <si>
    <t>Stretch Grosgrain Ribbon</t>
    <phoneticPr fontId="4"/>
  </si>
  <si>
    <t>SF-USA</t>
  </si>
  <si>
    <t>100% Nylon Tulle</t>
    <phoneticPr fontId="4"/>
  </si>
  <si>
    <t>Handling Fee</t>
    <phoneticPr fontId="4"/>
  </si>
  <si>
    <t>15 x 15mm</t>
    <phoneticPr fontId="4"/>
  </si>
  <si>
    <t># 20</t>
    <phoneticPr fontId="4"/>
  </si>
  <si>
    <t>Size</t>
    <phoneticPr fontId="4"/>
  </si>
  <si>
    <t>Color</t>
    <phoneticPr fontId="4"/>
  </si>
  <si>
    <t>Qty</t>
    <phoneticPr fontId="4"/>
  </si>
  <si>
    <t>Trim Lace 100% Cotton</t>
    <phoneticPr fontId="4"/>
  </si>
  <si>
    <t>Mill's Black</t>
    <phoneticPr fontId="4"/>
  </si>
  <si>
    <t>2 sets</t>
    <phoneticPr fontId="4"/>
  </si>
  <si>
    <t>品番</t>
    <rPh sb="0" eb="2">
      <t>ヒンバン</t>
    </rPh>
    <phoneticPr fontId="4"/>
  </si>
  <si>
    <t>数量</t>
    <rPh sb="0" eb="2">
      <t>スウリョウ</t>
    </rPh>
    <phoneticPr fontId="4"/>
  </si>
  <si>
    <t>Cutting Fee</t>
    <phoneticPr fontId="4"/>
  </si>
  <si>
    <t>Mill's Off White</t>
    <phoneticPr fontId="4"/>
  </si>
  <si>
    <t># SI</t>
    <phoneticPr fontId="4"/>
  </si>
  <si>
    <t>Lace Trim</t>
    <phoneticPr fontId="4"/>
  </si>
  <si>
    <t>1 set</t>
    <phoneticPr fontId="4"/>
  </si>
  <si>
    <t>KYL-T25340</t>
    <phoneticPr fontId="4"/>
  </si>
  <si>
    <t>KYL-T8237-1</t>
    <phoneticPr fontId="4"/>
  </si>
  <si>
    <t>Dye 80</t>
    <phoneticPr fontId="4"/>
  </si>
  <si>
    <t>キャンセル</t>
    <phoneticPr fontId="4"/>
  </si>
  <si>
    <t xml:space="preserve"># 1 </t>
    <phoneticPr fontId="4"/>
  </si>
  <si>
    <t># 4</t>
    <phoneticPr fontId="4"/>
  </si>
  <si>
    <t># 6</t>
    <phoneticPr fontId="4"/>
  </si>
  <si>
    <t># 8</t>
    <phoneticPr fontId="4"/>
  </si>
  <si>
    <t># 1</t>
    <phoneticPr fontId="4"/>
  </si>
  <si>
    <t># 2</t>
    <phoneticPr fontId="4"/>
  </si>
  <si>
    <t xml:space="preserve">PO# </t>
    <phoneticPr fontId="4"/>
  </si>
  <si>
    <t>Art. #</t>
    <phoneticPr fontId="4"/>
  </si>
  <si>
    <t xml:space="preserve">Width </t>
    <phoneticPr fontId="4"/>
  </si>
  <si>
    <t>KYL-T25282</t>
    <phoneticPr fontId="4"/>
  </si>
  <si>
    <t>TRL-287782</t>
    <phoneticPr fontId="4"/>
  </si>
  <si>
    <t>Dye 30</t>
    <phoneticPr fontId="4"/>
  </si>
  <si>
    <t xml:space="preserve">Color </t>
    <phoneticPr fontId="4"/>
  </si>
  <si>
    <t xml:space="preserve">Mill's Off White </t>
    <phoneticPr fontId="4"/>
  </si>
  <si>
    <t>(per meter)</t>
  </si>
  <si>
    <t xml:space="preserve">2 sets </t>
    <phoneticPr fontId="4"/>
  </si>
  <si>
    <t xml:space="preserve">Ready Date </t>
    <phoneticPr fontId="4"/>
  </si>
  <si>
    <t xml:space="preserve">in stock </t>
    <phoneticPr fontId="4"/>
  </si>
  <si>
    <t>仕立て</t>
    <rPh sb="0" eb="2">
      <t>シタ</t>
    </rPh>
    <phoneticPr fontId="4"/>
  </si>
  <si>
    <t>Mill's Optic White</t>
    <phoneticPr fontId="4"/>
  </si>
  <si>
    <t>ES-2301</t>
    <phoneticPr fontId="4"/>
  </si>
  <si>
    <t>ES-2302</t>
    <phoneticPr fontId="4"/>
  </si>
  <si>
    <t>Velvet Ribbon  Rayon-70%/Nylon-30%</t>
    <phoneticPr fontId="4"/>
  </si>
  <si>
    <t>Total Qty</t>
    <phoneticPr fontId="4"/>
  </si>
  <si>
    <t>Roll Qty</t>
    <phoneticPr fontId="4"/>
  </si>
  <si>
    <t xml:space="preserve"># 5 Black </t>
    <phoneticPr fontId="4"/>
  </si>
  <si>
    <t>PO #</t>
    <phoneticPr fontId="4"/>
  </si>
  <si>
    <t>100% Cotton Lace</t>
    <phoneticPr fontId="4"/>
  </si>
  <si>
    <t xml:space="preserve">Insurance </t>
    <phoneticPr fontId="4"/>
  </si>
  <si>
    <t xml:space="preserve">Mill's Black </t>
    <phoneticPr fontId="4"/>
  </si>
  <si>
    <t xml:space="preserve">Customer </t>
    <phoneticPr fontId="4"/>
  </si>
  <si>
    <t># 62</t>
    <phoneticPr fontId="4"/>
  </si>
  <si>
    <t># 5</t>
    <phoneticPr fontId="4"/>
  </si>
  <si>
    <t xml:space="preserve">3 sets </t>
    <phoneticPr fontId="4"/>
  </si>
  <si>
    <t>KYL-25577</t>
    <phoneticPr fontId="4"/>
  </si>
  <si>
    <t>TRL-177496</t>
    <phoneticPr fontId="4"/>
  </si>
  <si>
    <t>KYL-25494</t>
    <phoneticPr fontId="4"/>
  </si>
  <si>
    <t>KYL-25223</t>
    <phoneticPr fontId="4"/>
  </si>
  <si>
    <t>Dye Fee</t>
    <phoneticPr fontId="4"/>
  </si>
  <si>
    <t xml:space="preserve">Status </t>
    <phoneticPr fontId="4"/>
  </si>
  <si>
    <t>Double Faced Velveteen Ribbon</t>
    <phoneticPr fontId="4"/>
  </si>
  <si>
    <t xml:space="preserve"># 132 Black </t>
    <phoneticPr fontId="4"/>
  </si>
  <si>
    <t>FWL-24231</t>
    <phoneticPr fontId="4"/>
  </si>
  <si>
    <t>FWL-21991</t>
    <phoneticPr fontId="4"/>
  </si>
  <si>
    <t>5550F</t>
    <phoneticPr fontId="4"/>
  </si>
  <si>
    <t>Put-up/roll</t>
    <phoneticPr fontId="4"/>
  </si>
  <si>
    <t>Stretch Grosgrain Ribbon  Polyester-80%/Polyurethane-20%</t>
    <phoneticPr fontId="4"/>
  </si>
  <si>
    <t xml:space="preserve"># 2 </t>
    <phoneticPr fontId="4"/>
  </si>
  <si>
    <t># 18</t>
    <phoneticPr fontId="4"/>
  </si>
  <si>
    <t># 35</t>
    <phoneticPr fontId="4"/>
  </si>
  <si>
    <t>Polyester Petersham Ribbon   Polyester-100%</t>
    <phoneticPr fontId="4"/>
  </si>
  <si>
    <t>Petersham Ribbon  Rayon-100%</t>
    <phoneticPr fontId="4"/>
  </si>
  <si>
    <t># 30</t>
    <phoneticPr fontId="4"/>
  </si>
  <si>
    <t>カット代</t>
    <rPh sb="3" eb="4">
      <t>ダイ</t>
    </rPh>
    <phoneticPr fontId="4"/>
  </si>
  <si>
    <t xml:space="preserve">100% Cotton Cord </t>
    <phoneticPr fontId="4"/>
  </si>
  <si>
    <t>KYL-23657</t>
    <phoneticPr fontId="4"/>
  </si>
  <si>
    <t xml:space="preserve">Total Amount </t>
    <phoneticPr fontId="4"/>
  </si>
  <si>
    <t>Width</t>
    <phoneticPr fontId="4"/>
  </si>
  <si>
    <t>FWL-22101</t>
    <phoneticPr fontId="4"/>
  </si>
  <si>
    <t>FWL-21916</t>
    <phoneticPr fontId="4"/>
  </si>
  <si>
    <t xml:space="preserve">Size </t>
    <phoneticPr fontId="4"/>
  </si>
  <si>
    <t># 96</t>
    <phoneticPr fontId="4"/>
  </si>
  <si>
    <t xml:space="preserve">TOTAL </t>
    <phoneticPr fontId="4"/>
  </si>
  <si>
    <t>SG-9015</t>
    <phoneticPr fontId="4"/>
  </si>
  <si>
    <t>98/100cm</t>
    <phoneticPr fontId="4"/>
  </si>
  <si>
    <t>単価 /m</t>
    <rPh sb="0" eb="2">
      <t>タンカ</t>
    </rPh>
    <phoneticPr fontId="4"/>
  </si>
  <si>
    <t>Art. #</t>
  </si>
  <si>
    <t xml:space="preserve">Color </t>
  </si>
  <si>
    <t>Handling Fee</t>
  </si>
  <si>
    <t>1 set</t>
  </si>
  <si>
    <t xml:space="preserve"># 1 White </t>
    <phoneticPr fontId="4"/>
  </si>
  <si>
    <t>M size</t>
    <phoneticPr fontId="4"/>
  </si>
  <si>
    <t>KYL-8086-1</t>
    <phoneticPr fontId="4"/>
  </si>
  <si>
    <t>Dye 70</t>
    <phoneticPr fontId="4"/>
  </si>
  <si>
    <t>T3500C</t>
    <phoneticPr fontId="4"/>
  </si>
  <si>
    <t xml:space="preserve">DTM Black </t>
    <phoneticPr fontId="4"/>
  </si>
  <si>
    <r>
      <rPr>
        <b/>
        <sz val="11"/>
        <rFont val="ＭＳ Ｐゴシック"/>
        <family val="3"/>
        <charset val="128"/>
      </rPr>
      <t>単価</t>
    </r>
    <r>
      <rPr>
        <b/>
        <sz val="11"/>
        <rFont val="Arial"/>
        <family val="2"/>
      </rPr>
      <t>/m</t>
    </r>
    <rPh sb="0" eb="2">
      <t>タンカ</t>
    </rPh>
    <phoneticPr fontId="4"/>
  </si>
  <si>
    <t>Black 145</t>
    <phoneticPr fontId="4"/>
  </si>
  <si>
    <t>KYL-8238-1</t>
    <phoneticPr fontId="4"/>
  </si>
  <si>
    <t>KYL-T23217-1</t>
    <phoneticPr fontId="4"/>
  </si>
  <si>
    <t>Washable Synthetic Leather Trimmings  SURFACE: Polyurethane-100%, REVERSE: Nylon-100%</t>
    <phoneticPr fontId="4"/>
  </si>
  <si>
    <t xml:space="preserve">Comment </t>
    <phoneticPr fontId="4"/>
  </si>
  <si>
    <t xml:space="preserve">Sub Total </t>
    <phoneticPr fontId="4"/>
  </si>
  <si>
    <t xml:space="preserve">Mill's Optic White </t>
    <phoneticPr fontId="4"/>
  </si>
  <si>
    <t>単価/m</t>
    <rPh sb="0" eb="2">
      <t>タンカ</t>
    </rPh>
    <phoneticPr fontId="4"/>
  </si>
  <si>
    <t xml:space="preserve">Net Fabric  80% Nylon, 20% CDP </t>
    <phoneticPr fontId="4"/>
  </si>
  <si>
    <t>運賃</t>
    <rPh sb="0" eb="2">
      <t>ウンチン</t>
    </rPh>
    <phoneticPr fontId="4"/>
  </si>
  <si>
    <t xml:space="preserve">8 sets </t>
    <phoneticPr fontId="4"/>
  </si>
  <si>
    <t>DTM Nude</t>
    <phoneticPr fontId="4"/>
  </si>
  <si>
    <t xml:space="preserve">Dye Fee </t>
    <phoneticPr fontId="4"/>
  </si>
  <si>
    <t xml:space="preserve"># 5 </t>
    <phoneticPr fontId="4"/>
  </si>
  <si>
    <t>KYL-3383-1</t>
    <phoneticPr fontId="4"/>
  </si>
  <si>
    <t>オフ白</t>
    <rPh sb="2" eb="3">
      <t>シロ</t>
    </rPh>
    <phoneticPr fontId="4"/>
  </si>
  <si>
    <t xml:space="preserve">In stock </t>
    <phoneticPr fontId="4"/>
  </si>
  <si>
    <t>Silver x Black</t>
    <phoneticPr fontId="4"/>
  </si>
  <si>
    <t>Silver x Navy</t>
    <phoneticPr fontId="4"/>
  </si>
  <si>
    <t>Silver x Wine</t>
    <phoneticPr fontId="4"/>
  </si>
  <si>
    <t>T3500C</t>
  </si>
  <si>
    <t>FWL-71230</t>
    <phoneticPr fontId="4"/>
  </si>
  <si>
    <t>FWL-71542</t>
    <phoneticPr fontId="4"/>
  </si>
  <si>
    <t>FWL-21504</t>
    <phoneticPr fontId="4"/>
  </si>
  <si>
    <t>FWL-24226</t>
    <phoneticPr fontId="4"/>
  </si>
  <si>
    <t xml:space="preserve">Sub total </t>
    <phoneticPr fontId="4"/>
  </si>
  <si>
    <t>KYL-001GM</t>
    <phoneticPr fontId="4"/>
  </si>
  <si>
    <t xml:space="preserve">In Stock </t>
    <phoneticPr fontId="4"/>
  </si>
  <si>
    <t xml:space="preserve">Stock / Ready Date </t>
    <phoneticPr fontId="4"/>
  </si>
  <si>
    <t>In stock</t>
    <phoneticPr fontId="4"/>
  </si>
  <si>
    <t>KYL-T8333-19</t>
    <phoneticPr fontId="4"/>
  </si>
  <si>
    <t>DTM Ivory</t>
    <phoneticPr fontId="4"/>
  </si>
  <si>
    <t xml:space="preserve">MOQ </t>
    <phoneticPr fontId="4"/>
  </si>
  <si>
    <t xml:space="preserve">1 roll ( 30m /roll ) </t>
    <phoneticPr fontId="4"/>
  </si>
  <si>
    <t xml:space="preserve">Ready date </t>
    <phoneticPr fontId="4"/>
  </si>
  <si>
    <t xml:space="preserve">100% Cotton Lace Trim  </t>
    <phoneticPr fontId="4"/>
  </si>
  <si>
    <t># 64</t>
    <phoneticPr fontId="4"/>
  </si>
  <si>
    <t>Polyester Piping Tape    Polyester-100%</t>
    <phoneticPr fontId="4"/>
  </si>
  <si>
    <t>(per piece)</t>
    <phoneticPr fontId="4"/>
  </si>
  <si>
    <t>TBC</t>
    <phoneticPr fontId="4"/>
  </si>
  <si>
    <t>MOQ</t>
    <phoneticPr fontId="4"/>
  </si>
  <si>
    <t>EXW(JAPAN) /m</t>
    <phoneticPr fontId="4"/>
  </si>
  <si>
    <t>カラー</t>
    <phoneticPr fontId="4"/>
  </si>
  <si>
    <t xml:space="preserve">Art. # </t>
    <phoneticPr fontId="4"/>
  </si>
  <si>
    <t xml:space="preserve">Cutting Fee </t>
    <phoneticPr fontId="4"/>
  </si>
  <si>
    <t xml:space="preserve">SS size </t>
    <phoneticPr fontId="4"/>
  </si>
  <si>
    <t>Bemberg Grosgrain Ribbons   Cupro-100%</t>
    <phoneticPr fontId="4"/>
  </si>
  <si>
    <t># 16</t>
    <phoneticPr fontId="4"/>
  </si>
  <si>
    <t>Current EXW(JAPAN) /m</t>
    <phoneticPr fontId="4"/>
  </si>
  <si>
    <t xml:space="preserve">Stock </t>
    <phoneticPr fontId="4"/>
  </si>
  <si>
    <t xml:space="preserve">Updated EXW(JAPAN) /m for furture orders </t>
    <phoneticPr fontId="4"/>
  </si>
  <si>
    <t>Composition</t>
    <phoneticPr fontId="4"/>
  </si>
  <si>
    <t xml:space="preserve">Art.# </t>
  </si>
  <si>
    <t>Put-up</t>
  </si>
  <si>
    <t>EXW JAPAN</t>
    <phoneticPr fontId="4"/>
  </si>
  <si>
    <t>1 roll</t>
    <phoneticPr fontId="4"/>
  </si>
  <si>
    <t>仕入単価</t>
    <rPh sb="0" eb="2">
      <t>シイレ</t>
    </rPh>
    <rPh sb="2" eb="4">
      <t>タンカ</t>
    </rPh>
    <phoneticPr fontId="4"/>
  </si>
  <si>
    <t xml:space="preserve">subtotal </t>
    <phoneticPr fontId="4"/>
  </si>
  <si>
    <t xml:space="preserve">International Freight </t>
    <phoneticPr fontId="4"/>
  </si>
  <si>
    <t xml:space="preserve">Collect </t>
    <phoneticPr fontId="4"/>
  </si>
  <si>
    <t xml:space="preserve">Charge </t>
    <phoneticPr fontId="4"/>
  </si>
  <si>
    <t>Art. No.</t>
    <phoneticPr fontId="4"/>
  </si>
  <si>
    <t>Art. No.</t>
  </si>
  <si>
    <t># 15</t>
    <phoneticPr fontId="4"/>
  </si>
  <si>
    <t>Art No.</t>
    <phoneticPr fontId="4"/>
  </si>
  <si>
    <t>Bulk Min.</t>
    <phoneticPr fontId="4"/>
  </si>
  <si>
    <t>NOTE</t>
    <phoneticPr fontId="4"/>
  </si>
  <si>
    <r>
      <t>POLYESTER 100</t>
    </r>
    <r>
      <rPr>
        <sz val="8"/>
        <rFont val="ＭＳ Ｐゴシック"/>
        <family val="3"/>
        <charset val="128"/>
      </rPr>
      <t>％</t>
    </r>
  </si>
  <si>
    <t>500m/color</t>
    <phoneticPr fontId="4"/>
  </si>
  <si>
    <t>460m/color</t>
    <phoneticPr fontId="4"/>
  </si>
  <si>
    <t>Note</t>
    <phoneticPr fontId="4"/>
  </si>
  <si>
    <t xml:space="preserve">Handling Fee </t>
    <phoneticPr fontId="4"/>
  </si>
  <si>
    <t xml:space="preserve">Ready at the end of April </t>
    <phoneticPr fontId="4"/>
  </si>
  <si>
    <t>KYL-8494-1</t>
    <phoneticPr fontId="4"/>
  </si>
  <si>
    <t>KYL-23631</t>
    <phoneticPr fontId="4"/>
  </si>
  <si>
    <t>FWL-2394</t>
    <phoneticPr fontId="4"/>
  </si>
  <si>
    <t xml:space="preserve">EXW JAPAN /m for Mill's Off White </t>
    <phoneticPr fontId="4"/>
  </si>
  <si>
    <t xml:space="preserve">MOQ for Mill's Off White </t>
    <phoneticPr fontId="4"/>
  </si>
  <si>
    <t>10m</t>
    <phoneticPr fontId="4"/>
  </si>
  <si>
    <t>Stock ( Mill's Off White as of the 5th April )</t>
    <phoneticPr fontId="4"/>
  </si>
  <si>
    <t xml:space="preserve">Bulk MOQ </t>
    <phoneticPr fontId="4"/>
  </si>
  <si>
    <t xml:space="preserve">Mill's Off White </t>
  </si>
  <si>
    <t xml:space="preserve">Art.# </t>
    <phoneticPr fontId="4"/>
  </si>
  <si>
    <t>FWL-71139</t>
    <phoneticPr fontId="4"/>
  </si>
  <si>
    <t>KYL-K7000</t>
    <phoneticPr fontId="4"/>
  </si>
  <si>
    <t>EXW JAPAN /m for Custom Colors</t>
    <phoneticPr fontId="4"/>
  </si>
  <si>
    <t>MOQ / col for Custom Colors</t>
    <phoneticPr fontId="4"/>
  </si>
  <si>
    <t>Roll Qty</t>
  </si>
  <si>
    <t>Total Qty</t>
  </si>
  <si>
    <t xml:space="preserve">L/T </t>
    <phoneticPr fontId="4"/>
  </si>
  <si>
    <t>PFD</t>
    <phoneticPr fontId="4"/>
  </si>
  <si>
    <r>
      <t>160</t>
    </r>
    <r>
      <rPr>
        <sz val="12"/>
        <rFont val="ＭＳ Ｐゴシック"/>
        <family val="3"/>
        <charset val="128"/>
      </rPr>
      <t>円</t>
    </r>
    <r>
      <rPr>
        <sz val="12"/>
        <rFont val="Arial"/>
        <family val="2"/>
      </rPr>
      <t>/m</t>
    </r>
    <rPh sb="3" eb="4">
      <t>エン</t>
    </rPh>
    <phoneticPr fontId="4"/>
  </si>
  <si>
    <t>大阪負担</t>
    <rPh sb="0" eb="2">
      <t>オオサカ</t>
    </rPh>
    <rPh sb="2" eb="4">
      <t>フタン</t>
    </rPh>
    <phoneticPr fontId="4"/>
  </si>
  <si>
    <t>Color</t>
  </si>
  <si>
    <t xml:space="preserve">MOQ / col for standard colors </t>
    <phoneticPr fontId="4"/>
  </si>
  <si>
    <t>Sample Cut</t>
    <phoneticPr fontId="4"/>
  </si>
  <si>
    <t>EXW JAPAN /m
Regular Price</t>
    <phoneticPr fontId="4"/>
  </si>
  <si>
    <t xml:space="preserve">EXW JAPAN /m
Bulk Price </t>
    <phoneticPr fontId="4"/>
  </si>
  <si>
    <t>580m/color</t>
    <phoneticPr fontId="4"/>
  </si>
  <si>
    <t>EXW JAPAN /m for Custom Colors &amp; MCQ</t>
    <phoneticPr fontId="4"/>
  </si>
  <si>
    <t>KYL-2432-1</t>
    <phoneticPr fontId="4"/>
  </si>
  <si>
    <t>1 roll</t>
  </si>
  <si>
    <t>EXW (JAPAN) / m</t>
    <phoneticPr fontId="4"/>
  </si>
  <si>
    <t xml:space="preserve">INV# </t>
    <phoneticPr fontId="4"/>
  </si>
  <si>
    <t>Ready/Ship Date</t>
    <phoneticPr fontId="4"/>
  </si>
  <si>
    <t xml:space="preserve">S size </t>
    <phoneticPr fontId="4"/>
  </si>
  <si>
    <t xml:space="preserve">UPS Freight Fee </t>
    <phoneticPr fontId="4"/>
  </si>
  <si>
    <t>FWL-71041</t>
    <phoneticPr fontId="4"/>
  </si>
  <si>
    <t xml:space="preserve">Handling Fee (Inland Freight Charge in Japan) </t>
    <phoneticPr fontId="4"/>
  </si>
  <si>
    <t># 17</t>
    <phoneticPr fontId="4"/>
  </si>
  <si>
    <t># 77</t>
    <phoneticPr fontId="4"/>
  </si>
  <si>
    <t xml:space="preserve">Composition </t>
    <phoneticPr fontId="4"/>
  </si>
  <si>
    <t>COO</t>
    <phoneticPr fontId="4"/>
  </si>
  <si>
    <t>CHINA</t>
    <phoneticPr fontId="4"/>
  </si>
  <si>
    <t>JAPAN</t>
    <phoneticPr fontId="4"/>
  </si>
  <si>
    <t>Article</t>
    <phoneticPr fontId="4"/>
  </si>
  <si>
    <t>4141</t>
    <phoneticPr fontId="4"/>
  </si>
  <si>
    <t xml:space="preserve"># 24 Black </t>
    <phoneticPr fontId="4"/>
  </si>
  <si>
    <t>100% Cotton</t>
  </si>
  <si>
    <t>300m -</t>
    <phoneticPr fontId="4"/>
  </si>
  <si>
    <t>-</t>
  </si>
  <si>
    <t>-</t>
    <phoneticPr fontId="4"/>
  </si>
  <si>
    <t>KYL-T8333-1</t>
    <phoneticPr fontId="4"/>
  </si>
  <si>
    <t>12701</t>
    <phoneticPr fontId="4"/>
  </si>
  <si>
    <t>Velvet Ribbon</t>
    <phoneticPr fontId="4"/>
  </si>
  <si>
    <t>Rayon-70%/Nylon-30%</t>
    <phoneticPr fontId="4"/>
  </si>
  <si>
    <t>11700</t>
    <phoneticPr fontId="4"/>
  </si>
  <si>
    <t>Rayon-89%/Nylon-11%</t>
    <phoneticPr fontId="4"/>
  </si>
  <si>
    <t>KYL-8333-1</t>
    <phoneticPr fontId="4"/>
  </si>
  <si>
    <t>CIF</t>
    <phoneticPr fontId="4"/>
  </si>
  <si>
    <t>Price</t>
    <phoneticPr fontId="4"/>
  </si>
  <si>
    <t>Weight (g/m2)</t>
    <phoneticPr fontId="4"/>
  </si>
  <si>
    <t xml:space="preserve">EXW JAPAN /m
</t>
    <phoneticPr fontId="4"/>
  </si>
  <si>
    <t>Up to 20m</t>
    <phoneticPr fontId="4"/>
  </si>
  <si>
    <t>NN007</t>
    <phoneticPr fontId="4"/>
  </si>
  <si>
    <t>150×50</t>
  </si>
  <si>
    <r>
      <t>NYLON 100</t>
    </r>
    <r>
      <rPr>
        <sz val="8"/>
        <rFont val="ＭＳ Ｐゴシック"/>
        <family val="3"/>
        <charset val="128"/>
      </rPr>
      <t>％</t>
    </r>
  </si>
  <si>
    <t>160×50</t>
  </si>
  <si>
    <t>Up to 25m</t>
    <phoneticPr fontId="4"/>
  </si>
  <si>
    <t>計算式</t>
    <rPh sb="0" eb="2">
      <t>ケイサン</t>
    </rPh>
    <rPh sb="2" eb="3">
      <t>シキ</t>
    </rPh>
    <phoneticPr fontId="4"/>
  </si>
  <si>
    <r>
      <t xml:space="preserve">SIZE
</t>
    </r>
    <r>
      <rPr>
        <b/>
        <sz val="11"/>
        <rFont val="ＭＳ Ｐゴシック"/>
        <family val="3"/>
        <charset val="128"/>
      </rPr>
      <t>（</t>
    </r>
    <r>
      <rPr>
        <b/>
        <sz val="11"/>
        <rFont val="arial    "/>
        <family val="2"/>
      </rPr>
      <t>cm×m</t>
    </r>
    <r>
      <rPr>
        <b/>
        <sz val="11"/>
        <rFont val="ＭＳ Ｐゴシック"/>
        <family val="3"/>
        <charset val="128"/>
      </rPr>
      <t>）</t>
    </r>
    <phoneticPr fontId="4"/>
  </si>
  <si>
    <t>Notes</t>
    <phoneticPr fontId="4"/>
  </si>
  <si>
    <r>
      <t>NYLON 100</t>
    </r>
    <r>
      <rPr>
        <sz val="12"/>
        <color indexed="8"/>
        <rFont val="ＭＳ Ｐゴシック"/>
        <family val="3"/>
        <charset val="128"/>
      </rPr>
      <t>％</t>
    </r>
  </si>
  <si>
    <r>
      <t>POLYESTER 100</t>
    </r>
    <r>
      <rPr>
        <sz val="12"/>
        <color indexed="8"/>
        <rFont val="ＭＳ Ｐゴシック"/>
        <family val="3"/>
        <charset val="128"/>
      </rPr>
      <t>％</t>
    </r>
  </si>
  <si>
    <t>NN007</t>
  </si>
  <si>
    <t>180m -</t>
    <phoneticPr fontId="4"/>
  </si>
  <si>
    <t>合計数量</t>
    <rPh sb="0" eb="2">
      <t>ゴウケイ</t>
    </rPh>
    <rPh sb="2" eb="4">
      <t>スウリョウ</t>
    </rPh>
    <phoneticPr fontId="4"/>
  </si>
  <si>
    <t xml:space="preserve">JAPAN </t>
    <phoneticPr fontId="4"/>
  </si>
  <si>
    <t># 0</t>
    <phoneticPr fontId="4"/>
  </si>
  <si>
    <t>KYL-T23417-1</t>
    <phoneticPr fontId="4"/>
  </si>
  <si>
    <t>Cupro-100%</t>
  </si>
  <si>
    <t>L size</t>
    <phoneticPr fontId="4"/>
  </si>
  <si>
    <t xml:space="preserve">100% Polyester Fabric </t>
    <phoneticPr fontId="4"/>
  </si>
  <si>
    <t xml:space="preserve">Stock / Lead time </t>
    <phoneticPr fontId="4"/>
  </si>
  <si>
    <t>Double Faced Velveteen Ribbon   Rayon-89%/Nylon-11%</t>
    <phoneticPr fontId="4"/>
  </si>
  <si>
    <t xml:space="preserve"> </t>
    <phoneticPr fontId="4"/>
  </si>
  <si>
    <t xml:space="preserve">Total amount </t>
    <phoneticPr fontId="4"/>
  </si>
  <si>
    <r>
      <t xml:space="preserve">SIZE
</t>
    </r>
    <r>
      <rPr>
        <b/>
        <sz val="10"/>
        <rFont val="ＭＳ Ｐゴシック"/>
        <family val="3"/>
        <charset val="128"/>
      </rPr>
      <t>（</t>
    </r>
    <r>
      <rPr>
        <b/>
        <sz val="10"/>
        <rFont val="arial    "/>
        <family val="2"/>
      </rPr>
      <t>cm×m</t>
    </r>
    <r>
      <rPr>
        <b/>
        <sz val="10"/>
        <rFont val="ＭＳ Ｐゴシック"/>
        <family val="3"/>
        <charset val="128"/>
      </rPr>
      <t>）</t>
    </r>
    <phoneticPr fontId="4"/>
  </si>
  <si>
    <r>
      <t>POLYESTER 100</t>
    </r>
    <r>
      <rPr>
        <sz val="10"/>
        <color indexed="8"/>
        <rFont val="ＭＳ Ｐゴシック"/>
        <family val="3"/>
        <charset val="128"/>
      </rPr>
      <t>％</t>
    </r>
  </si>
  <si>
    <t>13.7m</t>
    <phoneticPr fontId="4"/>
  </si>
  <si>
    <t xml:space="preserve">Lace Trim  100% Cotton </t>
    <phoneticPr fontId="4"/>
  </si>
  <si>
    <t>EXW JAPAN /m for Mill's Off White</t>
    <phoneticPr fontId="4"/>
  </si>
  <si>
    <t>Mill's Ecru</t>
    <phoneticPr fontId="4"/>
  </si>
  <si>
    <t>Nylon-100%</t>
    <phoneticPr fontId="4"/>
  </si>
  <si>
    <t>FWL-23069</t>
    <phoneticPr fontId="4"/>
  </si>
  <si>
    <t>JAPAN</t>
  </si>
  <si>
    <t>Cotton-100%</t>
  </si>
  <si>
    <t># 24 BLACK</t>
    <phoneticPr fontId="4"/>
  </si>
  <si>
    <t>Total Qty (± 5%)</t>
    <phoneticPr fontId="4"/>
  </si>
  <si>
    <t>EXW JAPAN 
USD/m</t>
    <phoneticPr fontId="4"/>
  </si>
  <si>
    <t>148×50</t>
  </si>
  <si>
    <t>T2023</t>
  </si>
  <si>
    <t xml:space="preserve">PO# </t>
  </si>
  <si>
    <t>EXW JAPAN for purchase by roll (44m - 999m)</t>
    <phoneticPr fontId="4"/>
  </si>
  <si>
    <t>EXW JAPAN for purchase by roll (1,000m - )</t>
    <phoneticPr fontId="4"/>
  </si>
  <si>
    <r>
      <rPr>
        <sz val="10"/>
        <rFont val="ＭＳ Ｐゴシック"/>
        <family val="3"/>
        <charset val="128"/>
      </rPr>
      <t>価格</t>
    </r>
    <rPh sb="0" eb="2">
      <t>カカク</t>
    </rPh>
    <phoneticPr fontId="4"/>
  </si>
  <si>
    <t>別注色代</t>
    <rPh sb="0" eb="2">
      <t>ベッチュウ</t>
    </rPh>
    <rPh sb="2" eb="3">
      <t>イロ</t>
    </rPh>
    <rPh sb="3" eb="4">
      <t>ダイ</t>
    </rPh>
    <phoneticPr fontId="4"/>
  </si>
  <si>
    <t>SAG7500 Mill's standard colors</t>
    <phoneticPr fontId="4"/>
  </si>
  <si>
    <r>
      <t>110/112</t>
    </r>
    <r>
      <rPr>
        <sz val="10"/>
        <rFont val="ＭＳ Ｐゴシック"/>
        <family val="3"/>
        <charset val="128"/>
      </rPr>
      <t>㎝</t>
    </r>
    <r>
      <rPr>
        <sz val="10"/>
        <rFont val="Arial  "/>
        <family val="2"/>
      </rPr>
      <t>×abt.44m</t>
    </r>
  </si>
  <si>
    <t>SAG7500 Custom colors</t>
    <phoneticPr fontId="4"/>
  </si>
  <si>
    <t xml:space="preserve">1-5 rolls /col : € 19.80/m,
6 rolls /col : € 16.80/m   </t>
    <phoneticPr fontId="4"/>
  </si>
  <si>
    <t>1 rolls</t>
  </si>
  <si>
    <t>15mm</t>
    <phoneticPr fontId="4"/>
  </si>
  <si>
    <t>FWL-71543</t>
    <phoneticPr fontId="4"/>
  </si>
  <si>
    <t>Charge</t>
    <phoneticPr fontId="4"/>
  </si>
  <si>
    <t>Lace Trim   100% Cotton</t>
    <phoneticPr fontId="4"/>
  </si>
  <si>
    <t>14 m</t>
  </si>
  <si>
    <t>13.7 m</t>
  </si>
  <si>
    <t>MOQ for sample</t>
    <phoneticPr fontId="4"/>
  </si>
  <si>
    <t xml:space="preserve">MOQ for Bulk </t>
    <phoneticPr fontId="4"/>
  </si>
  <si>
    <t>L/T for Bulk</t>
    <phoneticPr fontId="4"/>
  </si>
  <si>
    <t>Sub Total</t>
    <phoneticPr fontId="4"/>
  </si>
  <si>
    <t>Stock as of today</t>
    <phoneticPr fontId="4"/>
  </si>
  <si>
    <t>Commercial Invoice</t>
    <phoneticPr fontId="59"/>
  </si>
  <si>
    <t>No.</t>
    <phoneticPr fontId="59"/>
  </si>
  <si>
    <t>Issued Office</t>
    <phoneticPr fontId="59"/>
  </si>
  <si>
    <t>Invoice Date</t>
    <phoneticPr fontId="59"/>
  </si>
  <si>
    <t>Consignee:</t>
    <phoneticPr fontId="59"/>
  </si>
  <si>
    <t>L/C No.</t>
    <phoneticPr fontId="59"/>
  </si>
  <si>
    <t>Dated</t>
    <phoneticPr fontId="59"/>
  </si>
  <si>
    <t>Expiry Date</t>
    <phoneticPr fontId="59"/>
  </si>
  <si>
    <t>Issuing Bank</t>
    <phoneticPr fontId="59"/>
  </si>
  <si>
    <t>Bank Information</t>
    <phoneticPr fontId="59"/>
  </si>
  <si>
    <t>Name</t>
    <phoneticPr fontId="59"/>
  </si>
  <si>
    <t>Sold to:</t>
    <phoneticPr fontId="59"/>
  </si>
  <si>
    <t>Address</t>
    <phoneticPr fontId="59"/>
  </si>
  <si>
    <t>SWIFT Code</t>
    <phoneticPr fontId="59"/>
  </si>
  <si>
    <t>Account#</t>
    <phoneticPr fontId="59"/>
  </si>
  <si>
    <t>Terms/Method of Payment</t>
    <phoneticPr fontId="59"/>
  </si>
  <si>
    <t>Shipping Method/Vessel</t>
    <phoneticPr fontId="59"/>
  </si>
  <si>
    <t>Port of Loading</t>
    <phoneticPr fontId="59"/>
  </si>
  <si>
    <t>Sailing on or about</t>
    <phoneticPr fontId="59"/>
  </si>
  <si>
    <t>Port of Discharge</t>
    <phoneticPr fontId="59"/>
  </si>
  <si>
    <t>Place of Delivery</t>
    <phoneticPr fontId="59"/>
  </si>
  <si>
    <t>Final Destination</t>
    <phoneticPr fontId="59"/>
  </si>
  <si>
    <t>Inco-Terms</t>
    <phoneticPr fontId="59"/>
  </si>
  <si>
    <t>Quantity</t>
    <phoneticPr fontId="59"/>
  </si>
  <si>
    <t>Unit Price</t>
    <phoneticPr fontId="59"/>
  </si>
  <si>
    <t>Amount</t>
    <phoneticPr fontId="59"/>
  </si>
  <si>
    <t>Order No.</t>
    <phoneticPr fontId="59"/>
  </si>
  <si>
    <t>Put-Up</t>
    <phoneticPr fontId="59"/>
  </si>
  <si>
    <t>Roll</t>
    <phoneticPr fontId="59"/>
  </si>
  <si>
    <t>Total</t>
    <phoneticPr fontId="59"/>
  </si>
  <si>
    <t>Sub total</t>
    <phoneticPr fontId="59"/>
  </si>
  <si>
    <t>Grand total</t>
    <phoneticPr fontId="59"/>
  </si>
  <si>
    <r>
      <rPr>
        <b/>
        <sz val="12"/>
        <color indexed="8"/>
        <rFont val="Times New Roman"/>
        <family val="1"/>
      </rPr>
      <t>SUN FASHION AMERICA, INC.</t>
    </r>
    <r>
      <rPr>
        <sz val="10"/>
        <color indexed="8"/>
        <rFont val="Times New Roman"/>
        <family val="1"/>
      </rPr>
      <t xml:space="preserve">
265 West 37th Street 7th Floor
New York, NY 10018, U.S.A.
TEL: 1-845-633-2132
&lt;Shipper: Sun Fashion Corp. in Japan&gt;</t>
    </r>
    <phoneticPr fontId="4"/>
  </si>
  <si>
    <t>Osaka</t>
    <phoneticPr fontId="4"/>
  </si>
  <si>
    <t>New York</t>
    <phoneticPr fontId="4"/>
  </si>
  <si>
    <t>N/A</t>
  </si>
  <si>
    <t>N/A</t>
    <phoneticPr fontId="59"/>
  </si>
  <si>
    <t>401 West 42nd St. New York NY 10036</t>
    <phoneticPr fontId="59"/>
  </si>
  <si>
    <t>CITIUS33</t>
    <phoneticPr fontId="59"/>
  </si>
  <si>
    <t>6877846069              </t>
    <phoneticPr fontId="59"/>
  </si>
  <si>
    <t>Routing#</t>
    <phoneticPr fontId="4"/>
  </si>
  <si>
    <t>021000089  </t>
    <phoneticPr fontId="4"/>
  </si>
  <si>
    <t>Beneficiary</t>
    <phoneticPr fontId="4"/>
  </si>
  <si>
    <t>Sun Fashion America, Inc        </t>
    <phoneticPr fontId="59"/>
  </si>
  <si>
    <t>Citibank</t>
    <phoneticPr fontId="4"/>
  </si>
  <si>
    <t xml:space="preserve"> By T/T or Check</t>
    <phoneticPr fontId="4"/>
  </si>
  <si>
    <t>Invoice No.</t>
    <phoneticPr fontId="4"/>
  </si>
  <si>
    <t>Customer Name</t>
    <phoneticPr fontId="4"/>
  </si>
  <si>
    <t>　</t>
  </si>
  <si>
    <t>Item</t>
    <phoneticPr fontId="59"/>
  </si>
  <si>
    <t>Other charge</t>
    <phoneticPr fontId="59"/>
  </si>
  <si>
    <t>Customer Reference No.</t>
    <phoneticPr fontId="59"/>
  </si>
  <si>
    <t>(SELECT)</t>
  </si>
  <si>
    <t>Courier Ref. No.</t>
    <phoneticPr fontId="4"/>
  </si>
  <si>
    <t>Note:</t>
    <phoneticPr fontId="59"/>
  </si>
  <si>
    <t>#</t>
    <phoneticPr fontId="4"/>
  </si>
  <si>
    <t>[Shipper Information]</t>
    <phoneticPr fontId="4"/>
  </si>
  <si>
    <t>Sun Fashion Corp.</t>
    <phoneticPr fontId="4"/>
  </si>
  <si>
    <t>21-10 Fukushima 8 Chome, Fukushima-Ku,</t>
    <phoneticPr fontId="4"/>
  </si>
  <si>
    <t>OSAKA 553-0003, JAPAN</t>
    <phoneticPr fontId="4"/>
  </si>
  <si>
    <t>TEL: +81 6-6455-2850</t>
    <phoneticPr fontId="4"/>
  </si>
  <si>
    <t>[Packing Details]</t>
    <phoneticPr fontId="4"/>
  </si>
  <si>
    <t>Size:</t>
    <phoneticPr fontId="4"/>
  </si>
  <si>
    <t>Gross Weight:</t>
    <phoneticPr fontId="4"/>
  </si>
  <si>
    <t>SUN FASHION AMERICA, INC.</t>
    <phoneticPr fontId="59"/>
  </si>
  <si>
    <t>Mie Kobayashi</t>
    <phoneticPr fontId="4"/>
  </si>
  <si>
    <t>Order No.</t>
    <phoneticPr fontId="4"/>
  </si>
  <si>
    <t>Put-Up</t>
    <phoneticPr fontId="4"/>
  </si>
  <si>
    <t>Roll</t>
    <phoneticPr fontId="4"/>
  </si>
  <si>
    <t>Total</t>
    <phoneticPr fontId="4"/>
  </si>
  <si>
    <t>Unit Price</t>
    <phoneticPr fontId="4"/>
  </si>
  <si>
    <t>Amount</t>
    <phoneticPr fontId="4"/>
  </si>
  <si>
    <t>Port of Discharge</t>
    <phoneticPr fontId="4"/>
  </si>
  <si>
    <t>Shipping Method/Vessel#</t>
    <phoneticPr fontId="4"/>
  </si>
  <si>
    <t>Port of Loading</t>
    <phoneticPr fontId="4"/>
  </si>
  <si>
    <t>Place of Delivery</t>
    <phoneticPr fontId="4"/>
  </si>
  <si>
    <t>Sailing on or about</t>
    <phoneticPr fontId="4"/>
  </si>
  <si>
    <t>Final Destination</t>
    <phoneticPr fontId="4"/>
  </si>
  <si>
    <t>Customer Reference</t>
    <phoneticPr fontId="4"/>
  </si>
  <si>
    <t>Inco-Terms</t>
    <phoneticPr fontId="4"/>
  </si>
  <si>
    <t>Sold to:</t>
    <phoneticPr fontId="4"/>
  </si>
  <si>
    <t>Consignee</t>
    <phoneticPr fontId="4"/>
  </si>
  <si>
    <t>Terms/Method of Payment</t>
    <phoneticPr fontId="4"/>
  </si>
  <si>
    <t>Bank Information</t>
    <phoneticPr fontId="4"/>
  </si>
  <si>
    <t>Name</t>
    <phoneticPr fontId="4"/>
  </si>
  <si>
    <t>Address</t>
    <phoneticPr fontId="4"/>
  </si>
  <si>
    <t>SWIFT Code</t>
    <phoneticPr fontId="4"/>
  </si>
  <si>
    <t>LC No.</t>
    <phoneticPr fontId="4"/>
  </si>
  <si>
    <t>Expiry Date</t>
    <phoneticPr fontId="4"/>
  </si>
  <si>
    <t>Issuing Bank</t>
    <phoneticPr fontId="4"/>
  </si>
  <si>
    <t>Dated</t>
    <phoneticPr fontId="4"/>
  </si>
  <si>
    <t>Routing No.</t>
    <phoneticPr fontId="4"/>
  </si>
  <si>
    <t>Account No.</t>
    <phoneticPr fontId="4"/>
  </si>
  <si>
    <t>No.</t>
    <phoneticPr fontId="4"/>
  </si>
  <si>
    <t>Issued Office</t>
    <phoneticPr fontId="4"/>
  </si>
  <si>
    <t>Issued Date</t>
    <phoneticPr fontId="4"/>
  </si>
  <si>
    <t>Commercial Invoice</t>
    <phoneticPr fontId="4"/>
  </si>
  <si>
    <t xml:space="preserve"> By T/T or Check</t>
  </si>
  <si>
    <t>Courier Ref.</t>
    <phoneticPr fontId="4"/>
  </si>
  <si>
    <t>Description of Goods</t>
    <phoneticPr fontId="4"/>
  </si>
  <si>
    <t>Quantity</t>
    <phoneticPr fontId="4"/>
  </si>
  <si>
    <t>Grand Total</t>
    <phoneticPr fontId="4"/>
  </si>
  <si>
    <t>[Packing Details]</t>
  </si>
  <si>
    <t>Size:</t>
  </si>
  <si>
    <t xml:space="preserve">      OSAKA</t>
    <phoneticPr fontId="4"/>
  </si>
  <si>
    <t>Type:</t>
    <phoneticPr fontId="4"/>
  </si>
  <si>
    <t>3.1 PHILLIP LIM, LLC</t>
  </si>
  <si>
    <t>48 GREAT JONES ST</t>
  </si>
  <si>
    <t>Rm 702 7/F, New Tech Plaza</t>
  </si>
  <si>
    <t>ALC &amp; CO LLC</t>
  </si>
  <si>
    <t>818 S Broadway Suite 400</t>
  </si>
  <si>
    <t>U.S.A.</t>
  </si>
  <si>
    <t>Jade</t>
  </si>
  <si>
    <t>ALEXANDER WANG</t>
  </si>
  <si>
    <t>386 Broadway 6th Floor</t>
  </si>
  <si>
    <t>Tel: 212-532-3103</t>
  </si>
  <si>
    <t>Alexandra Grecco</t>
  </si>
  <si>
    <t>265 West 37th St. 5FL</t>
  </si>
  <si>
    <t>LEIGH REILLY</t>
  </si>
  <si>
    <t>Alexis Monsanto Atelier</t>
  </si>
  <si>
    <t>8281 Melrose Ave. suite 206</t>
  </si>
  <si>
    <t>Alexis Monsanto</t>
  </si>
  <si>
    <t>ALIX NYC</t>
  </si>
  <si>
    <t>209 W38TH ST SUITE 312</t>
  </si>
  <si>
    <t>Tim and Grace</t>
  </si>
  <si>
    <t>AMANDA JAMES DESIGN GROUP LLC</t>
  </si>
  <si>
    <t>2050 N Stemmons FWY # 15149</t>
  </si>
  <si>
    <t>Tel: 424.501.5381</t>
  </si>
  <si>
    <t>Amsale Aberra, L.L.C.</t>
  </si>
  <si>
    <t>318 West 39th Street, 12th Flr</t>
  </si>
  <si>
    <t>Sylvia</t>
  </si>
  <si>
    <t>Anahit's Studio, LLC</t>
  </si>
  <si>
    <t>112 WWST 9th St. SuitE 909 ,</t>
  </si>
  <si>
    <t>Anahit Jackson</t>
  </si>
  <si>
    <t>ANKASA LTD / Sachin &amp; Babi</t>
  </si>
  <si>
    <t>132 West 36th Street, 9th Floor</t>
  </si>
  <si>
    <t>Tel: (212) 575-1994</t>
  </si>
  <si>
    <t>ARE YOU AM I</t>
  </si>
  <si>
    <t>1024 SANTEE ST. SUITE 300</t>
  </si>
  <si>
    <t>Tel: 213.689.5088</t>
  </si>
  <si>
    <t>Artsline Company</t>
  </si>
  <si>
    <t>A2, 11/F, Phase 2, Hang Fung Ind Bldg,</t>
  </si>
  <si>
    <t>Kowloon, Hong Kong</t>
  </si>
  <si>
    <t>Christin Au</t>
  </si>
  <si>
    <t>BAILEY 44</t>
  </si>
  <si>
    <t>4700 S. BOYLE AVENUE</t>
  </si>
  <si>
    <t>Lizette</t>
  </si>
  <si>
    <t>Beach Riot</t>
  </si>
  <si>
    <t>828 production place</t>
  </si>
  <si>
    <t>Kat Eyanson</t>
  </si>
  <si>
    <t>Belle Atelier</t>
  </si>
  <si>
    <t>1755 n Damen Ave #c2 REAR</t>
  </si>
  <si>
    <t>Giselle</t>
  </si>
  <si>
    <t>BIBHU MOHAPATRA</t>
  </si>
  <si>
    <t>39 North Moore Street, Store Entrance</t>
  </si>
  <si>
    <t>BURNING TORCH</t>
  </si>
  <si>
    <t>1738 CORDOVA ST</t>
  </si>
  <si>
    <t>Amy</t>
  </si>
  <si>
    <t>Carolina Herrera</t>
  </si>
  <si>
    <t>501 7th Avenue 16FL</t>
  </si>
  <si>
    <t>Tel:212 944 5757</t>
  </si>
  <si>
    <t>Alonso</t>
  </si>
  <si>
    <t>Centric West LLC</t>
  </si>
  <si>
    <t>620 South Elm Street</t>
  </si>
  <si>
    <t>RefJoe’s Jeans</t>
  </si>
  <si>
    <t>CHANGZHOU HUALIDA GARMENTS Group</t>
  </si>
  <si>
    <t>No. 958 Laodong East Rd</t>
  </si>
  <si>
    <t xml:space="preserve">CHINA  </t>
  </si>
  <si>
    <t>Jerrica/Roi Robinson Wang</t>
  </si>
  <si>
    <t>CHENFENG (JIANGSU) APPAREL CO.,LTD</t>
  </si>
  <si>
    <t>Bella</t>
  </si>
  <si>
    <t>China Ting Group Co., LTD</t>
  </si>
  <si>
    <t>4FL, No. 56 Beisha East Rd.</t>
  </si>
  <si>
    <t>Yukishu</t>
  </si>
  <si>
    <t>CHINAMINE TRADING LTD.</t>
  </si>
  <si>
    <t xml:space="preserve">RM 2802-2815, 28/F No. 1 Hung To Road </t>
  </si>
  <si>
    <t>Kwun Tong Kowloon, Hong Kong</t>
  </si>
  <si>
    <t>Kay Lee</t>
  </si>
  <si>
    <t>Christy Dawn</t>
  </si>
  <si>
    <t>2115 South San Pedro</t>
  </si>
  <si>
    <t>Classita (M) Sdn Bhd</t>
  </si>
  <si>
    <t>Lot 2661, 3rd Mile</t>
  </si>
  <si>
    <t>Tel: 605-621-8888</t>
  </si>
  <si>
    <t>Coach/Tapestry</t>
  </si>
  <si>
    <t>10 Hudson Yard 16FL</t>
  </si>
  <si>
    <t>Clay Smith</t>
  </si>
  <si>
    <t>CREATIVE DESIGN MANAGEMENT EDGARDO BONILLA BRIDAL</t>
  </si>
  <si>
    <t>One Executive Drive, Suite 3</t>
  </si>
  <si>
    <t>260 West 39th St. suite 1401</t>
  </si>
  <si>
    <t>Margo Lafontaine</t>
  </si>
  <si>
    <t>DANNIJO</t>
  </si>
  <si>
    <t>1407 Broadway, Suite #720</t>
  </si>
  <si>
    <t>Tel: 212-971-7070</t>
  </si>
  <si>
    <t>DDA HOLDINGS, INC</t>
  </si>
  <si>
    <t>Adeline Martinez</t>
  </si>
  <si>
    <t>Deutsche Bekleidungswerke Limited</t>
  </si>
  <si>
    <t>Plot P-1A, road no.6, Long Hau IP Expansion Area,</t>
  </si>
  <si>
    <t>Hana/Tigon</t>
  </si>
  <si>
    <t>Estee Couture</t>
  </si>
  <si>
    <t>16083 Sierra Pass Way</t>
  </si>
  <si>
    <t>EVERYBODY.WORLD</t>
  </si>
  <si>
    <t>5718 S. Santa Fe Ave.</t>
  </si>
  <si>
    <t>U.S.A</t>
  </si>
  <si>
    <t>Alice</t>
  </si>
  <si>
    <t>FOOK WAH KUN KEE KNITTING FTY., LTD.</t>
  </si>
  <si>
    <t>9/F., Block B, Po Yip Building,</t>
  </si>
  <si>
    <t>Sandy Feng</t>
  </si>
  <si>
    <t>FRANKIES BIKINIS</t>
  </si>
  <si>
    <t>Grace Fu</t>
  </si>
  <si>
    <t>231 Lexington Ave #1A</t>
  </si>
  <si>
    <t xml:space="preserve">Grace </t>
  </si>
  <si>
    <t>Grace Garment Factory</t>
  </si>
  <si>
    <t>HAPPY TIMES CAFE LLC</t>
  </si>
  <si>
    <t>349 SCHOLES STREET SUITE 307</t>
  </si>
  <si>
    <t>MIKE ECKHAUS</t>
  </si>
  <si>
    <t>Hat Salon</t>
  </si>
  <si>
    <t>5 Stropkov Ct. #101</t>
  </si>
  <si>
    <t>Malky</t>
  </si>
  <si>
    <t>Hellessy</t>
  </si>
  <si>
    <t>Allan</t>
  </si>
  <si>
    <t>Helmut Lang New York</t>
  </si>
  <si>
    <t>Marcel Pawlas</t>
  </si>
  <si>
    <t>Henet Pte. Ltd</t>
  </si>
  <si>
    <t>1 Maritime Square #09-19</t>
  </si>
  <si>
    <t>Harbourfront Centre</t>
  </si>
  <si>
    <t>Tel: 65 6258 6881</t>
  </si>
  <si>
    <t>HONOR</t>
  </si>
  <si>
    <t>270 Lafayette Street Suite 1209</t>
  </si>
  <si>
    <t>Madison Wu</t>
  </si>
  <si>
    <t>JANE WANG LLC</t>
  </si>
  <si>
    <t>33 Great Neck Rd., Suite #6</t>
  </si>
  <si>
    <t>Tel: 917-592-2966</t>
  </si>
  <si>
    <t>Jason Wu (Shanghai) Garment Co., Ltd.</t>
  </si>
  <si>
    <t>2700 Lianhualu Rd., Building 1, 5th FL</t>
  </si>
  <si>
    <t xml:space="preserve">Michelle </t>
  </si>
  <si>
    <t>Jenny Yoo Collection</t>
  </si>
  <si>
    <t>132 West 36th Street 9th Floor</t>
  </si>
  <si>
    <t>JOHNNY WAS</t>
  </si>
  <si>
    <t>2423 E. 23rd Street</t>
  </si>
  <si>
    <t>Tel: 323-582-1005</t>
  </si>
  <si>
    <t>JILLMARK, INC. dba H O N O R I N E</t>
  </si>
  <si>
    <t>10474 Santa Monica Blvd., Suite 308</t>
  </si>
  <si>
    <t>Samantha</t>
  </si>
  <si>
    <t xml:space="preserve">Katie May  </t>
  </si>
  <si>
    <t>2301 East 7th Street Suite A315-A319,</t>
  </si>
  <si>
    <t>Kevan Hall</t>
  </si>
  <si>
    <t>8313 Beverly Blvd.</t>
  </si>
  <si>
    <t>Tel: 323.658.7979</t>
  </si>
  <si>
    <t>KRP LCC/Houghton</t>
  </si>
  <si>
    <t>26500 Agoura Rd #531</t>
  </si>
  <si>
    <t>Katharine Polk</t>
  </si>
  <si>
    <t xml:space="preserve">Lauren Moshi </t>
  </si>
  <si>
    <t xml:space="preserve">Clelia Chavez </t>
  </si>
  <si>
    <t>LE SUPERBE</t>
  </si>
  <si>
    <t>719 S. Los Angeles St. Suite 419</t>
  </si>
  <si>
    <t>Rey Pascua</t>
  </si>
  <si>
    <t>LUCY BLAIR LLC (T/A CIAO LUCIA)</t>
  </si>
  <si>
    <t>Lynne Carter</t>
  </si>
  <si>
    <t>Tel: +1 949-922-9225</t>
  </si>
  <si>
    <t>Marchesa RM</t>
  </si>
  <si>
    <t>Marius Revere</t>
  </si>
  <si>
    <t>minnow</t>
  </si>
  <si>
    <t>219 MARINE AVE, STE A</t>
  </si>
  <si>
    <t>M I S A</t>
  </si>
  <si>
    <t>1530 E 25th St.</t>
  </si>
  <si>
    <t>AttenImelda</t>
  </si>
  <si>
    <t>MODERN TROUSSEAU</t>
  </si>
  <si>
    <t>125 Bradley Road</t>
  </si>
  <si>
    <t>MONIQUE LHUILLIER</t>
  </si>
  <si>
    <t>4533 Pacific Blvd.</t>
  </si>
  <si>
    <t>Tel: 213.747.8811</t>
  </si>
  <si>
    <t>MONSE c/o Max Lu</t>
  </si>
  <si>
    <t>611 Broadway Suite 308</t>
  </si>
  <si>
    <t>New York, NY 10012</t>
  </si>
  <si>
    <t>MONSE LLC</t>
  </si>
  <si>
    <t>Tel: 646-809-0100</t>
  </si>
  <si>
    <t>Navee Charoen Ltd., Part.</t>
  </si>
  <si>
    <t>Tel: (66)2 222 7099</t>
  </si>
  <si>
    <t>PACIFIC TRIMMING ENTERPRISE</t>
  </si>
  <si>
    <t>218 West 38th Street</t>
  </si>
  <si>
    <t>Tel:  212-279-9310</t>
  </si>
  <si>
    <t>PARC AND PEARL</t>
  </si>
  <si>
    <t>1506 W. 12TH ST.</t>
  </si>
  <si>
    <t>Qian</t>
  </si>
  <si>
    <t>Jacqueline Mego</t>
  </si>
  <si>
    <t>PRIVATE LABEL TEHUACAN, S. DE R.L. DE C.V.</t>
  </si>
  <si>
    <t>KM. 107 CARRETERA PUEBLA-TEHUACAN</t>
  </si>
  <si>
    <t>MEXICO</t>
  </si>
  <si>
    <t>Marisela Lerin</t>
  </si>
  <si>
    <t>Puppets and Puppets</t>
  </si>
  <si>
    <t>115 West 30th St. suite 203</t>
  </si>
  <si>
    <t>Carly Mark</t>
  </si>
  <si>
    <t>RAJ Manufacturing, LLC.</t>
  </si>
  <si>
    <t>REEM ACRA RTW</t>
  </si>
  <si>
    <t>501 FIFTH AVENUE,2ND FLR</t>
  </si>
  <si>
    <t>David Farshadfar</t>
  </si>
  <si>
    <t>Rodarte</t>
  </si>
  <si>
    <t>715 South Oakland Ave</t>
  </si>
  <si>
    <t>Royal Spirit Limited</t>
  </si>
  <si>
    <t>11th Floor, 822, Lai Chi Kok Road,</t>
  </si>
  <si>
    <t>AGNES/AMY</t>
  </si>
  <si>
    <t>Salt and Pepper Gifts</t>
  </si>
  <si>
    <t>970 Knox St. Unit A</t>
  </si>
  <si>
    <t>AttenTara</t>
  </si>
  <si>
    <t>Sara Campbell LTD</t>
  </si>
  <si>
    <t>67 Kemble St / 4th Floor</t>
  </si>
  <si>
    <t>Geraldine</t>
  </si>
  <si>
    <t>Suteks Tekstil Sanayi ve Ticaret AS</t>
  </si>
  <si>
    <t>Kemerburgaz Cad. No:16</t>
  </si>
  <si>
    <t>TURKEY</t>
  </si>
  <si>
    <t>GONCA ATILCAN</t>
  </si>
  <si>
    <t>SVAC Collective, LLC</t>
  </si>
  <si>
    <t>LLC998 Casiano Rd</t>
  </si>
  <si>
    <t>Accounts Payable</t>
  </si>
  <si>
    <t>The Evans Group</t>
  </si>
  <si>
    <t>1926 E. 7th Street</t>
  </si>
  <si>
    <t>Theory</t>
  </si>
  <si>
    <t>2 Gansevoort st 2FL</t>
  </si>
  <si>
    <t>New York NY 10014</t>
  </si>
  <si>
    <t>Dave</t>
  </si>
  <si>
    <t>Tomomi Okubo</t>
  </si>
  <si>
    <t>53 Bridge street Unit 201</t>
  </si>
  <si>
    <t>Tory Burch</t>
  </si>
  <si>
    <t>11 West 19th St. 8FL</t>
  </si>
  <si>
    <t>Saman Chaudhry</t>
  </si>
  <si>
    <t>Trade Harvest Industrial Ltd.</t>
  </si>
  <si>
    <t>Workship No.7, 10/F, Permier Centre</t>
  </si>
  <si>
    <t>Tel: 852-2743-1083</t>
  </si>
  <si>
    <t>TRIBECA DESIGN STUDIO</t>
  </si>
  <si>
    <t>142 DUANE STREET NEW YORK,</t>
  </si>
  <si>
    <t>ULLA JOHNSON</t>
  </si>
  <si>
    <t>270 Lafayette Street, 1101</t>
  </si>
  <si>
    <t>Patricia Voto</t>
  </si>
  <si>
    <t>Urban Zen</t>
  </si>
  <si>
    <t>705 Greenwich St</t>
  </si>
  <si>
    <t>Larisa Marginean</t>
  </si>
  <si>
    <t>VERA WANG BRIDAL</t>
  </si>
  <si>
    <t>15 EAST 26TH STREET</t>
  </si>
  <si>
    <t>NEW YORK, NY 10010</t>
  </si>
  <si>
    <t>Vinnitsa Hong Kong Ltd.</t>
  </si>
  <si>
    <t>Unit B &amp; C, 9/F., Fuk Cheong Factory Building,</t>
  </si>
  <si>
    <t>Helly</t>
  </si>
  <si>
    <t xml:space="preserve">ALEXIS MABILLE </t>
  </si>
  <si>
    <t>4 BIS ALLEE VERTE</t>
  </si>
  <si>
    <t>Paris</t>
  </si>
  <si>
    <t>STEPHANIE</t>
  </si>
  <si>
    <t>ANHUI MINMETALS DEVELOPMENT I/E CO. LTD</t>
  </si>
  <si>
    <t>Shen gang park NO 1689 XIYOU road</t>
  </si>
  <si>
    <t>XING LI</t>
  </si>
  <si>
    <t>Atelier Marey</t>
  </si>
  <si>
    <t>42 Rue De Clery</t>
  </si>
  <si>
    <t>Linah</t>
  </si>
  <si>
    <t>BA&amp;SH</t>
  </si>
  <si>
    <t>67 AVENUE RAYMOND POINCARE,</t>
  </si>
  <si>
    <t>MANON</t>
  </si>
  <si>
    <t>BENDA BILI S.A.S / SEZANE</t>
  </si>
  <si>
    <t>12 RUE D'UZES 2EME ETAGE</t>
  </si>
  <si>
    <t>Clemence</t>
  </si>
  <si>
    <t>BONPOINT SAS</t>
  </si>
  <si>
    <t>62 AVENUE D’IENA</t>
  </si>
  <si>
    <t>Nadia</t>
  </si>
  <si>
    <t>BRILLIANT Invest Co.</t>
  </si>
  <si>
    <t>40, Tzar Boris III Obedinitel Blvd</t>
  </si>
  <si>
    <t>4004 Plovdiv</t>
  </si>
  <si>
    <t>Albena</t>
  </si>
  <si>
    <t>Casablanca</t>
  </si>
  <si>
    <t>E8 3RL</t>
  </si>
  <si>
    <t>Valbona / Yasmine</t>
  </si>
  <si>
    <t>Claudie Pierlot</t>
  </si>
  <si>
    <t>2 rue de Marengo</t>
  </si>
  <si>
    <t>Clotilde Le Marchand</t>
  </si>
  <si>
    <t>Courreges</t>
  </si>
  <si>
    <t>Olivia NOUET</t>
  </si>
  <si>
    <t>Cymbeline</t>
  </si>
  <si>
    <t>2 rue Gambetta</t>
  </si>
  <si>
    <t>Avon</t>
  </si>
  <si>
    <t>DE FURSAC</t>
  </si>
  <si>
    <t>112 rue de Richelieu</t>
  </si>
  <si>
    <t>Sarah</t>
  </si>
  <si>
    <t>DUNE BY MARIE LAPORTE SARL</t>
  </si>
  <si>
    <t>48 rue de L?vis</t>
  </si>
  <si>
    <t>Marie Voignier</t>
  </si>
  <si>
    <t>ETAM 1.2.3.</t>
  </si>
  <si>
    <t>57-59 RUE HENRI BARBUSSE</t>
  </si>
  <si>
    <t xml:space="preserve">MS. Isabelle &amp; Nathalie </t>
  </si>
  <si>
    <t>Fenix Fashion Ltd</t>
  </si>
  <si>
    <t>UG/F., Cobalt Building, 926 Cheung</t>
  </si>
  <si>
    <t>JOHANNA</t>
  </si>
  <si>
    <t>HANGZHOU HEQI IMPORT AND EXPORT TRADE CO.,LTD</t>
  </si>
  <si>
    <t>2-130,NO.158,HONGXING ROAD,ECONOMIC AND</t>
  </si>
  <si>
    <t>Faye chen</t>
  </si>
  <si>
    <t>Hongtex Hong Kong Ltd.</t>
  </si>
  <si>
    <t>RM2005 20/F NEW TREASURE CENTRE</t>
  </si>
  <si>
    <t>Joanne/Ginny</t>
  </si>
  <si>
    <t>IDEA 2000 LIMITED</t>
  </si>
  <si>
    <t xml:space="preserve">7/F, Yonglian Buliding, </t>
  </si>
  <si>
    <t>IKKS WOMEN-BATIMENT 5</t>
  </si>
  <si>
    <t>SERVICE COMPTABILITE FOURNISS EURS</t>
  </si>
  <si>
    <t>94,RUE CHOLETAISE 49455 SEVREMOINE</t>
  </si>
  <si>
    <t>JOYANCE CORPORATION LIMITED</t>
  </si>
  <si>
    <t>14F 188 BINKANG ROAD, BINJIANG</t>
  </si>
  <si>
    <t>HANGZHOU, ZHEJIANG</t>
  </si>
  <si>
    <t>Nancy</t>
  </si>
  <si>
    <t>LOGTEX/IKKS WOMEN</t>
  </si>
  <si>
    <t>FOURNITURES DE COLLECTION</t>
  </si>
  <si>
    <t>MAISON 123</t>
  </si>
  <si>
    <t>57-59 avenue Henri Barbusse</t>
  </si>
  <si>
    <t>92 614 Clichy Cedex</t>
  </si>
  <si>
    <t>Murielle Deny</t>
  </si>
  <si>
    <t>MAISON PERE</t>
  </si>
  <si>
    <t>36 RUE VIGNON</t>
  </si>
  <si>
    <t>Ms. Adele Grenot</t>
  </si>
  <si>
    <t>Maison Rabih Kayrouz</t>
  </si>
  <si>
    <t xml:space="preserve">38 Boulevard Raspail </t>
  </si>
  <si>
    <t>Mirjana Morozin</t>
  </si>
  <si>
    <t>Maje</t>
  </si>
  <si>
    <t xml:space="preserve">2 rue de Marengo </t>
  </si>
  <si>
    <t>Marion Blanchard</t>
  </si>
  <si>
    <t>MAREY SHANGHAI Office</t>
  </si>
  <si>
    <t xml:space="preserve">21st Floor, Harbour Ring Huangpu Center, </t>
  </si>
  <si>
    <t>DEBBIE YAN</t>
  </si>
  <si>
    <t>MARIE LAPORTE</t>
  </si>
  <si>
    <t>MELOYUN CO LTD</t>
  </si>
  <si>
    <t xml:space="preserve">101/63-65 Moo 3, Suetrong group, </t>
  </si>
  <si>
    <t>Li</t>
  </si>
  <si>
    <t>OFFICINE GENERALE</t>
  </si>
  <si>
    <t xml:space="preserve">11 RUE JULES CHAPLAIN </t>
  </si>
  <si>
    <t>PARIS</t>
  </si>
  <si>
    <t>Dan</t>
  </si>
  <si>
    <t>Paco Rabanne</t>
  </si>
  <si>
    <t>17, rue Fran?ois 1er</t>
  </si>
  <si>
    <t>PARMAMODA SRL</t>
  </si>
  <si>
    <t xml:space="preserve">VIA G. BOTTERI, 12 </t>
  </si>
  <si>
    <t>PARMA</t>
  </si>
  <si>
    <t>Emanuela</t>
  </si>
  <si>
    <t>Piret Kartus</t>
  </si>
  <si>
    <t>Parnu mnt 8</t>
  </si>
  <si>
    <t>Potencier</t>
  </si>
  <si>
    <t>106, rue L?on Gambetta</t>
  </si>
  <si>
    <t>Villers-Outreaux</t>
  </si>
  <si>
    <t xml:space="preserve">Eric Leroy </t>
  </si>
  <si>
    <t>PROLOG ( MRK PROD E20 )</t>
  </si>
  <si>
    <t>84 rue Choletaise</t>
  </si>
  <si>
    <t>Sylvie</t>
  </si>
  <si>
    <t>RDM / CELESTINA AGOSTINO</t>
  </si>
  <si>
    <t>15 RUE DE L'ABBE GREGOIRE</t>
  </si>
  <si>
    <t>CELESTINA AGOSTINO</t>
  </si>
  <si>
    <t>Richard Naigard</t>
  </si>
  <si>
    <t>232,rue St Denis</t>
  </si>
  <si>
    <t>SCRO - DESIGN SRL</t>
  </si>
  <si>
    <t>REPUBLICII6</t>
  </si>
  <si>
    <t>MARASESTI</t>
  </si>
  <si>
    <t>TFH</t>
  </si>
  <si>
    <t>RYM/FATMA</t>
  </si>
  <si>
    <t>The Kooples</t>
  </si>
  <si>
    <t>11 Rue de Prony,</t>
  </si>
  <si>
    <t>Laurie Poisvert</t>
  </si>
  <si>
    <t>Valerie Khalfon</t>
  </si>
  <si>
    <t xml:space="preserve">9 rue Saint Fiacre </t>
  </si>
  <si>
    <t>Valerie Israel</t>
  </si>
  <si>
    <t>Veronique Leroy</t>
  </si>
  <si>
    <t>50 rue du Faubourg ST Antoine</t>
  </si>
  <si>
    <t>Jean Fran?ois</t>
  </si>
  <si>
    <t>Y/PROJECT</t>
  </si>
  <si>
    <t xml:space="preserve">40 RUE DE PARADIS, </t>
  </si>
  <si>
    <t>Ran Roh</t>
  </si>
  <si>
    <t>Zapa</t>
  </si>
  <si>
    <t>8bis Rue Dieu</t>
  </si>
  <si>
    <t xml:space="preserve">Paris 10?me </t>
  </si>
  <si>
    <t>France Rocher</t>
  </si>
  <si>
    <t>ZIP CODE</t>
    <phoneticPr fontId="4"/>
  </si>
  <si>
    <t>ADDRESS 1</t>
    <phoneticPr fontId="4"/>
  </si>
  <si>
    <t>ADDRESS 2</t>
    <phoneticPr fontId="4"/>
  </si>
  <si>
    <t>COUNTRY</t>
    <phoneticPr fontId="4"/>
  </si>
  <si>
    <t>TEL</t>
    <phoneticPr fontId="4"/>
  </si>
  <si>
    <t>DANIELLE FRANKEL</t>
    <phoneticPr fontId="4"/>
  </si>
  <si>
    <t>USA</t>
    <phoneticPr fontId="4"/>
  </si>
  <si>
    <t xml:space="preserve">4030 DEL REY AVE </t>
    <phoneticPr fontId="4"/>
  </si>
  <si>
    <t>ATTENTION</t>
    <phoneticPr fontId="4"/>
  </si>
  <si>
    <t>NEW YORK, NY</t>
    <phoneticPr fontId="4"/>
  </si>
  <si>
    <t>34 Tai Yau Street,San Po Kong, Kowloon, Hong Kong</t>
    <phoneticPr fontId="4"/>
  </si>
  <si>
    <t>2G, Hok Yuen St., Hung Hom, Kowloon, Hong Kong</t>
    <phoneticPr fontId="4"/>
  </si>
  <si>
    <t>Los Angeles, CA</t>
    <phoneticPr fontId="4"/>
  </si>
  <si>
    <t>New York, NY</t>
  </si>
  <si>
    <t>New York, NY</t>
    <phoneticPr fontId="4"/>
  </si>
  <si>
    <t>Dallas, TX</t>
    <phoneticPr fontId="4"/>
  </si>
  <si>
    <t>Vernon, CA</t>
    <phoneticPr fontId="4"/>
  </si>
  <si>
    <t>Newport Beach, CA</t>
    <phoneticPr fontId="4"/>
  </si>
  <si>
    <t>chicago IL</t>
    <phoneticPr fontId="4"/>
  </si>
  <si>
    <t>Greensboro, NC</t>
    <phoneticPr fontId="4"/>
  </si>
  <si>
    <t>Changzhou, Jiangsu</t>
    <phoneticPr fontId="4"/>
  </si>
  <si>
    <t>NO.99JIN HU road, Jintan District</t>
    <phoneticPr fontId="4"/>
  </si>
  <si>
    <t xml:space="preserve">Yuhang Economic Development Zone, HangZhou </t>
    <phoneticPr fontId="4"/>
  </si>
  <si>
    <t xml:space="preserve">Jalan Maharajalela, 36000 Teluk Intan, Perak Darul Ridzuan, </t>
    <phoneticPr fontId="4"/>
  </si>
  <si>
    <t>MALAYSIA</t>
    <phoneticPr fontId="4"/>
  </si>
  <si>
    <t>Xirena Division, 834 S Broadway # 600</t>
    <phoneticPr fontId="4"/>
  </si>
  <si>
    <t>08057</t>
    <phoneticPr fontId="4"/>
  </si>
  <si>
    <t>Moorestown, NJ</t>
    <phoneticPr fontId="4"/>
  </si>
  <si>
    <t xml:space="preserve">Long Hau Commune, Can Giuoc Dist, Long An Province, </t>
    <phoneticPr fontId="4"/>
  </si>
  <si>
    <t>VIETNAM</t>
    <phoneticPr fontId="4"/>
  </si>
  <si>
    <t>62-70 Texaco Road, Tsuen Wan, Hong Kong</t>
    <phoneticPr fontId="4"/>
  </si>
  <si>
    <t>Hacienda Heights, CA</t>
    <phoneticPr fontId="4"/>
  </si>
  <si>
    <t>Venice, CA</t>
    <phoneticPr fontId="4"/>
  </si>
  <si>
    <t>Li Chuan, Dong Guan</t>
    <phoneticPr fontId="4"/>
  </si>
  <si>
    <t>2F 83 Li Chuan Road, Dong Cheng</t>
    <phoneticPr fontId="4"/>
  </si>
  <si>
    <t>Brooklyn, NY</t>
    <phoneticPr fontId="4"/>
  </si>
  <si>
    <t>Monroe, NY</t>
    <phoneticPr fontId="4"/>
  </si>
  <si>
    <t>270 Lafayette St, Suite 610</t>
    <phoneticPr fontId="4"/>
  </si>
  <si>
    <t>099253</t>
    <phoneticPr fontId="4"/>
  </si>
  <si>
    <t>SINGAPORE</t>
    <phoneticPr fontId="4"/>
  </si>
  <si>
    <t>07071</t>
    <phoneticPr fontId="4"/>
  </si>
  <si>
    <t xml:space="preserve">165 Polito Ave, </t>
    <phoneticPr fontId="4"/>
  </si>
  <si>
    <t>Lyndhurst, NJ</t>
    <phoneticPr fontId="4"/>
  </si>
  <si>
    <t>Great Neck, NY</t>
    <phoneticPr fontId="4"/>
  </si>
  <si>
    <t>Minhang District, Shanghai</t>
    <phoneticPr fontId="4"/>
  </si>
  <si>
    <t>Calabasas, CA</t>
    <phoneticPr fontId="4"/>
  </si>
  <si>
    <t>2515 Yates Ave,</t>
    <phoneticPr fontId="4"/>
  </si>
  <si>
    <t>Commerce, CA</t>
    <phoneticPr fontId="4"/>
  </si>
  <si>
    <t>2930 DENBY AVENUE, STUDIO B,</t>
    <phoneticPr fontId="4"/>
  </si>
  <si>
    <t>117 W 9th St., Mezzanine #111</t>
    <phoneticPr fontId="4"/>
  </si>
  <si>
    <t>FLOOR 4, 80 8th Avenue,</t>
    <phoneticPr fontId="4"/>
  </si>
  <si>
    <t>Marina Del Rey, CA</t>
    <phoneticPr fontId="4"/>
  </si>
  <si>
    <t>13969 Marquesas Way Apt 202b,</t>
    <phoneticPr fontId="4"/>
  </si>
  <si>
    <t>New Port Beach , CA</t>
    <phoneticPr fontId="4"/>
  </si>
  <si>
    <t>06525</t>
    <phoneticPr fontId="4"/>
  </si>
  <si>
    <t>Woodbridge, CT</t>
    <phoneticPr fontId="4"/>
  </si>
  <si>
    <t>Max Lu</t>
    <phoneticPr fontId="4"/>
  </si>
  <si>
    <t>611 Broadway, 308</t>
    <phoneticPr fontId="4"/>
  </si>
  <si>
    <t>THAILAND</t>
  </si>
  <si>
    <t>THAILAND</t>
    <phoneticPr fontId="4"/>
  </si>
  <si>
    <t>104/8 Krung Kasem Rd., Dheves,</t>
    <phoneticPr fontId="4"/>
  </si>
  <si>
    <t>Bangkok</t>
    <phoneticPr fontId="4"/>
  </si>
  <si>
    <t>Peru Fashions S.A.C.</t>
    <phoneticPr fontId="4"/>
  </si>
  <si>
    <t xml:space="preserve">Mz. E Lote 9, URB. Las Vegas </t>
    <phoneticPr fontId="4"/>
  </si>
  <si>
    <t>Puente Piedra,</t>
    <phoneticPr fontId="4"/>
  </si>
  <si>
    <t>No. 4 S.C. TEPANCO DE LOPEZ, PUEBLA</t>
    <phoneticPr fontId="4"/>
  </si>
  <si>
    <t>PERU</t>
    <phoneticPr fontId="4"/>
  </si>
  <si>
    <t xml:space="preserve">2692 Dow Ave, </t>
    <phoneticPr fontId="4"/>
  </si>
  <si>
    <t>Tustin, CA</t>
    <phoneticPr fontId="4"/>
  </si>
  <si>
    <t>Pasadena, CA</t>
    <phoneticPr fontId="4"/>
  </si>
  <si>
    <t>02119</t>
    <phoneticPr fontId="4"/>
  </si>
  <si>
    <t>Torrance, CA</t>
    <phoneticPr fontId="4"/>
  </si>
  <si>
    <t>Boston, MA</t>
    <phoneticPr fontId="4"/>
  </si>
  <si>
    <t>Ying Ren Shi, Bao'an District, ShenZhen,</t>
    <phoneticPr fontId="4"/>
  </si>
  <si>
    <t>6FL, Bldg C, Wentao Tech Zone,</t>
    <phoneticPr fontId="4"/>
  </si>
  <si>
    <t>ShenZhen Maohua Fashion Co., Ltd.</t>
    <phoneticPr fontId="4"/>
  </si>
  <si>
    <t>Kagithane, Istanbul,</t>
    <phoneticPr fontId="4"/>
  </si>
  <si>
    <t>No.20 Cheung Shun Street, Lai Chi Kok, Hong Kong</t>
    <phoneticPr fontId="4"/>
  </si>
  <si>
    <t>1 Walnut Street, Tai Kok Tsui, Kowloon, Hong Kong</t>
    <phoneticPr fontId="4"/>
  </si>
  <si>
    <t>FRANCE</t>
  </si>
  <si>
    <t>FRANCE</t>
    <phoneticPr fontId="4"/>
  </si>
  <si>
    <t>GAOXING district, Hefei Anhui,</t>
    <phoneticPr fontId="4"/>
  </si>
  <si>
    <t>BULGARIA</t>
    <phoneticPr fontId="4"/>
  </si>
  <si>
    <t>Clichy</t>
    <phoneticPr fontId="4"/>
  </si>
  <si>
    <t>TECHNOLOGICAL DEVELOPMENT ZONE,XIAOSHAN DISTRICT, HANGZHOU, ZHEJIANG,</t>
    <phoneticPr fontId="4"/>
  </si>
  <si>
    <t>10NG FONG STREET, SAN PO KONG,  KOWLOON, HONG KONG</t>
    <phoneticPr fontId="4"/>
  </si>
  <si>
    <t xml:space="preserve">No.188 He Ping Street, Xiuzhou District, Jiaxing, Zhejiang, </t>
    <phoneticPr fontId="4"/>
  </si>
  <si>
    <t>4 Passage de la Boule Blanche, Paris</t>
    <phoneticPr fontId="4"/>
  </si>
  <si>
    <t>ROMANIA</t>
    <phoneticPr fontId="4"/>
  </si>
  <si>
    <t>Saint Macaire en Mauges, Sevremoine,</t>
    <phoneticPr fontId="4"/>
  </si>
  <si>
    <t xml:space="preserve">Apartment 7a, Tallinn, </t>
    <phoneticPr fontId="4"/>
  </si>
  <si>
    <t xml:space="preserve">ESTONIA </t>
    <phoneticPr fontId="4"/>
  </si>
  <si>
    <t>ITALY</t>
    <phoneticPr fontId="4"/>
  </si>
  <si>
    <t xml:space="preserve">TAMBON SAIMA, AUMPHUR MUANG, NONTHABURI, </t>
    <phoneticPr fontId="4"/>
  </si>
  <si>
    <t>No. 98 Liu He Road, Shanghai</t>
    <phoneticPr fontId="4"/>
  </si>
  <si>
    <t>Z.I DE LA GARE RUE DU DR FAYAU, MONTAIGU,</t>
    <phoneticPr fontId="4"/>
  </si>
  <si>
    <t>Phoenix Brewery, 13 Bramley Road</t>
    <phoneticPr fontId="4"/>
  </si>
  <si>
    <t>London</t>
    <phoneticPr fontId="4"/>
  </si>
  <si>
    <t>NETIL HOUSE, SUITE 204, 1 WESTGATE STREET,</t>
    <phoneticPr fontId="4"/>
  </si>
  <si>
    <t>W10 6SZ</t>
    <phoneticPr fontId="4"/>
  </si>
  <si>
    <t>Marta</t>
    <phoneticPr fontId="4"/>
  </si>
  <si>
    <t xml:space="preserve">TUNISIA </t>
    <phoneticPr fontId="4"/>
  </si>
  <si>
    <t>RUE DU TISSAGE 29, ZI KSAR SAID,</t>
    <phoneticPr fontId="4"/>
  </si>
  <si>
    <t>MANOUBA</t>
    <phoneticPr fontId="4"/>
  </si>
  <si>
    <t>Temperley London</t>
    <phoneticPr fontId="4"/>
  </si>
  <si>
    <t>3066a</t>
  </si>
  <si>
    <t>P.H.Garment Manufacturing Company Limited</t>
  </si>
  <si>
    <t>UNIT 1412, 14/F., TOWER 2, EVER GAIN PLAZA,</t>
  </si>
  <si>
    <t>3432a</t>
  </si>
  <si>
    <t>RCD</t>
  </si>
  <si>
    <t>3436a</t>
  </si>
  <si>
    <t>101/63-65 Moo 3, Suetrong group,</t>
  </si>
  <si>
    <t>3239a</t>
  </si>
  <si>
    <t>LA ADA DE ACUNA, S DE RL DE CV</t>
  </si>
  <si>
    <t>CARRETERA PRESA DE LA AMISTAD KM 4.5</t>
  </si>
  <si>
    <t>CD. ACUNA, COAHUILA</t>
  </si>
  <si>
    <t>3241a</t>
  </si>
  <si>
    <t>Wacoal Dominicana Corp.</t>
  </si>
  <si>
    <t>Zona Franca Industrial</t>
  </si>
  <si>
    <t>6001a</t>
  </si>
  <si>
    <t>EAST CONCEPT FASHION LTD</t>
  </si>
  <si>
    <t>UNIT 1-5, 4/F, WELL TECH CENTER</t>
  </si>
  <si>
    <t>6002a</t>
  </si>
  <si>
    <t>CHINA FENG FASHION (SHENZHEN)LTD</t>
  </si>
  <si>
    <t>6005a</t>
  </si>
  <si>
    <t>MMAA</t>
  </si>
  <si>
    <t>BOLGATANGA BONGO ROAD</t>
  </si>
  <si>
    <t>6015a</t>
  </si>
  <si>
    <t>Aanchal Apparels Pvt Ltd.</t>
  </si>
  <si>
    <t>4-a 3rd floor, Industry Manor</t>
  </si>
  <si>
    <t>6015b</t>
  </si>
  <si>
    <t>Friendship Manufacturing Co., Ltd.</t>
  </si>
  <si>
    <t>17/6A Phan Huy ich Street, Ward 14</t>
  </si>
  <si>
    <t>6046a</t>
  </si>
  <si>
    <t>Textile Gloria Ltd</t>
  </si>
  <si>
    <t>8 Hashomer street</t>
  </si>
  <si>
    <t>6050a</t>
  </si>
  <si>
    <t>Bsquare holdings LTD</t>
  </si>
  <si>
    <t>39 North moore street, store entrance</t>
  </si>
  <si>
    <t>6085a</t>
  </si>
  <si>
    <t>Joe's Jeans</t>
  </si>
  <si>
    <t>1580 Jesse St.</t>
  </si>
  <si>
    <t>6102a</t>
  </si>
  <si>
    <t>Gold Flower Ltd.</t>
  </si>
  <si>
    <t>8/FL, 66-72, Lei Muk Road,</t>
  </si>
  <si>
    <t>Kwai Chung, N.T. Hong Kong</t>
  </si>
  <si>
    <t>6185a</t>
  </si>
  <si>
    <t>WEI YI FACTORY</t>
  </si>
  <si>
    <t>No. 8, Gouwei Road, Yongan Road</t>
  </si>
  <si>
    <t>Chaozhou, Guangdong</t>
  </si>
  <si>
    <t>6215a</t>
  </si>
  <si>
    <t>Frankies</t>
  </si>
  <si>
    <t>3349 La Cienega Place</t>
  </si>
  <si>
    <t>6256a</t>
  </si>
  <si>
    <t>F I H Co. Limited</t>
  </si>
  <si>
    <t xml:space="preserve">A5 17F Goodwill Ind. Bldg. </t>
  </si>
  <si>
    <t>6280a</t>
  </si>
  <si>
    <t>CAMPO LONGO INDUSTRIA E COMERCIO VESTUARIO LDA.,</t>
  </si>
  <si>
    <t>TRAVESSA DA ALEGRIA 77,</t>
  </si>
  <si>
    <t>6290a</t>
  </si>
  <si>
    <t>Greenhill Fashion Knitters</t>
  </si>
  <si>
    <t>6290b</t>
  </si>
  <si>
    <t>Hellessy C/O Magic Team &amp; Company Ltd.</t>
  </si>
  <si>
    <t>Room D, 4th Fl., Wing Cheung Industrial Bldg.</t>
  </si>
  <si>
    <t>6290c</t>
  </si>
  <si>
    <t>Hellessy c/o Shantou Huanlong Fashion Limited</t>
  </si>
  <si>
    <t>3-4/Floor, No. 8, West 1 Street, Longxin Indstrial Zone</t>
  </si>
  <si>
    <t>6291a</t>
  </si>
  <si>
    <t>Helmut Lang</t>
  </si>
  <si>
    <t>2 Gansevoort St. 4FL</t>
  </si>
  <si>
    <t>6292a</t>
  </si>
  <si>
    <t>Global Sourcenet Ltd</t>
  </si>
  <si>
    <t>Minh Khai, Nhu Quynh, Van Lam,</t>
  </si>
  <si>
    <t>6360a</t>
  </si>
  <si>
    <t>JANE WANG</t>
  </si>
  <si>
    <t>248-25 Northan Blvd, 1J-363</t>
  </si>
  <si>
    <t>Douglaston, NY 11362</t>
  </si>
  <si>
    <t>6365a</t>
  </si>
  <si>
    <t>CHAOZHOU YADA EMBROIDERY GARMENT INDUSTRIAL CO.,LTD.</t>
  </si>
  <si>
    <t>North 3rd Road, North Industrial Zone, ChaoZhou Avenue</t>
  </si>
  <si>
    <t>6401a</t>
  </si>
  <si>
    <t>KATIE MAY WAREHOUSE</t>
  </si>
  <si>
    <t>6425a</t>
  </si>
  <si>
    <t>Polytime</t>
  </si>
  <si>
    <t>704 S Spring St #301</t>
  </si>
  <si>
    <t>6445a</t>
  </si>
  <si>
    <t>Wenzhou Qihe import &amp; export Co., Ltd</t>
  </si>
  <si>
    <t xml:space="preserve">RM 2404, No.25 building, Gongchen bund, </t>
  </si>
  <si>
    <t>6470a</t>
  </si>
  <si>
    <t>CIAO LUCIA</t>
  </si>
  <si>
    <t>6481a</t>
  </si>
  <si>
    <t>SIA Apparel</t>
  </si>
  <si>
    <t>6481b</t>
  </si>
  <si>
    <t>SREEPRIYA EXPORTS PVT LTD</t>
  </si>
  <si>
    <t>31 TOPSIA ROAD SOUTH</t>
  </si>
  <si>
    <t>India</t>
  </si>
  <si>
    <t>6481c</t>
  </si>
  <si>
    <t>Ming Leurn Co., Ltd.</t>
  </si>
  <si>
    <t>ShinWen Industry Zone,Daojiao Town</t>
  </si>
  <si>
    <t>Dongguan City</t>
  </si>
  <si>
    <t>6489a</t>
  </si>
  <si>
    <t>Golden Stitching C/O Minnow Swim</t>
  </si>
  <si>
    <t>3348 W Harvard St</t>
  </si>
  <si>
    <t>6503a</t>
  </si>
  <si>
    <t>Shengzhou Fred Fashion Co., Ltd</t>
  </si>
  <si>
    <t>No.109 Jia Jia Road, Shengzhou</t>
  </si>
  <si>
    <t>6561a</t>
  </si>
  <si>
    <t>RAJ MFG.LLC (RM WHSE)</t>
  </si>
  <si>
    <t>6610a</t>
  </si>
  <si>
    <t>East Concept Fashion LTD.</t>
  </si>
  <si>
    <t>Unit 1-5, 4/F, Well Tech Centre</t>
  </si>
  <si>
    <t>6631a</t>
  </si>
  <si>
    <t>CQY</t>
  </si>
  <si>
    <t>410 N Paulina Ave.</t>
  </si>
  <si>
    <t>6652a</t>
  </si>
  <si>
    <t>CHINAMINE TRADING LIMITED</t>
  </si>
  <si>
    <t>Room 2805, 28/F</t>
  </si>
  <si>
    <t>6666a</t>
  </si>
  <si>
    <t>CAPITAL CUTTING</t>
  </si>
  <si>
    <t>318 WEST 39TH STREET 3RD FLOOR</t>
  </si>
  <si>
    <t>6705a</t>
  </si>
  <si>
    <t>CREATIONS BY SHANAGAR</t>
  </si>
  <si>
    <t>2-B, Grotto Villa</t>
  </si>
  <si>
    <t>6727a</t>
  </si>
  <si>
    <t>Vera Wang Bridal House, LLC</t>
  </si>
  <si>
    <t>11260 FORTUNE CIRCLE suite J4</t>
  </si>
  <si>
    <r>
      <t>5-7 FLOOR,BLGD B3</t>
    </r>
    <r>
      <rPr>
        <sz val="11"/>
        <rFont val="ＭＳ Ｐ明朝"/>
        <family val="1"/>
        <charset val="128"/>
      </rPr>
      <t>，</t>
    </r>
    <r>
      <rPr>
        <sz val="11"/>
        <rFont val="Times New Roman"/>
        <family val="1"/>
      </rPr>
      <t>SUNNY IND.PARK,</t>
    </r>
  </si>
  <si>
    <t>NOS. 88 CONTAINER PORT ROAD, KWAI CHUNG, N.T. Hong Kong</t>
    <phoneticPr fontId="4"/>
  </si>
  <si>
    <t>Z.I. DE BRIANGAUD</t>
    <phoneticPr fontId="4"/>
  </si>
  <si>
    <t>Rue JEAN-MONNET, CS 40275, REDON CEDEX</t>
    <phoneticPr fontId="4"/>
  </si>
  <si>
    <t>TAMBON SAIMA, AUMPHUR MUANG, NONTHABURI,</t>
    <phoneticPr fontId="4"/>
  </si>
  <si>
    <t>MEXICO</t>
    <phoneticPr fontId="4"/>
  </si>
  <si>
    <t xml:space="preserve">22 Autopista Las Americas, Santo Dominigo, </t>
    <phoneticPr fontId="4"/>
  </si>
  <si>
    <t>DOMINICA REPUBLIC</t>
    <phoneticPr fontId="4"/>
  </si>
  <si>
    <t>9 PAT TAT STREET,KOWLOON, HONG KONG</t>
    <phoneticPr fontId="4"/>
  </si>
  <si>
    <t xml:space="preserve">NO.2-3,HEZHOU SOUTHERN IND .ZONE,SHENZHEN, </t>
    <phoneticPr fontId="4"/>
  </si>
  <si>
    <t>GHANA</t>
    <phoneticPr fontId="4"/>
  </si>
  <si>
    <t>AKUNTAASI STREET HSE NO 15, BOLGATANGA,</t>
    <phoneticPr fontId="4"/>
  </si>
  <si>
    <t>INDIA</t>
    <phoneticPr fontId="4"/>
  </si>
  <si>
    <t>Appasaheb Marathe Marg, Prabhadevi, Mumbai</t>
    <phoneticPr fontId="4"/>
  </si>
  <si>
    <t>Go Vap District, HCMC,</t>
    <phoneticPr fontId="4"/>
  </si>
  <si>
    <t>Tel Aviv,</t>
    <phoneticPr fontId="4"/>
  </si>
  <si>
    <t>ISRAEL</t>
    <phoneticPr fontId="4"/>
  </si>
  <si>
    <t>U.K.</t>
    <phoneticPr fontId="4"/>
  </si>
  <si>
    <t>36-44 Pak Tin Par St., Tsuen Wan, Hong Kong</t>
    <phoneticPr fontId="4"/>
  </si>
  <si>
    <t xml:space="preserve">MILHEIROS, </t>
    <phoneticPr fontId="4"/>
  </si>
  <si>
    <t xml:space="preserve">PORTUGAL </t>
  </si>
  <si>
    <t xml:space="preserve">Flat 1, 15/F, Room A, Wing Shing Industrial Building, </t>
    <phoneticPr fontId="4"/>
  </si>
  <si>
    <t>26 Ng Fong Street, San Po Kong Kowloon, Hong Kong</t>
    <phoneticPr fontId="4"/>
  </si>
  <si>
    <t>109 How Ming St. Kwun Tong, Kowloon, Hong Kong</t>
    <phoneticPr fontId="4"/>
  </si>
  <si>
    <t>Longhu District, Shantou</t>
    <phoneticPr fontId="4"/>
  </si>
  <si>
    <t>Hung Yen,</t>
    <phoneticPr fontId="4"/>
  </si>
  <si>
    <t>CHAOZHOU CITY,GUANGDONG,</t>
    <phoneticPr fontId="4"/>
  </si>
  <si>
    <t>Chongxian street, Linping District, Hangzhou,</t>
    <phoneticPr fontId="4"/>
  </si>
  <si>
    <t xml:space="preserve">3rd Floor, 306 West 37th Street, </t>
    <phoneticPr fontId="4"/>
  </si>
  <si>
    <t xml:space="preserve">2301 EAST 7TH STREET, SUITE A315 </t>
    <phoneticPr fontId="4"/>
  </si>
  <si>
    <t>PICNIC GARDEN KOLKATA,WEST BENGAL,</t>
    <phoneticPr fontId="4"/>
  </si>
  <si>
    <t>Santa Ana, CA</t>
    <phoneticPr fontId="4"/>
  </si>
  <si>
    <t>Zhejiang</t>
    <phoneticPr fontId="4"/>
  </si>
  <si>
    <t xml:space="preserve">RAW MATERIAL WHSE, 2692 DOW AVENUE, </t>
    <phoneticPr fontId="4"/>
  </si>
  <si>
    <t>9 Pat Tat Street, San Po Kong, Kowloon, Hong Kong</t>
    <phoneticPr fontId="4"/>
  </si>
  <si>
    <t>No. 1 Hung To Road, Kwun Tong, Kowloon, Hong Kong</t>
    <phoneticPr fontId="4"/>
  </si>
  <si>
    <t>2nd hasnabad lane, MUMBAI, 27 Maharashtra</t>
    <phoneticPr fontId="4"/>
  </si>
  <si>
    <t>WELLINGTON, FL</t>
    <phoneticPr fontId="4"/>
  </si>
  <si>
    <t>Redondo Beach, CA</t>
    <phoneticPr fontId="4"/>
  </si>
  <si>
    <t>システムコード</t>
    <phoneticPr fontId="4"/>
  </si>
  <si>
    <t>名称</t>
    <rPh sb="0" eb="2">
      <t>メイショウ</t>
    </rPh>
    <phoneticPr fontId="4"/>
  </si>
  <si>
    <t>A&amp;Feng Fashion Ltd.</t>
    <phoneticPr fontId="4"/>
  </si>
  <si>
    <t>INVOICE No.</t>
    <phoneticPr fontId="4"/>
  </si>
  <si>
    <t>CONSIGNEE</t>
    <phoneticPr fontId="4"/>
  </si>
  <si>
    <t>SOLD TO</t>
    <phoneticPr fontId="4"/>
  </si>
  <si>
    <r>
      <rPr>
        <sz val="11"/>
        <rFont val="Yu Gothic"/>
        <family val="3"/>
        <charset val="128"/>
      </rPr>
      <t xml:space="preserve">(SELECT) - </t>
    </r>
    <r>
      <rPr>
        <sz val="11"/>
        <rFont val="ｔ"/>
        <family val="3"/>
        <charset val="128"/>
      </rPr>
      <t>顧客名</t>
    </r>
    <rPh sb="11" eb="14">
      <t>コキャクメイ</t>
    </rPh>
    <phoneticPr fontId="4"/>
  </si>
  <si>
    <t>G/Weight:</t>
    <phoneticPr fontId="4"/>
  </si>
  <si>
    <t>Note:</t>
    <phoneticPr fontId="4"/>
  </si>
  <si>
    <t>Tel: 852 2761 0390</t>
  </si>
  <si>
    <t>Tel: 646 588 8824</t>
  </si>
  <si>
    <t>Tel: 323 963 4351</t>
  </si>
  <si>
    <t>Tel: 305 609 3841</t>
  </si>
  <si>
    <t>Tel: (212) 971-0170</t>
  </si>
  <si>
    <t>Tel: 626 272 5240</t>
  </si>
  <si>
    <t>Tel: 852 2365 7052</t>
  </si>
  <si>
    <t>Tel: 213.228.1930</t>
  </si>
  <si>
    <t>Tel: 949.966.0108</t>
  </si>
  <si>
    <t>Tel: 773 365 1751</t>
  </si>
  <si>
    <t>Tel: 212.579.2095</t>
  </si>
  <si>
    <t>Tel: 323.733.7700</t>
  </si>
  <si>
    <t>Tel: 86 519 83870739</t>
  </si>
  <si>
    <t>Tel: 86 57186259028</t>
  </si>
  <si>
    <t>Tel: 29505305</t>
  </si>
  <si>
    <t>Tel: 323 481 1928</t>
  </si>
  <si>
    <t>Tel: 212 629 2215</t>
  </si>
  <si>
    <t>Tel: 503 724 4959</t>
  </si>
  <si>
    <t>Tel: 213 624 5200</t>
  </si>
  <si>
    <t>Tel: 917-868-1911</t>
  </si>
  <si>
    <t>Tel: 323-685-2029</t>
  </si>
  <si>
    <t>Tel: 323-888-8838</t>
  </si>
  <si>
    <t>Tel: (213) 627-7200</t>
  </si>
  <si>
    <t>Tel: 415 250 8391</t>
  </si>
  <si>
    <t>Tel: 323.225.9525</t>
  </si>
  <si>
    <t>Tel: 212-463-8135</t>
  </si>
  <si>
    <t>Tel: 206-552-4715?</t>
  </si>
  <si>
    <t>Tel:+1 646 809 0100 x.106</t>
  </si>
  <si>
    <t>Tel : 213 380 8071</t>
  </si>
  <si>
    <t>Tel: 511 613 9999</t>
  </si>
  <si>
    <t>Tel: 917 783 6577</t>
  </si>
  <si>
    <t>Tel: 212 421 3200</t>
  </si>
  <si>
    <t>Tel: 852 2786 7667/529</t>
  </si>
  <si>
    <t>Tel: 323.493.9357</t>
  </si>
  <si>
    <t>Tel: 617.423.3134</t>
  </si>
  <si>
    <t>Tel: 755 2664 1991</t>
  </si>
  <si>
    <t>Tel: +90 (212) 294 09 09 - 271</t>
  </si>
  <si>
    <t>Tel: +44 20 7229 7957</t>
  </si>
  <si>
    <t>Tel: 213-309-4842</t>
  </si>
  <si>
    <t>Tel: 212 300 0899</t>
  </si>
  <si>
    <t>Tel: 646 765 5400</t>
  </si>
  <si>
    <t>Tel:212 683 2323</t>
  </si>
  <si>
    <t>Tel: 917-921-0697</t>
  </si>
  <si>
    <t>Tel: (852) 2392 7323</t>
  </si>
  <si>
    <t xml:space="preserve">Tel: 0519-82698844 </t>
  </si>
  <si>
    <t>Tel: 845-783-2069</t>
  </si>
  <si>
    <t>Tel: 646 882 2963</t>
  </si>
  <si>
    <t>Tel: 86 21 6728 8264</t>
  </si>
  <si>
    <t>Tel: 212.645.0823</t>
  </si>
  <si>
    <t>Tel: 212 206 3999</t>
  </si>
  <si>
    <t>Tel: 022-40278822</t>
  </si>
  <si>
    <t>Tel: 213-670-0214</t>
  </si>
  <si>
    <t>Tel: 09-5251-2719</t>
  </si>
  <si>
    <t>Tel: 0086-13955160073</t>
  </si>
  <si>
    <t>Tel: 33 1422 11203</t>
  </si>
  <si>
    <t>Tel: 33-1-4508-1415</t>
  </si>
  <si>
    <t>Tel: 01-77-38-81-95</t>
  </si>
  <si>
    <t>Tel: 33(0)1-40-62-76-20</t>
  </si>
  <si>
    <t>Tel: 0035 932 218 326</t>
  </si>
  <si>
    <t>Tel: 212 944 5757</t>
  </si>
  <si>
    <t>Tel: 917-592-2967</t>
  </si>
  <si>
    <t>Tel: 44 07784 682678</t>
  </si>
  <si>
    <t>Tel: (86) 755 29980940-818</t>
  </si>
  <si>
    <t>Tel: 385-856-6836</t>
  </si>
  <si>
    <t>Tel: 33 (0) 1 58 16 25 00</t>
  </si>
  <si>
    <t>Tel: 33 6 86 61 35 36</t>
  </si>
  <si>
    <t>Tel: 331 40 07 49 76</t>
  </si>
  <si>
    <t>Tel: Tel:  (+84) 36201420</t>
  </si>
  <si>
    <t>Tel: 06 21 56 12 65</t>
  </si>
  <si>
    <t>Tel: 852 29977828</t>
  </si>
  <si>
    <t>Tel: Tel: 626-922-7122</t>
  </si>
  <si>
    <t>Tel: 33-1-5590-7070</t>
  </si>
  <si>
    <t>Tel: Tel: 310-809-4025</t>
  </si>
  <si>
    <t>Tel: 84 221 3986 500</t>
  </si>
  <si>
    <t>Tel: 852 23107655</t>
  </si>
  <si>
    <t>Tel: Tel: 26127117558</t>
  </si>
  <si>
    <t>Tel: 86.754.836.9416</t>
  </si>
  <si>
    <t>Tel: +84 28 62873760</t>
  </si>
  <si>
    <t>Tel: (+84) 36201420</t>
  </si>
  <si>
    <t>Tel: 714-838-3110</t>
  </si>
  <si>
    <t>Tel: Tel: 646 318 8800</t>
  </si>
  <si>
    <t>Tel: Tel: 0769-22609802</t>
  </si>
  <si>
    <t>Tel: 818.522.4287</t>
  </si>
  <si>
    <t>Tel: 86 13735869749</t>
  </si>
  <si>
    <t>Tel: 917.689.8983</t>
  </si>
  <si>
    <t>Tel: 852 23545077</t>
  </si>
  <si>
    <t>Tel: 02-41-75-97-80</t>
  </si>
  <si>
    <t>Tel: 0086-571-87117581</t>
  </si>
  <si>
    <t>Tel: 01 55 90 71 20</t>
  </si>
  <si>
    <t>Tel: 33-9-7250-4076</t>
  </si>
  <si>
    <t>Tel: 33-145482828</t>
  </si>
  <si>
    <t>Tel: 33 (0) 1 42 96 77 24</t>
  </si>
  <si>
    <t>Tel: 86-21-61367255</t>
  </si>
  <si>
    <t>Tel: (+66)29261820</t>
  </si>
  <si>
    <t>Tel: 213 380 8071</t>
  </si>
  <si>
    <t>Tel: 233546700007, 0242855460</t>
  </si>
  <si>
    <t>Tel: 33-185096442</t>
  </si>
  <si>
    <t>Tel: 852-24226622 Ext.3331</t>
  </si>
  <si>
    <t>Tel: (0)1 83 97 72 51</t>
  </si>
  <si>
    <t>Tel: 0521 994068</t>
  </si>
  <si>
    <t>Tel: 37 256501126</t>
  </si>
  <si>
    <t>Tel: (714) 328-0282</t>
  </si>
  <si>
    <t>Tel: 33 (0)327 822 100</t>
  </si>
  <si>
    <t>Tel: 238 383 71 71</t>
  </si>
  <si>
    <t>Tel: 02.41.55.62.29</t>
  </si>
  <si>
    <t>Tel: 02 99 71 57 83</t>
  </si>
  <si>
    <t>Tel: 33(0)1-45 48 81 24</t>
  </si>
  <si>
    <t>Tel: 06 598868538</t>
  </si>
  <si>
    <t>Tel: 212-279-9310</t>
  </si>
  <si>
    <t xml:space="preserve">Tel: 216 71 651 100 </t>
  </si>
  <si>
    <t>Tel: 33 144779977</t>
  </si>
  <si>
    <t>Tel: 01 40 26 00 01</t>
  </si>
  <si>
    <t>Tel: 1 44 87 90 90</t>
  </si>
  <si>
    <t>Tel: 33-186640269</t>
  </si>
  <si>
    <t>Tel: 01 53 38 48 20</t>
  </si>
  <si>
    <t>Jonathan Simkhai</t>
  </si>
  <si>
    <t>653 N La Cienega Blvd</t>
    <phoneticPr fontId="4"/>
  </si>
  <si>
    <t>West Hollywood, CA</t>
    <phoneticPr fontId="4"/>
  </si>
  <si>
    <t>Tel: 646-590-0528</t>
    <phoneticPr fontId="4"/>
  </si>
  <si>
    <t>Hantex Garments Limited C/O PROTEX INDUSTRIAL (HK) LIMITED</t>
    <phoneticPr fontId="4"/>
  </si>
  <si>
    <t xml:space="preserve">FLAT A, 5/F, ON TAT INDUSTRIAL BUILDING, </t>
    <phoneticPr fontId="4"/>
  </si>
  <si>
    <t>3-5 PAT TAT STREET, SAN PO KONG, KOWLOON, HONG KONG</t>
    <phoneticPr fontId="4"/>
  </si>
  <si>
    <t>Tel: (+852) 35211421</t>
    <phoneticPr fontId="4"/>
  </si>
  <si>
    <t>Garry</t>
    <phoneticPr fontId="4"/>
  </si>
  <si>
    <t>File Name</t>
    <phoneticPr fontId="4"/>
  </si>
  <si>
    <t>Freight Charge</t>
    <phoneticPr fontId="4"/>
  </si>
  <si>
    <r>
      <rPr>
        <b/>
        <sz val="12"/>
        <rFont val="Times New Roman"/>
        <family val="1"/>
      </rPr>
      <t>SUN FASHION CORP.</t>
    </r>
    <r>
      <rPr>
        <sz val="10"/>
        <rFont val="Times New Roman"/>
        <family val="1"/>
      </rPr>
      <t xml:space="preserve">
21-10 Fukushima 8 Chome, Fukushima-Ku
Osaka, OSAKA 553-0003, U.S.A.
TEL: +81 6-6455-7580/ 2850
FAX: +81 6-6452-1641</t>
    </r>
    <phoneticPr fontId="4"/>
  </si>
  <si>
    <t>Invoice</t>
    <phoneticPr fontId="4"/>
  </si>
  <si>
    <t xml:space="preserve">     TOKYO</t>
    <phoneticPr fontId="4"/>
  </si>
  <si>
    <t>SUN FASHION CORP.</t>
    <phoneticPr fontId="59"/>
  </si>
  <si>
    <t>JAPAN</t>
    <phoneticPr fontId="4"/>
  </si>
  <si>
    <t>Made In</t>
    <phoneticPr fontId="4"/>
  </si>
  <si>
    <t>検索結果</t>
    <rPh sb="0" eb="2">
      <t>ケンサク</t>
    </rPh>
    <rPh sb="2" eb="4">
      <t>ケッカ</t>
    </rPh>
    <phoneticPr fontId="4"/>
  </si>
  <si>
    <t>行番号参考</t>
    <rPh sb="0" eb="3">
      <t>ギョウバンゴウ</t>
    </rPh>
    <rPh sb="3" eb="5">
      <t>サンコウ</t>
    </rPh>
    <phoneticPr fontId="4"/>
  </si>
  <si>
    <t>自動計算</t>
    <rPh sb="0" eb="4">
      <t>ジドウケイサン</t>
    </rPh>
    <phoneticPr fontId="4"/>
  </si>
  <si>
    <t>SUN FASHION AMERICA, INC.</t>
  </si>
  <si>
    <t>SUN FASHION AMERICA, INC.</t>
    <phoneticPr fontId="4"/>
  </si>
  <si>
    <t>265 West 37th Street 7th Floor</t>
    <phoneticPr fontId="4"/>
  </si>
  <si>
    <t>Tel: 1-845-633-2131</t>
    <phoneticPr fontId="4"/>
  </si>
  <si>
    <t>Kareen</t>
    <phoneticPr fontId="4"/>
  </si>
  <si>
    <t>固定</t>
    <rPh sb="0" eb="2">
      <t>コテイ</t>
    </rPh>
    <phoneticPr fontId="4"/>
  </si>
  <si>
    <t>MUFG BANK, LTD. OSAKA-NISHI BRANCH</t>
    <phoneticPr fontId="4"/>
  </si>
  <si>
    <t>1-7-17, AWAZA, NISHI-KU, OSAKA, JAPAN</t>
    <phoneticPr fontId="4"/>
  </si>
  <si>
    <t>SUN FASHION CORP.</t>
    <phoneticPr fontId="4"/>
  </si>
  <si>
    <t>BOTKJPJT</t>
    <phoneticPr fontId="4"/>
  </si>
  <si>
    <t>545-9019494</t>
    <phoneticPr fontId="4"/>
  </si>
  <si>
    <t>N/A</t>
    <phoneticPr fontId="4"/>
  </si>
  <si>
    <t>By T/T</t>
    <phoneticPr fontId="4"/>
  </si>
  <si>
    <t>EXW Japan</t>
    <phoneticPr fontId="4"/>
  </si>
  <si>
    <t>部署</t>
    <rPh sb="0" eb="2">
      <t>ブショ</t>
    </rPh>
    <phoneticPr fontId="4"/>
  </si>
  <si>
    <t>Fax: 06-6452-1641</t>
    <phoneticPr fontId="4"/>
  </si>
  <si>
    <t>担当者</t>
    <rPh sb="0" eb="3">
      <t>タントウシャ</t>
    </rPh>
    <phoneticPr fontId="4"/>
  </si>
  <si>
    <t>注文番号</t>
    <rPh sb="0" eb="4">
      <t>チュウモンバンゴウ</t>
    </rPh>
    <phoneticPr fontId="4"/>
  </si>
  <si>
    <t>AM</t>
    <phoneticPr fontId="4"/>
  </si>
  <si>
    <t>USER PO</t>
    <phoneticPr fontId="4"/>
  </si>
  <si>
    <t>491-0131</t>
  </si>
  <si>
    <t>0586-78-4640</t>
  </si>
  <si>
    <t>0586-51-0125</t>
  </si>
  <si>
    <t>541-0053</t>
  </si>
  <si>
    <t>06-6262-4431</t>
  </si>
  <si>
    <t>06-6262-4434</t>
  </si>
  <si>
    <t>542-0062</t>
  </si>
  <si>
    <t>06-6761-5772</t>
  </si>
  <si>
    <t>06-6761-5734</t>
  </si>
  <si>
    <t>252-0155</t>
  </si>
  <si>
    <t xml:space="preserve"> </t>
  </si>
  <si>
    <t>042-785-0136</t>
  </si>
  <si>
    <t>042-785-1279</t>
  </si>
  <si>
    <t>522-0027</t>
  </si>
  <si>
    <t>0749-27-6663</t>
  </si>
  <si>
    <t>0749-23-0711</t>
  </si>
  <si>
    <t>601-8162</t>
  </si>
  <si>
    <t>075-661-9227</t>
  </si>
  <si>
    <t>075-681-8304</t>
  </si>
  <si>
    <t>711-0904</t>
  </si>
  <si>
    <t>086-477-5111</t>
  </si>
  <si>
    <t>086-477-7707</t>
  </si>
  <si>
    <t>086-477-7531</t>
  </si>
  <si>
    <t>086-477-4156</t>
  </si>
  <si>
    <t>379-2312</t>
  </si>
  <si>
    <t>0277-77-1050</t>
  </si>
  <si>
    <t>0277-77-1055</t>
  </si>
  <si>
    <t>MURRAY</t>
  </si>
  <si>
    <t>619-0221</t>
  </si>
  <si>
    <t>0774-72-7834</t>
  </si>
  <si>
    <t>0774-73-3267</t>
  </si>
  <si>
    <t>915-0251</t>
  </si>
  <si>
    <t>0778-42-1875</t>
  </si>
  <si>
    <t>0778-42-1515</t>
  </si>
  <si>
    <t>915-0234</t>
  </si>
  <si>
    <t>0778-43-0810</t>
  </si>
  <si>
    <t>0778-43-0807</t>
  </si>
  <si>
    <t>919-2224</t>
  </si>
  <si>
    <t>0770-72-3100</t>
  </si>
  <si>
    <t>0770-72-3310</t>
  </si>
  <si>
    <t>541-0054</t>
  </si>
  <si>
    <t>06-6253-7311</t>
  </si>
  <si>
    <t>06-6253-7312</t>
  </si>
  <si>
    <t>915-0203</t>
  </si>
  <si>
    <t>0778-43-1233</t>
  </si>
  <si>
    <t>0778-43-1244</t>
  </si>
  <si>
    <t>603-8436</t>
  </si>
  <si>
    <t>075-493-5555</t>
  </si>
  <si>
    <t>075-493-0831</t>
  </si>
  <si>
    <t>920-0274</t>
  </si>
  <si>
    <t>076-286-3330</t>
  </si>
  <si>
    <t>076-286-2816</t>
  </si>
  <si>
    <t>564-0001</t>
  </si>
  <si>
    <t>06-6388-2115</t>
  </si>
  <si>
    <t>06-6384-2193</t>
  </si>
  <si>
    <t>532-0011</t>
  </si>
  <si>
    <t>06-6304-1147</t>
  </si>
  <si>
    <t>06-6304-1179</t>
  </si>
  <si>
    <t>929-1215</t>
  </si>
  <si>
    <t>076-281-1256</t>
  </si>
  <si>
    <t>076-281-2343</t>
  </si>
  <si>
    <t>591-8014</t>
  </si>
  <si>
    <t>072-259-8011</t>
  </si>
  <si>
    <t>072-257-2089</t>
  </si>
  <si>
    <t>910-0845</t>
  </si>
  <si>
    <t>0776-54-1119</t>
  </si>
  <si>
    <t>0776-54-1755</t>
  </si>
  <si>
    <t>507-0038</t>
  </si>
  <si>
    <t>0572-22-3345</t>
  </si>
  <si>
    <t>0572-23-8174</t>
  </si>
  <si>
    <t>543-0002</t>
  </si>
  <si>
    <t>06-6776-8920</t>
  </si>
  <si>
    <t>06-6772-1556</t>
  </si>
  <si>
    <t>076-285-2010</t>
  </si>
  <si>
    <t>076-285-2071</t>
  </si>
  <si>
    <t>929-1171</t>
  </si>
  <si>
    <t>076-285-2070</t>
  </si>
  <si>
    <t>915-0252</t>
  </si>
  <si>
    <t>0778-43-0323</t>
  </si>
  <si>
    <t>0778-43-0418</t>
  </si>
  <si>
    <t>612-8437</t>
  </si>
  <si>
    <t>075-643-5101</t>
  </si>
  <si>
    <t>075-642-3810</t>
  </si>
  <si>
    <t>03-5830-3913</t>
  </si>
  <si>
    <t>03-5830-3914</t>
  </si>
  <si>
    <t>524-0013</t>
  </si>
  <si>
    <t>077-514-2600</t>
  </si>
  <si>
    <t>077-514-2610</t>
  </si>
  <si>
    <t>529-1414</t>
  </si>
  <si>
    <t>0748-48-2289</t>
  </si>
  <si>
    <t>0748-48-5801</t>
  </si>
  <si>
    <t>076-281-0444</t>
  </si>
  <si>
    <t>076-282-5572</t>
  </si>
  <si>
    <t>601-8213</t>
  </si>
  <si>
    <t>075-921-1644</t>
  </si>
  <si>
    <t>075-935-2460</t>
  </si>
  <si>
    <t>602-0958</t>
  </si>
  <si>
    <t>075-451-0558</t>
  </si>
  <si>
    <t>075-414-0309</t>
  </si>
  <si>
    <t>417-0821</t>
  </si>
  <si>
    <t>0545-38-2311</t>
  </si>
  <si>
    <t>0545-38-0100</t>
  </si>
  <si>
    <t>665-0042</t>
  </si>
  <si>
    <t>0797-71-2121</t>
  </si>
  <si>
    <t>0797-71-2125</t>
  </si>
  <si>
    <t>06-6266-0623</t>
  </si>
  <si>
    <t>06-6266-0690</t>
  </si>
  <si>
    <t>916-0124</t>
  </si>
  <si>
    <t>0778-34-0373</t>
  </si>
  <si>
    <t>0778-34-2549</t>
  </si>
  <si>
    <t>915-0052</t>
  </si>
  <si>
    <t>0778-22-7142</t>
  </si>
  <si>
    <t>0778-23-5363</t>
  </si>
  <si>
    <t>918-8024</t>
  </si>
  <si>
    <t>0776-36-1333</t>
  </si>
  <si>
    <t>0776-36-1330</t>
  </si>
  <si>
    <t>929-1173</t>
  </si>
  <si>
    <t>076-285-3311</t>
  </si>
  <si>
    <t>076-285-3310</t>
  </si>
  <si>
    <t>925-0001</t>
  </si>
  <si>
    <t>0767-27-1011</t>
  </si>
  <si>
    <t>0767-27-1179</t>
  </si>
  <si>
    <t>919-0614</t>
  </si>
  <si>
    <t>0776-73-7111</t>
  </si>
  <si>
    <t>0776-73-7128</t>
  </si>
  <si>
    <t>581-0027</t>
  </si>
  <si>
    <t>072-922-0407</t>
  </si>
  <si>
    <t>072-992-7281</t>
  </si>
  <si>
    <t>541-0046</t>
  </si>
  <si>
    <t>06-6231-1521</t>
  </si>
  <si>
    <t>06-6231-3692</t>
  </si>
  <si>
    <t>916-0016</t>
  </si>
  <si>
    <t>0778-52-3800</t>
  </si>
  <si>
    <t>0778-52-7962</t>
  </si>
  <si>
    <t>553-0003</t>
  </si>
  <si>
    <t>06-6451-2735</t>
  </si>
  <si>
    <t>06-6458-1292</t>
  </si>
  <si>
    <t>915-0844</t>
  </si>
  <si>
    <t>0778-23-6348</t>
  </si>
  <si>
    <t>0778-23-6322</t>
  </si>
  <si>
    <t>602-8058</t>
  </si>
  <si>
    <t>075-441-8171</t>
  </si>
  <si>
    <t>075-441-0359</t>
  </si>
  <si>
    <t>326-0141</t>
  </si>
  <si>
    <t>0284-63-1405</t>
  </si>
  <si>
    <t>0284-62-6880</t>
  </si>
  <si>
    <t>567-0895</t>
  </si>
  <si>
    <t>0726-32-5489</t>
  </si>
  <si>
    <t>0726-32-5460</t>
  </si>
  <si>
    <t>06-4964-6810</t>
  </si>
  <si>
    <t>06-4964-1198</t>
  </si>
  <si>
    <t>616-8045</t>
  </si>
  <si>
    <t>075-464-0555</t>
  </si>
  <si>
    <t>075-464-0051</t>
  </si>
  <si>
    <t>616-8015</t>
  </si>
  <si>
    <t>075-462-5053</t>
  </si>
  <si>
    <t>075-461-6608</t>
  </si>
  <si>
    <t>915-0024</t>
  </si>
  <si>
    <t>0778-27-1576</t>
  </si>
  <si>
    <t>563-0023</t>
  </si>
  <si>
    <t>072-761-2223</t>
  </si>
  <si>
    <t>072-761-2218</t>
  </si>
  <si>
    <t>616-8182</t>
  </si>
  <si>
    <t>075-882-4103</t>
  </si>
  <si>
    <t>075-861-5018</t>
  </si>
  <si>
    <t>526-0103</t>
  </si>
  <si>
    <t>0749-72-2481</t>
  </si>
  <si>
    <t>0749-72-3220</t>
  </si>
  <si>
    <t>929-1127</t>
  </si>
  <si>
    <t>076-283-3535</t>
  </si>
  <si>
    <t>076-283-5117</t>
  </si>
  <si>
    <t>923-0824</t>
  </si>
  <si>
    <t>0761-47-2020</t>
  </si>
  <si>
    <t>0761-47-3479</t>
  </si>
  <si>
    <t>621-0814</t>
  </si>
  <si>
    <t>0728-70-8866</t>
  </si>
  <si>
    <t>0728-72-3331</t>
  </si>
  <si>
    <t>611-0043</t>
  </si>
  <si>
    <t>0774-24-8629</t>
  </si>
  <si>
    <t>0774-24-862.9</t>
  </si>
  <si>
    <t>711-0903</t>
  </si>
  <si>
    <t>086-477-7700</t>
  </si>
  <si>
    <t>086-477-7789</t>
  </si>
  <si>
    <t>602-8443</t>
  </si>
  <si>
    <t>075-441-0366</t>
  </si>
  <si>
    <t>075-6448-8010</t>
  </si>
  <si>
    <t>541-0057</t>
  </si>
  <si>
    <t>06-6267</t>
  </si>
  <si>
    <t>500-8384</t>
  </si>
  <si>
    <t>0588-255-3755</t>
  </si>
  <si>
    <t>058-255-3756</t>
  </si>
  <si>
    <t>135-0007</t>
  </si>
  <si>
    <t>03-3635-3386</t>
  </si>
  <si>
    <t>03-3635-3385</t>
  </si>
  <si>
    <t>916-0073</t>
  </si>
  <si>
    <t>0778-62-1230</t>
  </si>
  <si>
    <t>0778-62-1281</t>
  </si>
  <si>
    <t>918-8018</t>
  </si>
  <si>
    <t>0776-36-7743</t>
  </si>
  <si>
    <t>0776-34-4151</t>
  </si>
  <si>
    <t>430-0943</t>
  </si>
  <si>
    <t>053-452-1177</t>
  </si>
  <si>
    <t>053-453-5598</t>
  </si>
  <si>
    <t>910-0854</t>
  </si>
  <si>
    <t>0776-24-3111</t>
  </si>
  <si>
    <t>0776-22-1422</t>
  </si>
  <si>
    <t>581-0055</t>
  </si>
  <si>
    <t>072-990-3577</t>
  </si>
  <si>
    <t>072-990-3588</t>
  </si>
  <si>
    <t>925-0005</t>
  </si>
  <si>
    <t>0767-22-4764</t>
  </si>
  <si>
    <t>0767-22-5939</t>
  </si>
  <si>
    <t>721-0000</t>
  </si>
  <si>
    <t>084-962-2137</t>
  </si>
  <si>
    <t>086-962-3345</t>
  </si>
  <si>
    <t>0284-62-2129</t>
  </si>
  <si>
    <t>0284-62-6469</t>
  </si>
  <si>
    <t>076-281-0632</t>
  </si>
  <si>
    <t>076-282-5856</t>
  </si>
  <si>
    <t>076-283-2131</t>
  </si>
  <si>
    <t>076-283-2130</t>
  </si>
  <si>
    <t>103-0013</t>
  </si>
  <si>
    <t>03-5652-0071</t>
  </si>
  <si>
    <t>03-3639-0711</t>
  </si>
  <si>
    <t>929-1121</t>
  </si>
  <si>
    <t>076-283-5111</t>
  </si>
  <si>
    <t>076-283-5112</t>
  </si>
  <si>
    <t>617-0814</t>
  </si>
  <si>
    <t>075-952-5415</t>
  </si>
  <si>
    <t>075-952-9591</t>
  </si>
  <si>
    <t>602-8465</t>
  </si>
  <si>
    <t>075-432-2131</t>
  </si>
  <si>
    <t>075-432-2138</t>
  </si>
  <si>
    <t>929-1172</t>
  </si>
  <si>
    <t>076-285-0285</t>
  </si>
  <si>
    <t>076-285-1648</t>
  </si>
  <si>
    <t>923-0983</t>
  </si>
  <si>
    <t>0761-43-0050</t>
  </si>
  <si>
    <t>0761-43-0061</t>
  </si>
  <si>
    <t>603-8376</t>
  </si>
  <si>
    <t>075-463-5370</t>
  </si>
  <si>
    <t>075-464-5353</t>
  </si>
  <si>
    <t>910-0235</t>
  </si>
  <si>
    <t>0776-66-0788</t>
  </si>
  <si>
    <t>0776-67-1589</t>
  </si>
  <si>
    <t>541-0059</t>
  </si>
  <si>
    <t>06-6252-6971</t>
  </si>
  <si>
    <t>06-6252-6972</t>
  </si>
  <si>
    <t>661-0033</t>
  </si>
  <si>
    <t>06-6438-7021</t>
  </si>
  <si>
    <t>06-6438-4641</t>
  </si>
  <si>
    <t>925-0123</t>
  </si>
  <si>
    <t>0767-36-1124</t>
  </si>
  <si>
    <t>0767-36-1358</t>
  </si>
  <si>
    <t>111-0051</t>
  </si>
  <si>
    <t>03-3862-3394</t>
  </si>
  <si>
    <t>03-3864-1419</t>
  </si>
  <si>
    <t>537-0021</t>
  </si>
  <si>
    <t>06-6974-0033</t>
  </si>
  <si>
    <t>06-6971-7789</t>
  </si>
  <si>
    <t>910-8586</t>
  </si>
  <si>
    <t>919-0603</t>
  </si>
  <si>
    <t>0776-73-0475</t>
  </si>
  <si>
    <t>0776-73-4137</t>
  </si>
  <si>
    <t>537-0025</t>
  </si>
  <si>
    <t>06-6981-4127</t>
  </si>
  <si>
    <t>06-6974-7842</t>
  </si>
  <si>
    <t>915-0253</t>
  </si>
  <si>
    <t>0778-43-1333</t>
  </si>
  <si>
    <t>0778-42-0841</t>
  </si>
  <si>
    <t>923-0865</t>
  </si>
  <si>
    <t>0761-23-0441</t>
  </si>
  <si>
    <t>0761-21-2376</t>
  </si>
  <si>
    <t>929-0327</t>
  </si>
  <si>
    <t>076-289-6996</t>
  </si>
  <si>
    <t>076-289-6971</t>
  </si>
  <si>
    <t>600-8171</t>
  </si>
  <si>
    <t>075-351-5079</t>
  </si>
  <si>
    <t>075-361-7038</t>
  </si>
  <si>
    <t>079-556-2389</t>
  </si>
  <si>
    <t>376-0002</t>
  </si>
  <si>
    <t>0277-44-5026</t>
  </si>
  <si>
    <t>0277-46-2019</t>
  </si>
  <si>
    <t>0284-63-1406</t>
  </si>
  <si>
    <t>0284-62-6886</t>
  </si>
  <si>
    <t>711-0931</t>
  </si>
  <si>
    <t>086-472-3106</t>
  </si>
  <si>
    <t>086-474-5008</t>
  </si>
  <si>
    <t>916-1115</t>
  </si>
  <si>
    <t>0778-65-1151</t>
  </si>
  <si>
    <t>0778-65-1189</t>
  </si>
  <si>
    <t>610-1146</t>
  </si>
  <si>
    <t>075-874-6715</t>
  </si>
  <si>
    <t>075-874-6745</t>
  </si>
  <si>
    <r>
      <rPr>
        <sz val="11"/>
        <rFont val="MS UI Gothic"/>
        <family val="3"/>
        <charset val="128"/>
      </rPr>
      <t>アイメックス販売</t>
    </r>
    <r>
      <rPr>
        <sz val="11"/>
        <rFont val="Times New Roman"/>
        <family val="1"/>
      </rPr>
      <t xml:space="preserve"> </t>
    </r>
    <r>
      <rPr>
        <sz val="11"/>
        <rFont val="MS UI Gothic"/>
        <family val="3"/>
        <charset val="128"/>
      </rPr>
      <t>株式会社</t>
    </r>
  </si>
  <si>
    <r>
      <rPr>
        <sz val="11"/>
        <rFont val="MS UI Gothic"/>
        <family val="3"/>
        <charset val="128"/>
      </rPr>
      <t>大阪市中央区南船場</t>
    </r>
    <r>
      <rPr>
        <sz val="11"/>
        <rFont val="Times New Roman"/>
        <family val="1"/>
      </rPr>
      <t>1</t>
    </r>
    <r>
      <rPr>
        <sz val="11"/>
        <rFont val="MS UI Gothic"/>
        <family val="3"/>
        <charset val="128"/>
      </rPr>
      <t>丁目</t>
    </r>
    <r>
      <rPr>
        <sz val="11"/>
        <rFont val="Times New Roman"/>
        <family val="1"/>
      </rPr>
      <t>6-15</t>
    </r>
    <r>
      <rPr>
        <sz val="11"/>
        <rFont val="MS UI Gothic"/>
        <family val="3"/>
        <charset val="128"/>
      </rPr>
      <t>　</t>
    </r>
    <r>
      <rPr>
        <sz val="11"/>
        <rFont val="Times New Roman"/>
        <family val="1"/>
      </rPr>
      <t>1</t>
    </r>
    <r>
      <rPr>
        <sz val="11"/>
        <rFont val="MS UI Gothic"/>
        <family val="3"/>
        <charset val="128"/>
      </rPr>
      <t>･</t>
    </r>
    <r>
      <rPr>
        <sz val="11"/>
        <rFont val="Times New Roman"/>
        <family val="1"/>
      </rPr>
      <t>2</t>
    </r>
    <r>
      <rPr>
        <sz val="11"/>
        <rFont val="MS UI Gothic"/>
        <family val="3"/>
        <charset val="128"/>
      </rPr>
      <t>階</t>
    </r>
  </si>
  <si>
    <r>
      <rPr>
        <sz val="11"/>
        <rFont val="MS UI Gothic"/>
        <family val="3"/>
        <charset val="128"/>
      </rPr>
      <t>有限会社青山繊維加工</t>
    </r>
  </si>
  <si>
    <r>
      <rPr>
        <sz val="11"/>
        <rFont val="MS UI Gothic"/>
        <family val="3"/>
        <charset val="128"/>
      </rPr>
      <t>愛知県一宮市笹野</t>
    </r>
    <r>
      <rPr>
        <sz val="11"/>
        <rFont val="Times New Roman"/>
        <family val="1"/>
      </rPr>
      <t>24</t>
    </r>
    <r>
      <rPr>
        <sz val="11"/>
        <rFont val="MS UI Gothic"/>
        <family val="3"/>
        <charset val="128"/>
      </rPr>
      <t>番地</t>
    </r>
  </si>
  <si>
    <r>
      <rPr>
        <sz val="11"/>
        <rFont val="MS UI Gothic"/>
        <family val="3"/>
        <charset val="128"/>
      </rPr>
      <t>アゲハラベルベット</t>
    </r>
    <r>
      <rPr>
        <sz val="11"/>
        <rFont val="Times New Roman"/>
        <family val="1"/>
      </rPr>
      <t xml:space="preserve"> </t>
    </r>
    <r>
      <rPr>
        <sz val="11"/>
        <rFont val="MS UI Gothic"/>
        <family val="3"/>
        <charset val="128"/>
      </rPr>
      <t>株式会社</t>
    </r>
  </si>
  <si>
    <r>
      <rPr>
        <sz val="11"/>
        <rFont val="MS UI Gothic"/>
        <family val="3"/>
        <charset val="128"/>
      </rPr>
      <t>大阪府大阪市中央区本町</t>
    </r>
    <r>
      <rPr>
        <sz val="11"/>
        <rFont val="Times New Roman"/>
        <family val="1"/>
      </rPr>
      <t>1-5-6</t>
    </r>
  </si>
  <si>
    <r>
      <rPr>
        <sz val="11"/>
        <rFont val="MS UI Gothic"/>
        <family val="3"/>
        <charset val="128"/>
      </rPr>
      <t>浅田株式会社</t>
    </r>
  </si>
  <si>
    <r>
      <rPr>
        <sz val="11"/>
        <rFont val="MS UI Gothic"/>
        <family val="3"/>
        <charset val="128"/>
      </rPr>
      <t>大阪府大阪市中央区上本町西</t>
    </r>
    <r>
      <rPr>
        <sz val="11"/>
        <rFont val="Times New Roman"/>
        <family val="1"/>
      </rPr>
      <t>5-2-29</t>
    </r>
  </si>
  <si>
    <r>
      <rPr>
        <sz val="11"/>
        <rFont val="MS UI Gothic"/>
        <family val="3"/>
        <charset val="128"/>
      </rPr>
      <t>株式会社イノウエ</t>
    </r>
  </si>
  <si>
    <r>
      <rPr>
        <sz val="11"/>
        <rFont val="MS UI Gothic"/>
        <family val="3"/>
        <charset val="128"/>
      </rPr>
      <t>神奈川県相模原市緑区鳥屋</t>
    </r>
    <r>
      <rPr>
        <sz val="11"/>
        <rFont val="Times New Roman"/>
        <family val="1"/>
      </rPr>
      <t>750</t>
    </r>
    <r>
      <rPr>
        <sz val="11"/>
        <rFont val="MS UI Gothic"/>
        <family val="3"/>
        <charset val="128"/>
      </rPr>
      <t>番</t>
    </r>
    <r>
      <rPr>
        <sz val="11"/>
        <rFont val="Times New Roman"/>
        <family val="1"/>
      </rPr>
      <t xml:space="preserve"> </t>
    </r>
  </si>
  <si>
    <r>
      <rPr>
        <sz val="11"/>
        <rFont val="MS UI Gothic"/>
        <family val="3"/>
        <charset val="128"/>
      </rPr>
      <t>株式会社イグチ</t>
    </r>
  </si>
  <si>
    <r>
      <rPr>
        <sz val="11"/>
        <rFont val="MS UI Gothic"/>
        <family val="3"/>
        <charset val="128"/>
      </rPr>
      <t>滋賀県彦根市東沼波町</t>
    </r>
    <r>
      <rPr>
        <sz val="11"/>
        <rFont val="Times New Roman"/>
        <family val="1"/>
      </rPr>
      <t>195-1</t>
    </r>
  </si>
  <si>
    <r>
      <rPr>
        <sz val="11"/>
        <rFont val="MS UI Gothic"/>
        <family val="3"/>
        <charset val="128"/>
      </rPr>
      <t>石川染工</t>
    </r>
    <r>
      <rPr>
        <sz val="11"/>
        <rFont val="Times New Roman"/>
        <family val="1"/>
      </rPr>
      <t xml:space="preserve"> </t>
    </r>
    <r>
      <rPr>
        <sz val="11"/>
        <rFont val="MS UI Gothic"/>
        <family val="3"/>
        <charset val="128"/>
      </rPr>
      <t>株式会社</t>
    </r>
  </si>
  <si>
    <r>
      <rPr>
        <sz val="11"/>
        <rFont val="MS UI Gothic"/>
        <family val="3"/>
        <charset val="128"/>
      </rPr>
      <t>京都府京都市南区上鳥羽塔ノ森柴東町</t>
    </r>
    <r>
      <rPr>
        <sz val="11"/>
        <rFont val="Times New Roman"/>
        <family val="1"/>
      </rPr>
      <t xml:space="preserve"> 29-2</t>
    </r>
  </si>
  <si>
    <r>
      <rPr>
        <sz val="11"/>
        <rFont val="MS UI Gothic"/>
        <family val="3"/>
        <charset val="128"/>
      </rPr>
      <t>有限会社池田織物</t>
    </r>
  </si>
  <si>
    <r>
      <rPr>
        <sz val="11"/>
        <rFont val="MS UI Gothic"/>
        <family val="3"/>
        <charset val="128"/>
      </rPr>
      <t>岡山県倉敷市児島唐琴</t>
    </r>
    <r>
      <rPr>
        <sz val="11"/>
        <rFont val="Times New Roman"/>
        <family val="1"/>
      </rPr>
      <t>4-10-26</t>
    </r>
  </si>
  <si>
    <r>
      <rPr>
        <sz val="11"/>
        <rFont val="MS UI Gothic"/>
        <family val="3"/>
        <charset val="128"/>
      </rPr>
      <t>株式会社池田製紐所</t>
    </r>
  </si>
  <si>
    <r>
      <rPr>
        <sz val="11"/>
        <rFont val="MS UI Gothic"/>
        <family val="3"/>
        <charset val="128"/>
      </rPr>
      <t>岡山県倉敷市児島唐琴</t>
    </r>
    <r>
      <rPr>
        <sz val="11"/>
        <rFont val="Times New Roman"/>
        <family val="1"/>
      </rPr>
      <t>2-4-24</t>
    </r>
  </si>
  <si>
    <r>
      <rPr>
        <sz val="11"/>
        <rFont val="MS UI Gothic"/>
        <family val="3"/>
        <charset val="128"/>
      </rPr>
      <t>株式会社市川鉄工</t>
    </r>
  </si>
  <si>
    <r>
      <rPr>
        <sz val="11"/>
        <rFont val="MS UI Gothic"/>
        <family val="3"/>
        <charset val="128"/>
      </rPr>
      <t>群馬県みどり市笠懸町久宮</t>
    </r>
    <r>
      <rPr>
        <sz val="11"/>
        <rFont val="Times New Roman"/>
        <family val="1"/>
      </rPr>
      <t>364-1</t>
    </r>
  </si>
  <si>
    <r>
      <rPr>
        <sz val="11"/>
        <rFont val="MS UI Gothic"/>
        <family val="3"/>
        <charset val="128"/>
      </rPr>
      <t>京都府木津川市吐師郷和田</t>
    </r>
    <r>
      <rPr>
        <sz val="11"/>
        <rFont val="Times New Roman"/>
        <family val="1"/>
      </rPr>
      <t>10</t>
    </r>
    <r>
      <rPr>
        <sz val="11"/>
        <rFont val="MS UI Gothic"/>
        <family val="3"/>
        <charset val="128"/>
      </rPr>
      <t>番地</t>
    </r>
  </si>
  <si>
    <r>
      <rPr>
        <sz val="11"/>
        <rFont val="MS UI Gothic"/>
        <family val="3"/>
        <charset val="128"/>
      </rPr>
      <t>今立織物有限会社</t>
    </r>
  </si>
  <si>
    <r>
      <rPr>
        <sz val="11"/>
        <rFont val="MS UI Gothic"/>
        <family val="3"/>
        <charset val="128"/>
      </rPr>
      <t>福井県越前市東庄境町</t>
    </r>
    <r>
      <rPr>
        <sz val="11"/>
        <rFont val="Times New Roman"/>
        <family val="1"/>
      </rPr>
      <t>3-8</t>
    </r>
  </si>
  <si>
    <r>
      <rPr>
        <sz val="11"/>
        <rFont val="MS UI Gothic"/>
        <family val="3"/>
        <charset val="128"/>
      </rPr>
      <t>井上リボン工業株式会社</t>
    </r>
  </si>
  <si>
    <r>
      <rPr>
        <sz val="11"/>
        <rFont val="MS UI Gothic"/>
        <family val="3"/>
        <charset val="128"/>
      </rPr>
      <t>上田バイアス</t>
    </r>
    <r>
      <rPr>
        <sz val="11"/>
        <rFont val="Times New Roman"/>
        <family val="1"/>
      </rPr>
      <t xml:space="preserve"> </t>
    </r>
    <r>
      <rPr>
        <sz val="11"/>
        <rFont val="MS UI Gothic"/>
        <family val="3"/>
        <charset val="128"/>
      </rPr>
      <t>株式会社</t>
    </r>
  </si>
  <si>
    <r>
      <rPr>
        <sz val="11"/>
        <rFont val="MS UI Gothic"/>
        <family val="3"/>
        <charset val="128"/>
      </rPr>
      <t>株式会社槍田繊維</t>
    </r>
  </si>
  <si>
    <r>
      <rPr>
        <sz val="11"/>
        <rFont val="MS UI Gothic"/>
        <family val="3"/>
        <charset val="128"/>
      </rPr>
      <t>福井県大飯郡高浜町薗部</t>
    </r>
    <r>
      <rPr>
        <sz val="11"/>
        <rFont val="Times New Roman"/>
        <family val="1"/>
      </rPr>
      <t>57-9</t>
    </r>
  </si>
  <si>
    <r>
      <rPr>
        <sz val="11"/>
        <rFont val="MS UI Gothic"/>
        <family val="3"/>
        <charset val="128"/>
      </rPr>
      <t>宇仁繊維</t>
    </r>
    <r>
      <rPr>
        <sz val="11"/>
        <rFont val="Times New Roman"/>
        <family val="1"/>
      </rPr>
      <t xml:space="preserve"> </t>
    </r>
    <r>
      <rPr>
        <sz val="11"/>
        <rFont val="MS UI Gothic"/>
        <family val="3"/>
        <charset val="128"/>
      </rPr>
      <t>株式会社</t>
    </r>
  </si>
  <si>
    <r>
      <rPr>
        <sz val="11"/>
        <rFont val="MS UI Gothic"/>
        <family val="3"/>
        <charset val="128"/>
      </rPr>
      <t>大阪市中央区南本町</t>
    </r>
    <r>
      <rPr>
        <sz val="11"/>
        <rFont val="Times New Roman"/>
        <family val="1"/>
      </rPr>
      <t>2</t>
    </r>
    <r>
      <rPr>
        <sz val="11"/>
        <rFont val="MS UI Gothic"/>
        <family val="3"/>
        <charset val="128"/>
      </rPr>
      <t>丁目</t>
    </r>
    <r>
      <rPr>
        <sz val="11"/>
        <rFont val="Times New Roman"/>
        <family val="1"/>
      </rPr>
      <t>6-12</t>
    </r>
  </si>
  <si>
    <r>
      <rPr>
        <sz val="11"/>
        <rFont val="MS UI Gothic"/>
        <family val="3"/>
        <charset val="128"/>
      </rPr>
      <t>マリオンタワー</t>
    </r>
    <r>
      <rPr>
        <sz val="11"/>
        <rFont val="Times New Roman"/>
        <family val="1"/>
      </rPr>
      <t>13F</t>
    </r>
  </si>
  <si>
    <r>
      <rPr>
        <sz val="11"/>
        <rFont val="MS UI Gothic"/>
        <family val="3"/>
        <charset val="128"/>
      </rPr>
      <t>宇野細巾株式会社</t>
    </r>
  </si>
  <si>
    <r>
      <rPr>
        <sz val="11"/>
        <rFont val="MS UI Gothic"/>
        <family val="3"/>
        <charset val="128"/>
      </rPr>
      <t>福井県越前市清根町</t>
    </r>
    <r>
      <rPr>
        <sz val="11"/>
        <rFont val="Times New Roman"/>
        <family val="1"/>
      </rPr>
      <t>25-6-1</t>
    </r>
  </si>
  <si>
    <r>
      <rPr>
        <sz val="11"/>
        <rFont val="MS UI Gothic"/>
        <family val="3"/>
        <charset val="128"/>
      </rPr>
      <t>株式会社浦瀬産業</t>
    </r>
  </si>
  <si>
    <r>
      <rPr>
        <sz val="11"/>
        <rFont val="MS UI Gothic"/>
        <family val="3"/>
        <charset val="128"/>
      </rPr>
      <t>京都府京都市北区紫竹西栗栖町</t>
    </r>
    <r>
      <rPr>
        <sz val="11"/>
        <rFont val="Times New Roman"/>
        <family val="1"/>
      </rPr>
      <t xml:space="preserve">5 </t>
    </r>
  </si>
  <si>
    <r>
      <rPr>
        <sz val="11"/>
        <rFont val="MS UI Gothic"/>
        <family val="3"/>
        <charset val="128"/>
      </rPr>
      <t>オージーテック</t>
    </r>
    <r>
      <rPr>
        <sz val="11"/>
        <rFont val="Times New Roman"/>
        <family val="1"/>
      </rPr>
      <t xml:space="preserve"> </t>
    </r>
    <r>
      <rPr>
        <sz val="11"/>
        <rFont val="MS UI Gothic"/>
        <family val="3"/>
        <charset val="128"/>
      </rPr>
      <t>有限会社</t>
    </r>
  </si>
  <si>
    <r>
      <rPr>
        <sz val="11"/>
        <rFont val="MS UI Gothic"/>
        <family val="3"/>
        <charset val="128"/>
      </rPr>
      <t>エム繊維株式会社</t>
    </r>
  </si>
  <si>
    <r>
      <rPr>
        <sz val="11"/>
        <rFont val="MS UI Gothic"/>
        <family val="3"/>
        <charset val="128"/>
      </rPr>
      <t>石川県河北郡内灘町向粟崎</t>
    </r>
    <r>
      <rPr>
        <sz val="11"/>
        <rFont val="Times New Roman"/>
        <family val="1"/>
      </rPr>
      <t>5-243</t>
    </r>
  </si>
  <si>
    <r>
      <rPr>
        <sz val="11"/>
        <rFont val="MS UI Gothic"/>
        <family val="3"/>
        <charset val="128"/>
      </rPr>
      <t>太田製作所</t>
    </r>
  </si>
  <si>
    <r>
      <rPr>
        <sz val="11"/>
        <rFont val="MS UI Gothic"/>
        <family val="3"/>
        <charset val="128"/>
      </rPr>
      <t>大阪府吹田市岸部北</t>
    </r>
    <r>
      <rPr>
        <sz val="11"/>
        <rFont val="Times New Roman"/>
        <family val="1"/>
      </rPr>
      <t>3-6-22</t>
    </r>
  </si>
  <si>
    <r>
      <rPr>
        <sz val="11"/>
        <rFont val="MS UI Gothic"/>
        <family val="3"/>
        <charset val="128"/>
      </rPr>
      <t>落合レース株式会社</t>
    </r>
  </si>
  <si>
    <r>
      <rPr>
        <sz val="11"/>
        <rFont val="MS UI Gothic"/>
        <family val="3"/>
        <charset val="128"/>
      </rPr>
      <t>大阪府大阪市淀川区西中島</t>
    </r>
    <r>
      <rPr>
        <sz val="11"/>
        <rFont val="Times New Roman"/>
        <family val="1"/>
      </rPr>
      <t>2-6-21</t>
    </r>
  </si>
  <si>
    <r>
      <rPr>
        <sz val="11"/>
        <rFont val="MS UI Gothic"/>
        <family val="3"/>
        <charset val="128"/>
      </rPr>
      <t>有限会社沖野ファッション</t>
    </r>
  </si>
  <si>
    <r>
      <rPr>
        <sz val="11"/>
        <rFont val="MS UI Gothic"/>
        <family val="3"/>
        <charset val="128"/>
      </rPr>
      <t>石川県かほく市高松ナ</t>
    </r>
    <r>
      <rPr>
        <sz val="11"/>
        <rFont val="Times New Roman"/>
        <family val="1"/>
      </rPr>
      <t>116-1</t>
    </r>
  </si>
  <si>
    <r>
      <rPr>
        <sz val="11"/>
        <rFont val="MS UI Gothic"/>
        <family val="3"/>
        <charset val="128"/>
      </rPr>
      <t>有限会社</t>
    </r>
    <r>
      <rPr>
        <sz val="11"/>
        <rFont val="Times New Roman"/>
        <family val="1"/>
      </rPr>
      <t xml:space="preserve"> </t>
    </r>
    <r>
      <rPr>
        <sz val="11"/>
        <rFont val="MS UI Gothic"/>
        <family val="3"/>
        <charset val="128"/>
      </rPr>
      <t>織元すみや</t>
    </r>
  </si>
  <si>
    <r>
      <rPr>
        <sz val="11"/>
        <rFont val="MS UI Gothic"/>
        <family val="3"/>
        <charset val="128"/>
      </rPr>
      <t>　　</t>
    </r>
  </si>
  <si>
    <r>
      <rPr>
        <sz val="11"/>
        <rFont val="MS UI Gothic"/>
        <family val="3"/>
        <charset val="128"/>
      </rPr>
      <t>カツミ産業株式会社</t>
    </r>
  </si>
  <si>
    <r>
      <rPr>
        <sz val="11"/>
        <rFont val="MS UI Gothic"/>
        <family val="3"/>
        <charset val="128"/>
      </rPr>
      <t>大阪府堺市北区八下北</t>
    </r>
    <r>
      <rPr>
        <sz val="11"/>
        <rFont val="Times New Roman"/>
        <family val="1"/>
      </rPr>
      <t>2-51</t>
    </r>
  </si>
  <si>
    <r>
      <rPr>
        <sz val="11"/>
        <rFont val="MS UI Gothic"/>
        <family val="3"/>
        <charset val="128"/>
      </rPr>
      <t>川崎リボン工業株式会社</t>
    </r>
  </si>
  <si>
    <r>
      <rPr>
        <sz val="11"/>
        <rFont val="MS UI Gothic"/>
        <family val="3"/>
        <charset val="128"/>
      </rPr>
      <t>福井県福井市志比口</t>
    </r>
    <r>
      <rPr>
        <sz val="11"/>
        <rFont val="Times New Roman"/>
        <family val="1"/>
      </rPr>
      <t>2-1-15</t>
    </r>
  </si>
  <si>
    <r>
      <rPr>
        <sz val="11"/>
        <rFont val="MS UI Gothic"/>
        <family val="3"/>
        <charset val="128"/>
      </rPr>
      <t>川村製紐工業株式会社</t>
    </r>
  </si>
  <si>
    <r>
      <rPr>
        <sz val="11"/>
        <rFont val="MS UI Gothic"/>
        <family val="3"/>
        <charset val="128"/>
      </rPr>
      <t>岐阜県多治見市白山町</t>
    </r>
    <r>
      <rPr>
        <sz val="11"/>
        <rFont val="Times New Roman"/>
        <family val="1"/>
      </rPr>
      <t>1-1</t>
    </r>
  </si>
  <si>
    <r>
      <rPr>
        <sz val="11"/>
        <rFont val="MS UI Gothic"/>
        <family val="3"/>
        <charset val="128"/>
      </rPr>
      <t>関西アサヒ株式会社</t>
    </r>
  </si>
  <si>
    <r>
      <rPr>
        <sz val="11"/>
        <rFont val="MS UI Gothic"/>
        <family val="3"/>
        <charset val="128"/>
      </rPr>
      <t>大阪府大阪市天王寺区上汐</t>
    </r>
    <r>
      <rPr>
        <sz val="11"/>
        <rFont val="Times New Roman"/>
        <family val="1"/>
      </rPr>
      <t>5-1-1</t>
    </r>
  </si>
  <si>
    <r>
      <rPr>
        <sz val="11"/>
        <rFont val="MS UI Gothic"/>
        <family val="3"/>
        <charset val="128"/>
      </rPr>
      <t>株式会社</t>
    </r>
    <r>
      <rPr>
        <sz val="11"/>
        <rFont val="Times New Roman"/>
        <family val="1"/>
      </rPr>
      <t xml:space="preserve"> </t>
    </r>
    <r>
      <rPr>
        <sz val="11"/>
        <rFont val="MS UI Gothic"/>
        <family val="3"/>
        <charset val="128"/>
      </rPr>
      <t>カンダ</t>
    </r>
  </si>
  <si>
    <r>
      <rPr>
        <sz val="11"/>
        <rFont val="MS UI Gothic"/>
        <family val="3"/>
        <charset val="128"/>
      </rPr>
      <t>　</t>
    </r>
  </si>
  <si>
    <r>
      <rPr>
        <sz val="11"/>
        <rFont val="MS UI Gothic"/>
        <family val="3"/>
        <charset val="128"/>
      </rPr>
      <t>キンキテープ</t>
    </r>
    <r>
      <rPr>
        <sz val="11"/>
        <rFont val="Times New Roman"/>
        <family val="1"/>
      </rPr>
      <t xml:space="preserve"> </t>
    </r>
    <r>
      <rPr>
        <sz val="11"/>
        <rFont val="MS UI Gothic"/>
        <family val="3"/>
        <charset val="128"/>
      </rPr>
      <t>株式会社</t>
    </r>
  </si>
  <si>
    <r>
      <rPr>
        <sz val="11"/>
        <rFont val="MS UI Gothic"/>
        <family val="3"/>
        <charset val="128"/>
      </rPr>
      <t>株式会社</t>
    </r>
    <r>
      <rPr>
        <sz val="11"/>
        <rFont val="Times New Roman"/>
        <family val="1"/>
      </rPr>
      <t xml:space="preserve"> </t>
    </r>
    <r>
      <rPr>
        <sz val="11"/>
        <rFont val="MS UI Gothic"/>
        <family val="3"/>
        <charset val="128"/>
      </rPr>
      <t>気谷</t>
    </r>
    <r>
      <rPr>
        <sz val="11"/>
        <rFont val="Times New Roman"/>
        <family val="1"/>
      </rPr>
      <t xml:space="preserve"> (3464)</t>
    </r>
  </si>
  <si>
    <r>
      <rPr>
        <sz val="11"/>
        <rFont val="MS UI Gothic"/>
        <family val="3"/>
        <charset val="128"/>
      </rPr>
      <t>石川県かほく市木津ハ</t>
    </r>
    <r>
      <rPr>
        <sz val="11"/>
        <rFont val="Times New Roman"/>
        <family val="1"/>
      </rPr>
      <t>41-2</t>
    </r>
  </si>
  <si>
    <r>
      <rPr>
        <sz val="11"/>
        <rFont val="MS UI Gothic"/>
        <family val="3"/>
        <charset val="128"/>
      </rPr>
      <t>株式会社</t>
    </r>
    <r>
      <rPr>
        <sz val="11"/>
        <rFont val="Times New Roman"/>
        <family val="1"/>
      </rPr>
      <t xml:space="preserve"> </t>
    </r>
    <r>
      <rPr>
        <sz val="11"/>
        <rFont val="MS UI Gothic"/>
        <family val="3"/>
        <charset val="128"/>
      </rPr>
      <t>気谷</t>
    </r>
    <r>
      <rPr>
        <sz val="11"/>
        <rFont val="Times New Roman"/>
        <family val="1"/>
      </rPr>
      <t xml:space="preserve"> (3150</t>
    </r>
    <r>
      <rPr>
        <sz val="11"/>
        <rFont val="MS UI Gothic"/>
        <family val="3"/>
        <charset val="128"/>
      </rPr>
      <t>、</t>
    </r>
    <r>
      <rPr>
        <sz val="11"/>
        <rFont val="Times New Roman"/>
        <family val="1"/>
      </rPr>
      <t>3163)</t>
    </r>
  </si>
  <si>
    <r>
      <rPr>
        <sz val="11"/>
        <rFont val="MS UI Gothic"/>
        <family val="3"/>
        <charset val="128"/>
      </rPr>
      <t>木津織物</t>
    </r>
    <r>
      <rPr>
        <sz val="11"/>
        <rFont val="Times New Roman"/>
        <family val="1"/>
      </rPr>
      <t xml:space="preserve"> </t>
    </r>
    <r>
      <rPr>
        <sz val="11"/>
        <rFont val="MS UI Gothic"/>
        <family val="3"/>
        <charset val="128"/>
      </rPr>
      <t>株式会社</t>
    </r>
  </si>
  <si>
    <r>
      <rPr>
        <sz val="11"/>
        <rFont val="MS UI Gothic"/>
        <family val="3"/>
        <charset val="128"/>
      </rPr>
      <t>福井県越前市西庄境町</t>
    </r>
    <r>
      <rPr>
        <sz val="11"/>
        <rFont val="Times New Roman"/>
        <family val="1"/>
      </rPr>
      <t>1-1</t>
    </r>
  </si>
  <si>
    <r>
      <rPr>
        <sz val="11"/>
        <rFont val="MS UI Gothic"/>
        <family val="3"/>
        <charset val="128"/>
      </rPr>
      <t>キョウトテックス</t>
    </r>
    <r>
      <rPr>
        <sz val="11"/>
        <rFont val="Times New Roman"/>
        <family val="1"/>
      </rPr>
      <t xml:space="preserve"> </t>
    </r>
    <r>
      <rPr>
        <sz val="11"/>
        <rFont val="MS UI Gothic"/>
        <family val="3"/>
        <charset val="128"/>
      </rPr>
      <t>株式会社</t>
    </r>
  </si>
  <si>
    <r>
      <rPr>
        <sz val="11"/>
        <rFont val="MS UI Gothic"/>
        <family val="3"/>
        <charset val="128"/>
      </rPr>
      <t>京都府京都市伏見区深草小久保町</t>
    </r>
    <r>
      <rPr>
        <sz val="11"/>
        <rFont val="Times New Roman"/>
        <family val="1"/>
      </rPr>
      <t>367</t>
    </r>
  </si>
  <si>
    <r>
      <rPr>
        <sz val="11"/>
        <rFont val="MS UI Gothic"/>
        <family val="3"/>
        <charset val="128"/>
      </rPr>
      <t>協和レース</t>
    </r>
    <r>
      <rPr>
        <sz val="11"/>
        <rFont val="Times New Roman"/>
        <family val="1"/>
      </rPr>
      <t xml:space="preserve"> </t>
    </r>
    <r>
      <rPr>
        <sz val="11"/>
        <rFont val="MS UI Gothic"/>
        <family val="3"/>
        <charset val="128"/>
      </rPr>
      <t>株式会社</t>
    </r>
  </si>
  <si>
    <r>
      <rPr>
        <sz val="11"/>
        <rFont val="MS UI Gothic"/>
        <family val="3"/>
        <charset val="128"/>
      </rPr>
      <t>株式会社</t>
    </r>
    <r>
      <rPr>
        <sz val="11"/>
        <rFont val="Times New Roman"/>
        <family val="1"/>
      </rPr>
      <t xml:space="preserve"> </t>
    </r>
    <r>
      <rPr>
        <sz val="11"/>
        <rFont val="MS UI Gothic"/>
        <family val="3"/>
        <charset val="128"/>
      </rPr>
      <t>クボリキレース</t>
    </r>
  </si>
  <si>
    <r>
      <rPr>
        <sz val="11"/>
        <rFont val="MS UI Gothic"/>
        <family val="3"/>
        <charset val="128"/>
      </rPr>
      <t>滋賀県守山市下之郷</t>
    </r>
    <r>
      <rPr>
        <sz val="11"/>
        <rFont val="Times New Roman"/>
        <family val="1"/>
      </rPr>
      <t>3-8-6</t>
    </r>
  </si>
  <si>
    <r>
      <rPr>
        <sz val="11"/>
        <rFont val="MS UI Gothic"/>
        <family val="3"/>
        <charset val="128"/>
      </rPr>
      <t>ホームアシスタントクローバ</t>
    </r>
  </si>
  <si>
    <r>
      <rPr>
        <sz val="11"/>
        <rFont val="MS UI Gothic"/>
        <family val="3"/>
        <charset val="128"/>
      </rPr>
      <t>滋賀県東近江市五個荘中町</t>
    </r>
    <r>
      <rPr>
        <sz val="11"/>
        <rFont val="Times New Roman"/>
        <family val="1"/>
      </rPr>
      <t>67</t>
    </r>
  </si>
  <si>
    <r>
      <rPr>
        <sz val="11"/>
        <rFont val="MS UI Gothic"/>
        <family val="3"/>
        <charset val="128"/>
      </rPr>
      <t>黒川ウェーブ</t>
    </r>
    <r>
      <rPr>
        <sz val="11"/>
        <rFont val="Times New Roman"/>
        <family val="1"/>
      </rPr>
      <t xml:space="preserve"> </t>
    </r>
    <r>
      <rPr>
        <sz val="11"/>
        <rFont val="MS UI Gothic"/>
        <family val="3"/>
        <charset val="128"/>
      </rPr>
      <t>株式会社</t>
    </r>
  </si>
  <si>
    <r>
      <rPr>
        <sz val="11"/>
        <rFont val="MS UI Gothic"/>
        <family val="3"/>
        <charset val="128"/>
      </rPr>
      <t>石川県かほく市高松テ</t>
    </r>
    <r>
      <rPr>
        <sz val="11"/>
        <rFont val="Times New Roman"/>
        <family val="1"/>
      </rPr>
      <t>8-1</t>
    </r>
  </si>
  <si>
    <r>
      <rPr>
        <sz val="11"/>
        <rFont val="MS UI Gothic"/>
        <family val="3"/>
        <charset val="128"/>
      </rPr>
      <t>宏和産業</t>
    </r>
    <r>
      <rPr>
        <sz val="11"/>
        <rFont val="Times New Roman"/>
        <family val="1"/>
      </rPr>
      <t xml:space="preserve"> </t>
    </r>
    <r>
      <rPr>
        <sz val="11"/>
        <rFont val="MS UI Gothic"/>
        <family val="3"/>
        <charset val="128"/>
      </rPr>
      <t>株式会社</t>
    </r>
  </si>
  <si>
    <r>
      <rPr>
        <sz val="11"/>
        <rFont val="MS UI Gothic"/>
        <family val="3"/>
        <charset val="128"/>
      </rPr>
      <t>国際文化ﾈｰﾑ</t>
    </r>
    <r>
      <rPr>
        <sz val="11"/>
        <rFont val="Times New Roman"/>
        <family val="1"/>
      </rPr>
      <t xml:space="preserve"> </t>
    </r>
    <r>
      <rPr>
        <sz val="11"/>
        <rFont val="MS UI Gothic"/>
        <family val="3"/>
        <charset val="128"/>
      </rPr>
      <t>株式会社</t>
    </r>
  </si>
  <si>
    <r>
      <rPr>
        <sz val="11"/>
        <rFont val="MS UI Gothic"/>
        <family val="3"/>
        <charset val="128"/>
      </rPr>
      <t>東京都品川区東五反田</t>
    </r>
    <r>
      <rPr>
        <sz val="11"/>
        <rFont val="Times New Roman"/>
        <family val="1"/>
      </rPr>
      <t>5-27-10</t>
    </r>
  </si>
  <si>
    <r>
      <rPr>
        <sz val="11"/>
        <rFont val="MS UI Gothic"/>
        <family val="3"/>
        <charset val="128"/>
      </rPr>
      <t>野村ビル</t>
    </r>
    <r>
      <rPr>
        <sz val="11"/>
        <rFont val="Times New Roman"/>
        <family val="1"/>
      </rPr>
      <t>2F</t>
    </r>
  </si>
  <si>
    <r>
      <rPr>
        <sz val="11"/>
        <rFont val="MS UI Gothic"/>
        <family val="3"/>
        <charset val="128"/>
      </rPr>
      <t>小杉染色</t>
    </r>
    <r>
      <rPr>
        <sz val="11"/>
        <rFont val="Times New Roman"/>
        <family val="1"/>
      </rPr>
      <t xml:space="preserve"> </t>
    </r>
    <r>
      <rPr>
        <sz val="11"/>
        <rFont val="MS UI Gothic"/>
        <family val="3"/>
        <charset val="128"/>
      </rPr>
      <t>株式会社</t>
    </r>
  </si>
  <si>
    <r>
      <rPr>
        <sz val="11"/>
        <rFont val="MS UI Gothic"/>
        <family val="3"/>
        <charset val="128"/>
      </rPr>
      <t>京都市南区久世中久世町</t>
    </r>
    <r>
      <rPr>
        <sz val="11"/>
        <rFont val="Times New Roman"/>
        <family val="1"/>
      </rPr>
      <t xml:space="preserve"> 5-69</t>
    </r>
  </si>
  <si>
    <r>
      <rPr>
        <sz val="11"/>
        <rFont val="MS UI Gothic"/>
        <family val="3"/>
        <charset val="128"/>
      </rPr>
      <t>株式会社</t>
    </r>
    <r>
      <rPr>
        <sz val="11"/>
        <rFont val="Times New Roman"/>
        <family val="1"/>
      </rPr>
      <t xml:space="preserve"> </t>
    </r>
    <r>
      <rPr>
        <sz val="11"/>
        <rFont val="MS UI Gothic"/>
        <family val="3"/>
        <charset val="128"/>
      </rPr>
      <t>小西リボン</t>
    </r>
  </si>
  <si>
    <r>
      <rPr>
        <sz val="11"/>
        <rFont val="MS UI Gothic"/>
        <family val="3"/>
        <charset val="128"/>
      </rPr>
      <t>京都府京都市上京区仲之町（元誓</t>
    </r>
  </si>
  <si>
    <r>
      <rPr>
        <sz val="11"/>
        <rFont val="MS UI Gothic"/>
        <family val="3"/>
        <charset val="128"/>
      </rPr>
      <t>願寺通堀川東入）</t>
    </r>
    <r>
      <rPr>
        <sz val="11"/>
        <rFont val="Times New Roman"/>
        <family val="1"/>
      </rPr>
      <t>463</t>
    </r>
  </si>
  <si>
    <r>
      <rPr>
        <sz val="11"/>
        <rFont val="MS UI Gothic"/>
        <family val="3"/>
        <charset val="128"/>
      </rPr>
      <t>小堀リボン</t>
    </r>
    <r>
      <rPr>
        <sz val="11"/>
        <rFont val="Times New Roman"/>
        <family val="1"/>
      </rPr>
      <t xml:space="preserve"> </t>
    </r>
    <r>
      <rPr>
        <sz val="11"/>
        <rFont val="MS UI Gothic"/>
        <family val="3"/>
        <charset val="128"/>
      </rPr>
      <t>株式会社</t>
    </r>
  </si>
  <si>
    <r>
      <rPr>
        <sz val="11"/>
        <rFont val="MS UI Gothic"/>
        <family val="3"/>
        <charset val="128"/>
      </rPr>
      <t>こるどん</t>
    </r>
    <r>
      <rPr>
        <sz val="11"/>
        <rFont val="Times New Roman"/>
        <family val="1"/>
      </rPr>
      <t xml:space="preserve"> </t>
    </r>
    <r>
      <rPr>
        <sz val="11"/>
        <rFont val="MS UI Gothic"/>
        <family val="3"/>
        <charset val="128"/>
      </rPr>
      <t>株式会社</t>
    </r>
  </si>
  <si>
    <r>
      <rPr>
        <sz val="11"/>
        <rFont val="MS UI Gothic"/>
        <family val="3"/>
        <charset val="128"/>
      </rPr>
      <t>静岡県富士市神谷</t>
    </r>
    <r>
      <rPr>
        <sz val="11"/>
        <rFont val="Times New Roman"/>
        <family val="1"/>
      </rPr>
      <t>819</t>
    </r>
  </si>
  <si>
    <r>
      <rPr>
        <sz val="11"/>
        <rFont val="MS UI Gothic"/>
        <family val="3"/>
        <charset val="128"/>
      </rPr>
      <t>栄レース</t>
    </r>
    <r>
      <rPr>
        <sz val="11"/>
        <rFont val="Times New Roman"/>
        <family val="1"/>
      </rPr>
      <t xml:space="preserve"> </t>
    </r>
    <r>
      <rPr>
        <sz val="11"/>
        <rFont val="MS UI Gothic"/>
        <family val="3"/>
        <charset val="128"/>
      </rPr>
      <t>株式会社</t>
    </r>
  </si>
  <si>
    <r>
      <rPr>
        <sz val="11"/>
        <rFont val="MS UI Gothic"/>
        <family val="3"/>
        <charset val="128"/>
      </rPr>
      <t>兵庫県宝塚市美幸町</t>
    </r>
    <r>
      <rPr>
        <sz val="11"/>
        <rFont val="Times New Roman"/>
        <family val="1"/>
      </rPr>
      <t>10-51</t>
    </r>
  </si>
  <si>
    <r>
      <rPr>
        <sz val="11"/>
        <rFont val="MS UI Gothic"/>
        <family val="3"/>
        <charset val="128"/>
      </rPr>
      <t>堺筋本町センタービル</t>
    </r>
    <r>
      <rPr>
        <sz val="11"/>
        <rFont val="Times New Roman"/>
        <family val="1"/>
      </rPr>
      <t>4F</t>
    </r>
  </si>
  <si>
    <r>
      <rPr>
        <sz val="11"/>
        <rFont val="MS UI Gothic"/>
        <family val="3"/>
        <charset val="128"/>
      </rPr>
      <t>佐々木細幅織物株式会社</t>
    </r>
  </si>
  <si>
    <r>
      <rPr>
        <sz val="11"/>
        <rFont val="MS UI Gothic"/>
        <family val="3"/>
        <charset val="128"/>
      </rPr>
      <t>福井県丹生郡越前町宝泉寺</t>
    </r>
    <r>
      <rPr>
        <sz val="11"/>
        <rFont val="Times New Roman"/>
        <family val="1"/>
      </rPr>
      <t>22-8</t>
    </r>
  </si>
  <si>
    <r>
      <rPr>
        <sz val="11"/>
        <rFont val="MS UI Gothic"/>
        <family val="3"/>
        <charset val="128"/>
      </rPr>
      <t>株式会社</t>
    </r>
    <r>
      <rPr>
        <sz val="11"/>
        <rFont val="Times New Roman"/>
        <family val="1"/>
      </rPr>
      <t xml:space="preserve"> </t>
    </r>
    <r>
      <rPr>
        <sz val="11"/>
        <rFont val="MS UI Gothic"/>
        <family val="3"/>
        <charset val="128"/>
      </rPr>
      <t>山英</t>
    </r>
  </si>
  <si>
    <r>
      <rPr>
        <sz val="11"/>
        <rFont val="MS UI Gothic"/>
        <family val="3"/>
        <charset val="128"/>
      </rPr>
      <t>福井県越前市矢放町</t>
    </r>
    <r>
      <rPr>
        <sz val="11"/>
        <rFont val="Times New Roman"/>
        <family val="1"/>
      </rPr>
      <t>10-15-1</t>
    </r>
  </si>
  <si>
    <r>
      <rPr>
        <sz val="11"/>
        <rFont val="MS UI Gothic"/>
        <family val="3"/>
        <charset val="128"/>
      </rPr>
      <t>三和繊維株式会社</t>
    </r>
  </si>
  <si>
    <r>
      <rPr>
        <sz val="11"/>
        <rFont val="MS UI Gothic"/>
        <family val="3"/>
        <charset val="128"/>
      </rPr>
      <t>福井県福井市舞屋町</t>
    </r>
    <r>
      <rPr>
        <sz val="11"/>
        <rFont val="Times New Roman"/>
        <family val="1"/>
      </rPr>
      <t>15-11</t>
    </r>
  </si>
  <si>
    <r>
      <rPr>
        <sz val="11"/>
        <rFont val="MS UI Gothic"/>
        <family val="3"/>
        <charset val="128"/>
      </rPr>
      <t>株式会社</t>
    </r>
    <r>
      <rPr>
        <sz val="11"/>
        <rFont val="Times New Roman"/>
        <family val="1"/>
      </rPr>
      <t xml:space="preserve"> </t>
    </r>
    <r>
      <rPr>
        <sz val="11"/>
        <rFont val="MS UI Gothic"/>
        <family val="3"/>
        <charset val="128"/>
      </rPr>
      <t>シオモト製紐</t>
    </r>
  </si>
  <si>
    <r>
      <rPr>
        <sz val="11"/>
        <rFont val="MS UI Gothic"/>
        <family val="3"/>
        <charset val="128"/>
      </rPr>
      <t>石川県かほく市遠塚ロ</t>
    </r>
    <r>
      <rPr>
        <sz val="11"/>
        <rFont val="Times New Roman"/>
        <family val="1"/>
      </rPr>
      <t>36-17</t>
    </r>
  </si>
  <si>
    <r>
      <rPr>
        <sz val="11"/>
        <rFont val="MS UI Gothic"/>
        <family val="3"/>
        <charset val="128"/>
      </rPr>
      <t>柴垣織物</t>
    </r>
    <r>
      <rPr>
        <sz val="11"/>
        <rFont val="Times New Roman"/>
        <family val="1"/>
      </rPr>
      <t xml:space="preserve"> </t>
    </r>
    <r>
      <rPr>
        <sz val="11"/>
        <rFont val="MS UI Gothic"/>
        <family val="3"/>
        <charset val="128"/>
      </rPr>
      <t>株式会社</t>
    </r>
  </si>
  <si>
    <r>
      <rPr>
        <sz val="11"/>
        <rFont val="MS UI Gothic"/>
        <family val="3"/>
        <charset val="128"/>
      </rPr>
      <t>羽咋市柴垣町砂山１</t>
    </r>
  </si>
  <si>
    <r>
      <rPr>
        <sz val="11"/>
        <rFont val="MS UI Gothic"/>
        <family val="3"/>
        <charset val="128"/>
      </rPr>
      <t>株式会社</t>
    </r>
    <r>
      <rPr>
        <sz val="11"/>
        <rFont val="Times New Roman"/>
        <family val="1"/>
      </rPr>
      <t>SHINDO</t>
    </r>
  </si>
  <si>
    <r>
      <rPr>
        <sz val="11"/>
        <rFont val="MS UI Gothic"/>
        <family val="3"/>
        <charset val="128"/>
      </rPr>
      <t>福井県あわら市伊井</t>
    </r>
    <r>
      <rPr>
        <sz val="11"/>
        <rFont val="Times New Roman"/>
        <family val="1"/>
      </rPr>
      <t>11-1-1</t>
    </r>
  </si>
  <si>
    <r>
      <rPr>
        <sz val="11"/>
        <rFont val="MS UI Gothic"/>
        <family val="3"/>
        <charset val="128"/>
      </rPr>
      <t>株式会社スギタ</t>
    </r>
  </si>
  <si>
    <r>
      <rPr>
        <sz val="11"/>
        <rFont val="MS UI Gothic"/>
        <family val="3"/>
        <charset val="128"/>
      </rPr>
      <t>大阪府八尾市八尾木</t>
    </r>
    <r>
      <rPr>
        <sz val="11"/>
        <rFont val="Times New Roman"/>
        <family val="1"/>
      </rPr>
      <t>1</t>
    </r>
    <r>
      <rPr>
        <sz val="11"/>
        <rFont val="MS UI Gothic"/>
        <family val="3"/>
        <charset val="128"/>
      </rPr>
      <t>丁目</t>
    </r>
    <r>
      <rPr>
        <sz val="11"/>
        <rFont val="Times New Roman"/>
        <family val="1"/>
      </rPr>
      <t>230</t>
    </r>
    <r>
      <rPr>
        <sz val="11"/>
        <rFont val="MS UI Gothic"/>
        <family val="3"/>
        <charset val="128"/>
      </rPr>
      <t>番地</t>
    </r>
  </si>
  <si>
    <r>
      <rPr>
        <sz val="11"/>
        <rFont val="MS UI Gothic"/>
        <family val="3"/>
        <charset val="128"/>
      </rPr>
      <t>双日ファッション</t>
    </r>
    <r>
      <rPr>
        <sz val="11"/>
        <rFont val="Times New Roman"/>
        <family val="1"/>
      </rPr>
      <t xml:space="preserve"> </t>
    </r>
    <r>
      <rPr>
        <sz val="11"/>
        <rFont val="MS UI Gothic"/>
        <family val="3"/>
        <charset val="128"/>
      </rPr>
      <t>株式会社</t>
    </r>
  </si>
  <si>
    <r>
      <rPr>
        <sz val="11"/>
        <rFont val="MS UI Gothic"/>
        <family val="3"/>
        <charset val="128"/>
      </rPr>
      <t>大阪市中央区平野町</t>
    </r>
    <r>
      <rPr>
        <sz val="11"/>
        <rFont val="Times New Roman"/>
        <family val="1"/>
      </rPr>
      <t xml:space="preserve"> 2-1-2</t>
    </r>
  </si>
  <si>
    <r>
      <rPr>
        <sz val="11"/>
        <rFont val="MS UI Gothic"/>
        <family val="3"/>
        <charset val="128"/>
      </rPr>
      <t>高島リボン株式会社</t>
    </r>
  </si>
  <si>
    <r>
      <rPr>
        <sz val="11"/>
        <rFont val="MS UI Gothic"/>
        <family val="3"/>
        <charset val="128"/>
      </rPr>
      <t>福井県鯖江市神中町</t>
    </r>
    <r>
      <rPr>
        <sz val="11"/>
        <rFont val="Times New Roman"/>
        <family val="1"/>
      </rPr>
      <t>2-6-36</t>
    </r>
  </si>
  <si>
    <r>
      <rPr>
        <sz val="11"/>
        <rFont val="MS UI Gothic"/>
        <family val="3"/>
        <charset val="128"/>
      </rPr>
      <t>高島ﾘﾎﾞﾝ</t>
    </r>
    <r>
      <rPr>
        <sz val="11"/>
        <rFont val="Times New Roman"/>
        <family val="1"/>
      </rPr>
      <t xml:space="preserve"> </t>
    </r>
    <r>
      <rPr>
        <sz val="11"/>
        <rFont val="MS UI Gothic"/>
        <family val="3"/>
        <charset val="128"/>
      </rPr>
      <t>株式会社</t>
    </r>
  </si>
  <si>
    <r>
      <rPr>
        <sz val="11"/>
        <rFont val="MS UI Gothic"/>
        <family val="3"/>
        <charset val="128"/>
      </rPr>
      <t>武正株式会社</t>
    </r>
  </si>
  <si>
    <r>
      <rPr>
        <sz val="11"/>
        <rFont val="MS UI Gothic"/>
        <family val="3"/>
        <charset val="128"/>
      </rPr>
      <t>大阪府大阪市福島区福島</t>
    </r>
    <r>
      <rPr>
        <sz val="11"/>
        <rFont val="Times New Roman"/>
        <family val="1"/>
      </rPr>
      <t>1-3-1</t>
    </r>
  </si>
  <si>
    <r>
      <rPr>
        <sz val="11"/>
        <rFont val="MS UI Gothic"/>
        <family val="3"/>
        <charset val="128"/>
      </rPr>
      <t>ダイソセンイ株式会社</t>
    </r>
  </si>
  <si>
    <r>
      <rPr>
        <sz val="11"/>
        <rFont val="MS UI Gothic"/>
        <family val="3"/>
        <charset val="128"/>
      </rPr>
      <t>福井県越前市妙法寺町</t>
    </r>
    <r>
      <rPr>
        <sz val="11"/>
        <rFont val="Times New Roman"/>
        <family val="1"/>
      </rPr>
      <t>21-1-1</t>
    </r>
  </si>
  <si>
    <r>
      <rPr>
        <sz val="11"/>
        <rFont val="MS UI Gothic"/>
        <family val="3"/>
        <charset val="128"/>
      </rPr>
      <t>大一株式会社</t>
    </r>
  </si>
  <si>
    <r>
      <rPr>
        <sz val="11"/>
        <rFont val="MS UI Gothic"/>
        <family val="3"/>
        <charset val="128"/>
      </rPr>
      <t>京都府京都市上京区上長者町通東</t>
    </r>
  </si>
  <si>
    <r>
      <rPr>
        <sz val="11"/>
        <rFont val="MS UI Gothic"/>
        <family val="3"/>
        <charset val="128"/>
      </rPr>
      <t>株式会社大定</t>
    </r>
  </si>
  <si>
    <r>
      <rPr>
        <sz val="11"/>
        <rFont val="MS UI Gothic"/>
        <family val="3"/>
        <charset val="128"/>
      </rPr>
      <t>栃木県足利市小俣町</t>
    </r>
    <r>
      <rPr>
        <sz val="11"/>
        <rFont val="Times New Roman"/>
        <family val="1"/>
      </rPr>
      <t>859-1</t>
    </r>
  </si>
  <si>
    <r>
      <rPr>
        <sz val="11"/>
        <rFont val="MS UI Gothic"/>
        <family val="3"/>
        <charset val="128"/>
      </rPr>
      <t>株式会社</t>
    </r>
    <r>
      <rPr>
        <sz val="11"/>
        <rFont val="Times New Roman"/>
        <family val="1"/>
      </rPr>
      <t xml:space="preserve"> </t>
    </r>
    <r>
      <rPr>
        <sz val="11"/>
        <rFont val="MS UI Gothic"/>
        <family val="3"/>
        <charset val="128"/>
      </rPr>
      <t>つむぎプラン</t>
    </r>
  </si>
  <si>
    <r>
      <rPr>
        <sz val="11"/>
        <rFont val="MS UI Gothic"/>
        <family val="3"/>
        <charset val="128"/>
      </rPr>
      <t>敦賀繊維</t>
    </r>
    <r>
      <rPr>
        <sz val="11"/>
        <rFont val="Times New Roman"/>
        <family val="1"/>
      </rPr>
      <t xml:space="preserve"> </t>
    </r>
    <r>
      <rPr>
        <sz val="11"/>
        <rFont val="MS UI Gothic"/>
        <family val="3"/>
        <charset val="128"/>
      </rPr>
      <t>株式会社</t>
    </r>
  </si>
  <si>
    <r>
      <rPr>
        <sz val="11"/>
        <rFont val="MS UI Gothic"/>
        <family val="3"/>
        <charset val="128"/>
      </rPr>
      <t>中越ﾚｰｽ工業</t>
    </r>
    <r>
      <rPr>
        <sz val="11"/>
        <rFont val="Times New Roman"/>
        <family val="1"/>
      </rPr>
      <t xml:space="preserve"> </t>
    </r>
    <r>
      <rPr>
        <sz val="11"/>
        <rFont val="MS UI Gothic"/>
        <family val="3"/>
        <charset val="128"/>
      </rPr>
      <t>株式会社</t>
    </r>
  </si>
  <si>
    <r>
      <rPr>
        <sz val="11"/>
        <rFont val="MS UI Gothic"/>
        <family val="3"/>
        <charset val="128"/>
      </rPr>
      <t>ティーワイ通商</t>
    </r>
  </si>
  <si>
    <r>
      <rPr>
        <sz val="11"/>
        <rFont val="MS UI Gothic"/>
        <family val="3"/>
        <charset val="128"/>
      </rPr>
      <t>大阪府茨木市玉櫛</t>
    </r>
    <r>
      <rPr>
        <sz val="11"/>
        <rFont val="Times New Roman"/>
        <family val="1"/>
      </rPr>
      <t>2-17-21</t>
    </r>
  </si>
  <si>
    <r>
      <rPr>
        <sz val="11"/>
        <rFont val="MS UI Gothic"/>
        <family val="3"/>
        <charset val="128"/>
      </rPr>
      <t>同興商事</t>
    </r>
    <r>
      <rPr>
        <sz val="11"/>
        <rFont val="Times New Roman"/>
        <family val="1"/>
      </rPr>
      <t xml:space="preserve"> </t>
    </r>
    <r>
      <rPr>
        <sz val="11"/>
        <rFont val="MS UI Gothic"/>
        <family val="3"/>
        <charset val="128"/>
      </rPr>
      <t>株式会社</t>
    </r>
  </si>
  <si>
    <r>
      <rPr>
        <sz val="11"/>
        <rFont val="MS UI Gothic"/>
        <family val="3"/>
        <charset val="128"/>
      </rPr>
      <t>トーホー株式会社</t>
    </r>
  </si>
  <si>
    <r>
      <rPr>
        <sz val="11"/>
        <rFont val="MS UI Gothic"/>
        <family val="3"/>
        <charset val="128"/>
      </rPr>
      <t>大阪府大阪市中央区本町</t>
    </r>
    <r>
      <rPr>
        <sz val="11"/>
        <rFont val="Times New Roman"/>
        <family val="1"/>
      </rPr>
      <t>2-1-6</t>
    </r>
  </si>
  <si>
    <r>
      <rPr>
        <sz val="11"/>
        <rFont val="MS UI Gothic"/>
        <family val="3"/>
        <charset val="128"/>
      </rPr>
      <t>堺筋本町センタービル</t>
    </r>
    <r>
      <rPr>
        <sz val="11"/>
        <rFont val="Times New Roman"/>
        <family val="1"/>
      </rPr>
      <t>11F</t>
    </r>
  </si>
  <si>
    <r>
      <rPr>
        <sz val="11"/>
        <rFont val="MS UI Gothic"/>
        <family val="3"/>
        <charset val="128"/>
      </rPr>
      <t>株式会社堂本</t>
    </r>
  </si>
  <si>
    <r>
      <rPr>
        <sz val="11"/>
        <rFont val="MS UI Gothic"/>
        <family val="3"/>
        <charset val="128"/>
      </rPr>
      <t>京都府京都市右京区花園内畑町</t>
    </r>
    <r>
      <rPr>
        <sz val="11"/>
        <rFont val="Times New Roman"/>
        <family val="1"/>
      </rPr>
      <t>10</t>
    </r>
  </si>
  <si>
    <r>
      <rPr>
        <sz val="11"/>
        <rFont val="MS UI Gothic"/>
        <family val="3"/>
        <charset val="128"/>
      </rPr>
      <t>堂本製紐工業株式会社</t>
    </r>
  </si>
  <si>
    <r>
      <rPr>
        <sz val="11"/>
        <rFont val="MS UI Gothic"/>
        <family val="3"/>
        <charset val="128"/>
      </rPr>
      <t>京都府京都市右京区谷口園町</t>
    </r>
    <r>
      <rPr>
        <sz val="11"/>
        <rFont val="Times New Roman"/>
        <family val="1"/>
      </rPr>
      <t>24</t>
    </r>
  </si>
  <si>
    <r>
      <rPr>
        <sz val="11"/>
        <rFont val="MS UI Gothic"/>
        <family val="3"/>
        <charset val="128"/>
      </rPr>
      <t>株式会社土本トリミング</t>
    </r>
  </si>
  <si>
    <r>
      <rPr>
        <sz val="11"/>
        <rFont val="MS UI Gothic"/>
        <family val="3"/>
        <charset val="128"/>
      </rPr>
      <t>福井県越前市上大坪町</t>
    </r>
    <r>
      <rPr>
        <sz val="11"/>
        <rFont val="Times New Roman"/>
        <family val="1"/>
      </rPr>
      <t>18-43-1</t>
    </r>
  </si>
  <si>
    <r>
      <rPr>
        <sz val="11"/>
        <rFont val="MS UI Gothic"/>
        <family val="3"/>
        <charset val="128"/>
      </rPr>
      <t>株式会社</t>
    </r>
    <r>
      <rPr>
        <sz val="11"/>
        <rFont val="Times New Roman"/>
        <family val="1"/>
      </rPr>
      <t xml:space="preserve"> </t>
    </r>
    <r>
      <rPr>
        <sz val="11"/>
        <rFont val="MS UI Gothic"/>
        <family val="3"/>
        <charset val="128"/>
      </rPr>
      <t>トリムコ</t>
    </r>
  </si>
  <si>
    <r>
      <rPr>
        <sz val="11"/>
        <rFont val="MS UI Gothic"/>
        <family val="3"/>
        <charset val="128"/>
      </rPr>
      <t>株式会社</t>
    </r>
    <r>
      <rPr>
        <sz val="11"/>
        <rFont val="Times New Roman"/>
        <family val="1"/>
      </rPr>
      <t xml:space="preserve"> </t>
    </r>
    <r>
      <rPr>
        <sz val="11"/>
        <rFont val="MS UI Gothic"/>
        <family val="3"/>
        <charset val="128"/>
      </rPr>
      <t>トリムレース</t>
    </r>
  </si>
  <si>
    <r>
      <rPr>
        <sz val="11"/>
        <rFont val="MS UI Gothic"/>
        <family val="3"/>
        <charset val="128"/>
      </rPr>
      <t>池田市井口堂</t>
    </r>
    <r>
      <rPr>
        <sz val="11"/>
        <rFont val="Times New Roman"/>
        <family val="1"/>
      </rPr>
      <t xml:space="preserve"> 3-10-29</t>
    </r>
  </si>
  <si>
    <r>
      <rPr>
        <sz val="11"/>
        <rFont val="MS UI Gothic"/>
        <family val="3"/>
        <charset val="128"/>
      </rPr>
      <t>株式会社内藤レース</t>
    </r>
  </si>
  <si>
    <r>
      <rPr>
        <sz val="11"/>
        <rFont val="MS UI Gothic"/>
        <family val="3"/>
        <charset val="128"/>
      </rPr>
      <t>京都府京都市右京区太秦北路町</t>
    </r>
    <r>
      <rPr>
        <sz val="11"/>
        <rFont val="Times New Roman"/>
        <family val="1"/>
      </rPr>
      <t>11</t>
    </r>
  </si>
  <si>
    <r>
      <rPr>
        <sz val="11"/>
        <rFont val="MS UI Gothic"/>
        <family val="3"/>
        <charset val="128"/>
      </rPr>
      <t>中川リボン株式会社</t>
    </r>
  </si>
  <si>
    <r>
      <rPr>
        <sz val="11"/>
        <rFont val="MS UI Gothic"/>
        <family val="3"/>
        <charset val="128"/>
      </rPr>
      <t>滋賀県長浜市曽根町</t>
    </r>
    <r>
      <rPr>
        <sz val="11"/>
        <rFont val="Times New Roman"/>
        <family val="1"/>
      </rPr>
      <t>1102</t>
    </r>
  </si>
  <si>
    <r>
      <rPr>
        <sz val="11"/>
        <rFont val="MS UI Gothic"/>
        <family val="3"/>
        <charset val="128"/>
      </rPr>
      <t>有限会社</t>
    </r>
    <r>
      <rPr>
        <sz val="11"/>
        <rFont val="Times New Roman"/>
        <family val="1"/>
      </rPr>
      <t xml:space="preserve"> </t>
    </r>
    <r>
      <rPr>
        <sz val="11"/>
        <rFont val="MS UI Gothic"/>
        <family val="3"/>
        <charset val="128"/>
      </rPr>
      <t>中辻製紐</t>
    </r>
  </si>
  <si>
    <r>
      <rPr>
        <sz val="11"/>
        <rFont val="MS UI Gothic"/>
        <family val="3"/>
        <charset val="128"/>
      </rPr>
      <t>株式会社中村編織工業</t>
    </r>
  </si>
  <si>
    <r>
      <rPr>
        <sz val="11"/>
        <rFont val="MS UI Gothic"/>
        <family val="3"/>
        <charset val="128"/>
      </rPr>
      <t>石川県かほく市大崎リ</t>
    </r>
    <r>
      <rPr>
        <sz val="11"/>
        <rFont val="Times New Roman"/>
        <family val="1"/>
      </rPr>
      <t>3</t>
    </r>
    <r>
      <rPr>
        <sz val="11"/>
        <rFont val="MS UI Gothic"/>
        <family val="3"/>
        <charset val="128"/>
      </rPr>
      <t>番地</t>
    </r>
  </si>
  <si>
    <r>
      <rPr>
        <sz val="11"/>
        <rFont val="MS UI Gothic"/>
        <family val="3"/>
        <charset val="128"/>
      </rPr>
      <t>中村商事</t>
    </r>
    <r>
      <rPr>
        <sz val="11"/>
        <rFont val="Times New Roman"/>
        <family val="1"/>
      </rPr>
      <t xml:space="preserve"> </t>
    </r>
    <r>
      <rPr>
        <sz val="11"/>
        <rFont val="MS UI Gothic"/>
        <family val="3"/>
        <charset val="128"/>
      </rPr>
      <t>株式会社</t>
    </r>
  </si>
  <si>
    <r>
      <rPr>
        <sz val="11"/>
        <rFont val="MS UI Gothic"/>
        <family val="3"/>
        <charset val="128"/>
      </rPr>
      <t>中川産業株式会社</t>
    </r>
  </si>
  <si>
    <r>
      <rPr>
        <sz val="11"/>
        <rFont val="MS UI Gothic"/>
        <family val="3"/>
        <charset val="128"/>
      </rPr>
      <t>石川県小松市軽海町ラ</t>
    </r>
    <r>
      <rPr>
        <sz val="11"/>
        <rFont val="Times New Roman"/>
        <family val="1"/>
      </rPr>
      <t>19</t>
    </r>
  </si>
  <si>
    <r>
      <rPr>
        <sz val="11"/>
        <rFont val="MS UI Gothic"/>
        <family val="3"/>
        <charset val="128"/>
      </rPr>
      <t>株式会社</t>
    </r>
    <r>
      <rPr>
        <sz val="11"/>
        <rFont val="Times New Roman"/>
        <family val="1"/>
      </rPr>
      <t xml:space="preserve"> </t>
    </r>
    <r>
      <rPr>
        <sz val="11"/>
        <rFont val="MS UI Gothic"/>
        <family val="3"/>
        <charset val="128"/>
      </rPr>
      <t>ナリカワ</t>
    </r>
  </si>
  <si>
    <r>
      <rPr>
        <sz val="11"/>
        <rFont val="MS UI Gothic"/>
        <family val="3"/>
        <charset val="128"/>
      </rPr>
      <t>株式会社西口製紐</t>
    </r>
  </si>
  <si>
    <r>
      <rPr>
        <sz val="11"/>
        <rFont val="MS UI Gothic"/>
        <family val="3"/>
        <charset val="128"/>
      </rPr>
      <t>京都府亀岡市三宅町</t>
    </r>
    <r>
      <rPr>
        <sz val="11"/>
        <rFont val="Times New Roman"/>
        <family val="1"/>
      </rPr>
      <t>28</t>
    </r>
  </si>
  <si>
    <r>
      <rPr>
        <sz val="11"/>
        <rFont val="MS UI Gothic"/>
        <family val="3"/>
        <charset val="128"/>
      </rPr>
      <t>西ジマ染工房</t>
    </r>
  </si>
  <si>
    <r>
      <rPr>
        <sz val="11"/>
        <rFont val="MS UI Gothic"/>
        <family val="3"/>
        <charset val="128"/>
      </rPr>
      <t>京都府宇治市伊勢田町</t>
    </r>
    <r>
      <rPr>
        <sz val="11"/>
        <rFont val="Times New Roman"/>
        <family val="1"/>
      </rPr>
      <t>37-38</t>
    </r>
  </si>
  <si>
    <r>
      <rPr>
        <sz val="11"/>
        <rFont val="MS UI Gothic"/>
        <family val="3"/>
        <charset val="128"/>
      </rPr>
      <t>西中製紐株式会社</t>
    </r>
  </si>
  <si>
    <r>
      <rPr>
        <sz val="11"/>
        <rFont val="MS UI Gothic"/>
        <family val="3"/>
        <charset val="128"/>
      </rPr>
      <t>岡山県倉敷市児島田の口</t>
    </r>
    <r>
      <rPr>
        <sz val="11"/>
        <rFont val="Times New Roman"/>
        <family val="1"/>
      </rPr>
      <t>4-9-36</t>
    </r>
  </si>
  <si>
    <r>
      <rPr>
        <sz val="11"/>
        <rFont val="MS UI Gothic"/>
        <family val="3"/>
        <charset val="128"/>
      </rPr>
      <t>ﾘﾘｰﾚｰｽ･ｲﾝﾀｰﾅｼｮﾅﾙ</t>
    </r>
    <r>
      <rPr>
        <sz val="11"/>
        <rFont val="Times New Roman"/>
        <family val="1"/>
      </rPr>
      <t xml:space="preserve"> </t>
    </r>
    <r>
      <rPr>
        <sz val="11"/>
        <rFont val="MS UI Gothic"/>
        <family val="3"/>
        <charset val="128"/>
      </rPr>
      <t>株式会社</t>
    </r>
  </si>
  <si>
    <r>
      <rPr>
        <sz val="11"/>
        <rFont val="MS UI Gothic"/>
        <family val="3"/>
        <charset val="128"/>
      </rPr>
      <t>京都府京都市上京区元妙蓮寺町</t>
    </r>
  </si>
  <si>
    <r>
      <rPr>
        <sz val="11"/>
        <rFont val="MS UI Gothic"/>
        <family val="3"/>
        <charset val="128"/>
      </rPr>
      <t>ニッシントーア・岩尾</t>
    </r>
    <r>
      <rPr>
        <sz val="11"/>
        <rFont val="Times New Roman"/>
        <family val="1"/>
      </rPr>
      <t xml:space="preserve"> </t>
    </r>
    <r>
      <rPr>
        <sz val="11"/>
        <rFont val="MS UI Gothic"/>
        <family val="3"/>
        <charset val="128"/>
      </rPr>
      <t>株式会社</t>
    </r>
  </si>
  <si>
    <r>
      <rPr>
        <sz val="11"/>
        <rFont val="MS UI Gothic"/>
        <family val="3"/>
        <charset val="128"/>
      </rPr>
      <t>日清紡テキスタイル</t>
    </r>
    <r>
      <rPr>
        <sz val="11"/>
        <rFont val="Times New Roman"/>
        <family val="1"/>
      </rPr>
      <t xml:space="preserve"> </t>
    </r>
    <r>
      <rPr>
        <sz val="11"/>
        <rFont val="MS UI Gothic"/>
        <family val="3"/>
        <charset val="128"/>
      </rPr>
      <t>株式会社</t>
    </r>
  </si>
  <si>
    <r>
      <rPr>
        <sz val="11"/>
        <rFont val="MS UI Gothic"/>
        <family val="3"/>
        <charset val="128"/>
      </rPr>
      <t>大阪府大阪市中央区北久宝寺町</t>
    </r>
    <r>
      <rPr>
        <sz val="11"/>
        <rFont val="Times New Roman"/>
        <family val="1"/>
      </rPr>
      <t>2-4-2</t>
    </r>
  </si>
  <si>
    <r>
      <rPr>
        <sz val="11"/>
        <rFont val="MS UI Gothic"/>
        <family val="3"/>
        <charset val="128"/>
      </rPr>
      <t>西田マーク</t>
    </r>
  </si>
  <si>
    <r>
      <rPr>
        <sz val="11"/>
        <rFont val="MS UI Gothic"/>
        <family val="3"/>
        <charset val="128"/>
      </rPr>
      <t>岐阜県岐阜市薮田南</t>
    </r>
    <r>
      <rPr>
        <sz val="11"/>
        <rFont val="Times New Roman"/>
        <family val="1"/>
      </rPr>
      <t>7-6</t>
    </r>
  </si>
  <si>
    <r>
      <rPr>
        <sz val="11"/>
        <rFont val="MS UI Gothic"/>
        <family val="3"/>
        <charset val="128"/>
      </rPr>
      <t>株式会社ハシモト</t>
    </r>
  </si>
  <si>
    <r>
      <rPr>
        <sz val="11"/>
        <rFont val="MS UI Gothic"/>
        <family val="3"/>
        <charset val="128"/>
      </rPr>
      <t>東京都江東区新大橋</t>
    </r>
    <r>
      <rPr>
        <sz val="11"/>
        <rFont val="Times New Roman"/>
        <family val="1"/>
      </rPr>
      <t>2-19-9</t>
    </r>
  </si>
  <si>
    <r>
      <rPr>
        <sz val="11"/>
        <rFont val="MS UI Gothic"/>
        <family val="3"/>
        <charset val="128"/>
      </rPr>
      <t>橋本純織物工場</t>
    </r>
  </si>
  <si>
    <r>
      <rPr>
        <sz val="11"/>
        <rFont val="MS UI Gothic"/>
        <family val="3"/>
        <charset val="128"/>
      </rPr>
      <t>福井県鯖江市下野田町</t>
    </r>
    <r>
      <rPr>
        <sz val="11"/>
        <rFont val="Times New Roman"/>
        <family val="1"/>
      </rPr>
      <t>37-16-2</t>
    </r>
  </si>
  <si>
    <r>
      <rPr>
        <sz val="11"/>
        <rFont val="MS UI Gothic"/>
        <family val="3"/>
        <charset val="128"/>
      </rPr>
      <t>畑岡</t>
    </r>
    <r>
      <rPr>
        <sz val="11"/>
        <rFont val="Times New Roman"/>
        <family val="1"/>
      </rPr>
      <t xml:space="preserve"> </t>
    </r>
    <r>
      <rPr>
        <sz val="11"/>
        <rFont val="MS UI Gothic"/>
        <family val="3"/>
        <charset val="128"/>
      </rPr>
      <t>株式会社</t>
    </r>
  </si>
  <si>
    <r>
      <rPr>
        <sz val="11"/>
        <rFont val="MS UI Gothic"/>
        <family val="3"/>
        <charset val="128"/>
      </rPr>
      <t>株式会社</t>
    </r>
    <r>
      <rPr>
        <sz val="11"/>
        <rFont val="Times New Roman"/>
        <family val="1"/>
      </rPr>
      <t>HACHIYA</t>
    </r>
  </si>
  <si>
    <r>
      <rPr>
        <sz val="11"/>
        <rFont val="MS UI Gothic"/>
        <family val="3"/>
        <charset val="128"/>
      </rPr>
      <t>福井県福井市大島</t>
    </r>
    <r>
      <rPr>
        <sz val="11"/>
        <rFont val="Times New Roman"/>
        <family val="1"/>
      </rPr>
      <t>3-4</t>
    </r>
  </si>
  <si>
    <r>
      <rPr>
        <sz val="11"/>
        <rFont val="MS UI Gothic"/>
        <family val="3"/>
        <charset val="128"/>
      </rPr>
      <t>八田経編</t>
    </r>
    <r>
      <rPr>
        <sz val="11"/>
        <rFont val="Times New Roman"/>
        <family val="1"/>
      </rPr>
      <t xml:space="preserve"> </t>
    </r>
    <r>
      <rPr>
        <sz val="11"/>
        <rFont val="MS UI Gothic"/>
        <family val="3"/>
        <charset val="128"/>
      </rPr>
      <t>株式会社</t>
    </r>
  </si>
  <si>
    <r>
      <rPr>
        <sz val="11"/>
        <rFont val="MS UI Gothic"/>
        <family val="3"/>
        <charset val="128"/>
      </rPr>
      <t>浜松テープ株式会社</t>
    </r>
  </si>
  <si>
    <r>
      <rPr>
        <sz val="11"/>
        <rFont val="MS UI Gothic"/>
        <family val="3"/>
        <charset val="128"/>
      </rPr>
      <t>静岡県浜松市中区北田町</t>
    </r>
    <r>
      <rPr>
        <sz val="11"/>
        <rFont val="Times New Roman"/>
        <family val="1"/>
      </rPr>
      <t>139-25</t>
    </r>
  </si>
  <si>
    <r>
      <rPr>
        <sz val="11"/>
        <rFont val="MS UI Gothic"/>
        <family val="3"/>
        <charset val="128"/>
      </rPr>
      <t>ひかり商事㈱</t>
    </r>
  </si>
  <si>
    <r>
      <rPr>
        <sz val="11"/>
        <rFont val="MS UI Gothic"/>
        <family val="3"/>
        <charset val="128"/>
      </rPr>
      <t>福井市御幸</t>
    </r>
    <r>
      <rPr>
        <sz val="11"/>
        <rFont val="Times New Roman"/>
        <family val="1"/>
      </rPr>
      <t xml:space="preserve"> 4-21-10</t>
    </r>
  </si>
  <si>
    <r>
      <rPr>
        <sz val="11"/>
        <rFont val="MS UI Gothic"/>
        <family val="3"/>
        <charset val="128"/>
      </rPr>
      <t>有限会社</t>
    </r>
    <r>
      <rPr>
        <sz val="11"/>
        <rFont val="Times New Roman"/>
        <family val="1"/>
      </rPr>
      <t xml:space="preserve"> </t>
    </r>
    <r>
      <rPr>
        <sz val="11"/>
        <rFont val="MS UI Gothic"/>
        <family val="3"/>
        <charset val="128"/>
      </rPr>
      <t>ヒバリ</t>
    </r>
  </si>
  <si>
    <r>
      <rPr>
        <sz val="11"/>
        <rFont val="MS UI Gothic"/>
        <family val="3"/>
        <charset val="128"/>
      </rPr>
      <t>八尾市跡部南の町</t>
    </r>
    <r>
      <rPr>
        <sz val="11"/>
        <rFont val="Times New Roman"/>
        <family val="1"/>
      </rPr>
      <t xml:space="preserve"> 1-2-13</t>
    </r>
  </si>
  <si>
    <r>
      <rPr>
        <sz val="11"/>
        <rFont val="MS UI Gothic"/>
        <family val="3"/>
        <charset val="128"/>
      </rPr>
      <t>株式会社紐屋</t>
    </r>
  </si>
  <si>
    <r>
      <rPr>
        <sz val="11"/>
        <rFont val="MS UI Gothic"/>
        <family val="3"/>
        <charset val="128"/>
      </rPr>
      <t>石川県羽咋市滝町イ</t>
    </r>
    <r>
      <rPr>
        <sz val="11"/>
        <rFont val="Times New Roman"/>
        <family val="1"/>
      </rPr>
      <t>94-1</t>
    </r>
  </si>
  <si>
    <r>
      <rPr>
        <sz val="11"/>
        <rFont val="MS UI Gothic"/>
        <family val="3"/>
        <charset val="128"/>
      </rPr>
      <t>株式会社</t>
    </r>
    <r>
      <rPr>
        <sz val="11"/>
        <rFont val="Times New Roman"/>
        <family val="1"/>
      </rPr>
      <t xml:space="preserve"> </t>
    </r>
    <r>
      <rPr>
        <sz val="11"/>
        <rFont val="MS UI Gothic"/>
        <family val="3"/>
        <charset val="128"/>
      </rPr>
      <t>ファニー</t>
    </r>
  </si>
  <si>
    <r>
      <rPr>
        <sz val="11"/>
        <rFont val="MS UI Gothic"/>
        <family val="3"/>
        <charset val="128"/>
      </rPr>
      <t>藤井細巾織物有限会社</t>
    </r>
  </si>
  <si>
    <r>
      <rPr>
        <sz val="11"/>
        <rFont val="MS UI Gothic"/>
        <family val="3"/>
        <charset val="128"/>
      </rPr>
      <t>広島県福山市神辺町大字川南</t>
    </r>
    <r>
      <rPr>
        <sz val="11"/>
        <rFont val="Times New Roman"/>
        <family val="1"/>
      </rPr>
      <t>2975</t>
    </r>
  </si>
  <si>
    <r>
      <rPr>
        <sz val="11"/>
        <rFont val="MS UI Gothic"/>
        <family val="3"/>
        <charset val="128"/>
      </rPr>
      <t>双葉ﾚｰｽ</t>
    </r>
    <r>
      <rPr>
        <sz val="11"/>
        <rFont val="Times New Roman"/>
        <family val="1"/>
      </rPr>
      <t xml:space="preserve"> </t>
    </r>
    <r>
      <rPr>
        <sz val="11"/>
        <rFont val="MS UI Gothic"/>
        <family val="3"/>
        <charset val="128"/>
      </rPr>
      <t>株式会社</t>
    </r>
  </si>
  <si>
    <r>
      <rPr>
        <sz val="11"/>
        <rFont val="MS UI Gothic"/>
        <family val="3"/>
        <charset val="128"/>
      </rPr>
      <t>二渡レース株式会社</t>
    </r>
  </si>
  <si>
    <r>
      <rPr>
        <sz val="11"/>
        <rFont val="MS UI Gothic"/>
        <family val="3"/>
        <charset val="128"/>
      </rPr>
      <t>栃木県足利市小俣町</t>
    </r>
    <r>
      <rPr>
        <sz val="11"/>
        <rFont val="Times New Roman"/>
        <family val="1"/>
      </rPr>
      <t>1462-5</t>
    </r>
  </si>
  <si>
    <r>
      <rPr>
        <sz val="11"/>
        <rFont val="MS UI Gothic"/>
        <family val="3"/>
        <charset val="128"/>
      </rPr>
      <t>株式会社</t>
    </r>
    <r>
      <rPr>
        <sz val="11"/>
        <rFont val="Times New Roman"/>
        <family val="1"/>
      </rPr>
      <t xml:space="preserve"> </t>
    </r>
    <r>
      <rPr>
        <sz val="11"/>
        <rFont val="MS UI Gothic"/>
        <family val="3"/>
        <charset val="128"/>
      </rPr>
      <t>二口製紐</t>
    </r>
  </si>
  <si>
    <r>
      <rPr>
        <sz val="11"/>
        <rFont val="MS UI Gothic"/>
        <family val="3"/>
        <charset val="128"/>
      </rPr>
      <t>石川県かほく市高松サ</t>
    </r>
    <r>
      <rPr>
        <sz val="11"/>
        <rFont val="Times New Roman"/>
        <family val="1"/>
      </rPr>
      <t>49-66</t>
    </r>
  </si>
  <si>
    <r>
      <rPr>
        <sz val="11"/>
        <rFont val="MS UI Gothic"/>
        <family val="3"/>
        <charset val="128"/>
      </rPr>
      <t>鮒田産業株式会社</t>
    </r>
  </si>
  <si>
    <r>
      <rPr>
        <sz val="11"/>
        <rFont val="MS UI Gothic"/>
        <family val="3"/>
        <charset val="128"/>
      </rPr>
      <t>石川県かほく市大崎ロ</t>
    </r>
    <r>
      <rPr>
        <sz val="11"/>
        <rFont val="Times New Roman"/>
        <family val="1"/>
      </rPr>
      <t>75-1</t>
    </r>
  </si>
  <si>
    <r>
      <rPr>
        <sz val="11"/>
        <rFont val="MS UI Gothic"/>
        <family val="3"/>
        <charset val="128"/>
      </rPr>
      <t>フロリア</t>
    </r>
    <r>
      <rPr>
        <sz val="11"/>
        <rFont val="Times New Roman"/>
        <family val="1"/>
      </rPr>
      <t xml:space="preserve"> </t>
    </r>
    <r>
      <rPr>
        <sz val="11"/>
        <rFont val="MS UI Gothic"/>
        <family val="3"/>
        <charset val="128"/>
      </rPr>
      <t>株式会社</t>
    </r>
  </si>
  <si>
    <r>
      <rPr>
        <sz val="11"/>
        <rFont val="MS UI Gothic"/>
        <family val="3"/>
        <charset val="128"/>
      </rPr>
      <t>東京都中央区日本橋人形町</t>
    </r>
    <r>
      <rPr>
        <sz val="11"/>
        <rFont val="Times New Roman"/>
        <family val="1"/>
      </rPr>
      <t>1-2-6</t>
    </r>
  </si>
  <si>
    <r>
      <rPr>
        <sz val="11"/>
        <rFont val="MS UI Gothic"/>
        <family val="3"/>
        <charset val="128"/>
      </rPr>
      <t>サイボービル</t>
    </r>
    <r>
      <rPr>
        <sz val="11"/>
        <rFont val="Times New Roman"/>
        <family val="1"/>
      </rPr>
      <t>7F</t>
    </r>
  </si>
  <si>
    <r>
      <rPr>
        <sz val="11"/>
        <rFont val="MS UI Gothic"/>
        <family val="3"/>
        <charset val="128"/>
      </rPr>
      <t>株式会社</t>
    </r>
    <r>
      <rPr>
        <sz val="11"/>
        <rFont val="Times New Roman"/>
        <family val="1"/>
      </rPr>
      <t xml:space="preserve"> </t>
    </r>
    <r>
      <rPr>
        <sz val="11"/>
        <rFont val="MS UI Gothic"/>
        <family val="3"/>
        <charset val="128"/>
      </rPr>
      <t>ポケット</t>
    </r>
  </si>
  <si>
    <r>
      <rPr>
        <sz val="11"/>
        <rFont val="MS UI Gothic"/>
        <family val="3"/>
        <charset val="128"/>
      </rPr>
      <t>北陸ウェブ株式会社</t>
    </r>
  </si>
  <si>
    <r>
      <rPr>
        <sz val="11"/>
        <rFont val="MS UI Gothic"/>
        <family val="3"/>
        <charset val="128"/>
      </rPr>
      <t>石川県かほく市宇気ソ</t>
    </r>
    <r>
      <rPr>
        <sz val="11"/>
        <rFont val="Times New Roman"/>
        <family val="1"/>
      </rPr>
      <t>-6-2</t>
    </r>
  </si>
  <si>
    <r>
      <rPr>
        <sz val="11"/>
        <rFont val="MS UI Gothic"/>
        <family val="3"/>
        <charset val="128"/>
      </rPr>
      <t>有限会社丸将</t>
    </r>
  </si>
  <si>
    <r>
      <rPr>
        <sz val="11"/>
        <rFont val="MS UI Gothic"/>
        <family val="3"/>
        <charset val="128"/>
      </rPr>
      <t>京都府長岡京市今里</t>
    </r>
    <r>
      <rPr>
        <sz val="11"/>
        <rFont val="Times New Roman"/>
        <family val="1"/>
      </rPr>
      <t>22-28</t>
    </r>
  </si>
  <si>
    <r>
      <rPr>
        <sz val="11"/>
        <rFont val="MS UI Gothic"/>
        <family val="3"/>
        <charset val="128"/>
      </rPr>
      <t>株式会社丸進</t>
    </r>
  </si>
  <si>
    <r>
      <rPr>
        <sz val="11"/>
        <rFont val="MS UI Gothic"/>
        <family val="3"/>
        <charset val="128"/>
      </rPr>
      <t>京都府京都市上京区松屋町</t>
    </r>
  </si>
  <si>
    <r>
      <rPr>
        <sz val="11"/>
        <rFont val="MS UI Gothic"/>
        <family val="3"/>
        <charset val="128"/>
      </rPr>
      <t>株式会社万喜</t>
    </r>
  </si>
  <si>
    <r>
      <rPr>
        <sz val="11"/>
        <rFont val="MS UI Gothic"/>
        <family val="3"/>
        <charset val="128"/>
      </rPr>
      <t>石川県かほく市松浜イ</t>
    </r>
    <r>
      <rPr>
        <sz val="11"/>
        <rFont val="Times New Roman"/>
        <family val="1"/>
      </rPr>
      <t xml:space="preserve"> 31-1</t>
    </r>
  </si>
  <si>
    <r>
      <rPr>
        <sz val="11"/>
        <rFont val="MS UI Gothic"/>
        <family val="3"/>
        <charset val="128"/>
      </rPr>
      <t>南出リボン工業</t>
    </r>
  </si>
  <si>
    <r>
      <rPr>
        <sz val="11"/>
        <rFont val="MS UI Gothic"/>
        <family val="3"/>
        <charset val="128"/>
      </rPr>
      <t>石川県小松市日末町と</t>
    </r>
    <r>
      <rPr>
        <sz val="11"/>
        <rFont val="Times New Roman"/>
        <family val="1"/>
      </rPr>
      <t>6-2</t>
    </r>
  </si>
  <si>
    <r>
      <rPr>
        <sz val="11"/>
        <rFont val="MS UI Gothic"/>
        <family val="3"/>
        <charset val="128"/>
      </rPr>
      <t>有限会社ミニ・ワールド　マミや</t>
    </r>
  </si>
  <si>
    <r>
      <rPr>
        <sz val="11"/>
        <rFont val="MS UI Gothic"/>
        <family val="3"/>
        <charset val="128"/>
      </rPr>
      <t>京都府京都市北区衣笠北天神森町</t>
    </r>
  </si>
  <si>
    <r>
      <rPr>
        <sz val="11"/>
        <rFont val="MS UI Gothic"/>
        <family val="3"/>
        <charset val="128"/>
      </rPr>
      <t>宮谷産業有限会社</t>
    </r>
  </si>
  <si>
    <r>
      <rPr>
        <sz val="11"/>
        <rFont val="MS UI Gothic"/>
        <family val="3"/>
        <charset val="128"/>
      </rPr>
      <t>福井県坂井市丸岡町巽町</t>
    </r>
    <r>
      <rPr>
        <sz val="11"/>
        <rFont val="Times New Roman"/>
        <family val="1"/>
      </rPr>
      <t>3</t>
    </r>
    <r>
      <rPr>
        <sz val="11"/>
        <rFont val="MS UI Gothic"/>
        <family val="3"/>
        <charset val="128"/>
      </rPr>
      <t>丁目</t>
    </r>
    <r>
      <rPr>
        <sz val="11"/>
        <rFont val="Times New Roman"/>
        <family val="1"/>
      </rPr>
      <t>101</t>
    </r>
  </si>
  <si>
    <r>
      <rPr>
        <sz val="11"/>
        <rFont val="MS UI Gothic"/>
        <family val="3"/>
        <charset val="128"/>
      </rPr>
      <t>株式会社ＭＩＹＵＫＩ</t>
    </r>
  </si>
  <si>
    <r>
      <rPr>
        <sz val="11"/>
        <rFont val="MS UI Gothic"/>
        <family val="3"/>
        <charset val="128"/>
      </rPr>
      <t>大阪府大阪市中央区博労町</t>
    </r>
    <r>
      <rPr>
        <sz val="11"/>
        <rFont val="Times New Roman"/>
        <family val="1"/>
      </rPr>
      <t>4-5-9</t>
    </r>
  </si>
  <si>
    <r>
      <rPr>
        <sz val="11"/>
        <rFont val="MS UI Gothic"/>
        <family val="3"/>
        <charset val="128"/>
      </rPr>
      <t>モリクロス株式会社</t>
    </r>
  </si>
  <si>
    <r>
      <rPr>
        <sz val="11"/>
        <rFont val="MS UI Gothic"/>
        <family val="3"/>
        <charset val="128"/>
      </rPr>
      <t>兵庫県尼崎市南武庫之荘</t>
    </r>
    <r>
      <rPr>
        <sz val="11"/>
        <rFont val="Times New Roman"/>
        <family val="1"/>
      </rPr>
      <t>1</t>
    </r>
    <r>
      <rPr>
        <sz val="11"/>
        <rFont val="MS UI Gothic"/>
        <family val="3"/>
        <charset val="128"/>
      </rPr>
      <t>丁目</t>
    </r>
    <r>
      <rPr>
        <sz val="11"/>
        <rFont val="Times New Roman"/>
        <family val="1"/>
      </rPr>
      <t xml:space="preserve">17 </t>
    </r>
  </si>
  <si>
    <r>
      <rPr>
        <sz val="11"/>
        <rFont val="MS UI Gothic"/>
        <family val="3"/>
        <charset val="128"/>
      </rPr>
      <t>株式会社モリ製紐</t>
    </r>
  </si>
  <si>
    <r>
      <rPr>
        <sz val="11"/>
        <rFont val="MS UI Gothic"/>
        <family val="3"/>
        <charset val="128"/>
      </rPr>
      <t>石川県羽咋郡志賀町矢駄タ</t>
    </r>
    <r>
      <rPr>
        <sz val="11"/>
        <rFont val="Times New Roman"/>
        <family val="1"/>
      </rPr>
      <t>-60</t>
    </r>
  </si>
  <si>
    <r>
      <rPr>
        <sz val="11"/>
        <rFont val="MS UI Gothic"/>
        <family val="3"/>
        <charset val="128"/>
      </rPr>
      <t>株式会社木馬</t>
    </r>
  </si>
  <si>
    <r>
      <rPr>
        <sz val="11"/>
        <rFont val="MS UI Gothic"/>
        <family val="3"/>
        <charset val="128"/>
      </rPr>
      <t>東京都台東区蔵前</t>
    </r>
    <r>
      <rPr>
        <sz val="11"/>
        <rFont val="Times New Roman"/>
        <family val="1"/>
      </rPr>
      <t>4-16-8</t>
    </r>
  </si>
  <si>
    <r>
      <rPr>
        <sz val="11"/>
        <rFont val="MS UI Gothic"/>
        <family val="3"/>
        <charset val="128"/>
      </rPr>
      <t>森製紐株式会社</t>
    </r>
  </si>
  <si>
    <r>
      <rPr>
        <sz val="11"/>
        <rFont val="MS UI Gothic"/>
        <family val="3"/>
        <charset val="128"/>
      </rPr>
      <t>大阪府大阪市東成区東中本</t>
    </r>
    <r>
      <rPr>
        <sz val="11"/>
        <rFont val="Times New Roman"/>
        <family val="1"/>
      </rPr>
      <t>2</t>
    </r>
    <r>
      <rPr>
        <sz val="11"/>
        <rFont val="MS UI Gothic"/>
        <family val="3"/>
        <charset val="128"/>
      </rPr>
      <t>丁目</t>
    </r>
    <r>
      <rPr>
        <sz val="11"/>
        <rFont val="Times New Roman"/>
        <family val="1"/>
      </rPr>
      <t>1</t>
    </r>
  </si>
  <si>
    <r>
      <rPr>
        <sz val="11"/>
        <rFont val="MS UI Gothic"/>
        <family val="3"/>
        <charset val="128"/>
      </rPr>
      <t>株式会社</t>
    </r>
    <r>
      <rPr>
        <sz val="11"/>
        <rFont val="Times New Roman"/>
        <family val="1"/>
      </rPr>
      <t xml:space="preserve"> </t>
    </r>
    <r>
      <rPr>
        <sz val="11"/>
        <rFont val="MS UI Gothic"/>
        <family val="3"/>
        <charset val="128"/>
      </rPr>
      <t>八木熊</t>
    </r>
  </si>
  <si>
    <r>
      <rPr>
        <sz val="11"/>
        <rFont val="MS UI Gothic"/>
        <family val="3"/>
        <charset val="128"/>
      </rPr>
      <t>福井県福井市照手</t>
    </r>
    <r>
      <rPr>
        <sz val="11"/>
        <rFont val="Times New Roman"/>
        <family val="1"/>
      </rPr>
      <t>2-6-16</t>
    </r>
  </si>
  <si>
    <r>
      <rPr>
        <sz val="11"/>
        <rFont val="MS UI Gothic"/>
        <family val="3"/>
        <charset val="128"/>
      </rPr>
      <t>矢地繊維工業株式会社</t>
    </r>
  </si>
  <si>
    <r>
      <rPr>
        <sz val="11"/>
        <rFont val="MS UI Gothic"/>
        <family val="3"/>
        <charset val="128"/>
      </rPr>
      <t>福井県あわら市矢地</t>
    </r>
    <r>
      <rPr>
        <sz val="11"/>
        <rFont val="Times New Roman"/>
        <family val="1"/>
      </rPr>
      <t>1-3-1</t>
    </r>
  </si>
  <si>
    <r>
      <rPr>
        <sz val="11"/>
        <rFont val="MS UI Gothic"/>
        <family val="3"/>
        <charset val="128"/>
      </rPr>
      <t>山上縫糸株式会社</t>
    </r>
  </si>
  <si>
    <r>
      <rPr>
        <sz val="11"/>
        <rFont val="MS UI Gothic"/>
        <family val="3"/>
        <charset val="128"/>
      </rPr>
      <t>大阪府大阪市東成区中道</t>
    </r>
    <r>
      <rPr>
        <sz val="11"/>
        <rFont val="Times New Roman"/>
        <family val="1"/>
      </rPr>
      <t>4-16-21</t>
    </r>
  </si>
  <si>
    <r>
      <rPr>
        <sz val="11"/>
        <rFont val="MS UI Gothic"/>
        <family val="3"/>
        <charset val="128"/>
      </rPr>
      <t>有限会社</t>
    </r>
    <r>
      <rPr>
        <sz val="11"/>
        <rFont val="Times New Roman"/>
        <family val="1"/>
      </rPr>
      <t xml:space="preserve"> </t>
    </r>
    <r>
      <rPr>
        <sz val="11"/>
        <rFont val="MS UI Gothic"/>
        <family val="3"/>
        <charset val="128"/>
      </rPr>
      <t>山政テキスタイル</t>
    </r>
  </si>
  <si>
    <r>
      <rPr>
        <sz val="11"/>
        <rFont val="MS UI Gothic"/>
        <family val="3"/>
        <charset val="128"/>
      </rPr>
      <t>株式会社</t>
    </r>
    <r>
      <rPr>
        <sz val="11"/>
        <rFont val="Times New Roman"/>
        <family val="1"/>
      </rPr>
      <t xml:space="preserve"> </t>
    </r>
    <r>
      <rPr>
        <sz val="11"/>
        <rFont val="MS UI Gothic"/>
        <family val="3"/>
        <charset val="128"/>
      </rPr>
      <t>山崎ビロード</t>
    </r>
  </si>
  <si>
    <r>
      <rPr>
        <sz val="11"/>
        <rFont val="MS UI Gothic"/>
        <family val="3"/>
        <charset val="128"/>
      </rPr>
      <t>福井県越前市中津山町</t>
    </r>
    <r>
      <rPr>
        <sz val="11"/>
        <rFont val="Times New Roman"/>
        <family val="1"/>
      </rPr>
      <t>9-29</t>
    </r>
  </si>
  <si>
    <r>
      <rPr>
        <sz val="11"/>
        <rFont val="MS UI Gothic"/>
        <family val="3"/>
        <charset val="128"/>
      </rPr>
      <t>株式会社</t>
    </r>
    <r>
      <rPr>
        <sz val="11"/>
        <rFont val="Times New Roman"/>
        <family val="1"/>
      </rPr>
      <t xml:space="preserve"> </t>
    </r>
    <r>
      <rPr>
        <sz val="11"/>
        <rFont val="MS UI Gothic"/>
        <family val="3"/>
        <charset val="128"/>
      </rPr>
      <t>山田貿易</t>
    </r>
  </si>
  <si>
    <r>
      <rPr>
        <sz val="11"/>
        <rFont val="MS UI Gothic"/>
        <family val="3"/>
        <charset val="128"/>
      </rPr>
      <t>株式会社山博</t>
    </r>
  </si>
  <si>
    <r>
      <rPr>
        <sz val="11"/>
        <rFont val="MS UI Gothic"/>
        <family val="3"/>
        <charset val="128"/>
      </rPr>
      <t>石川県小松市福乃宮町</t>
    </r>
    <r>
      <rPr>
        <sz val="11"/>
        <rFont val="Times New Roman"/>
        <family val="1"/>
      </rPr>
      <t>1-87</t>
    </r>
  </si>
  <si>
    <r>
      <rPr>
        <sz val="11"/>
        <rFont val="MS UI Gothic"/>
        <family val="3"/>
        <charset val="128"/>
      </rPr>
      <t>山屋産業株式会社</t>
    </r>
  </si>
  <si>
    <r>
      <rPr>
        <sz val="11"/>
        <rFont val="MS UI Gothic"/>
        <family val="3"/>
        <charset val="128"/>
      </rPr>
      <t>石川県河北郡津幡町庄ホ</t>
    </r>
    <r>
      <rPr>
        <sz val="11"/>
        <rFont val="Times New Roman"/>
        <family val="1"/>
      </rPr>
      <t xml:space="preserve"> 63</t>
    </r>
    <r>
      <rPr>
        <sz val="11"/>
        <rFont val="MS UI Gothic"/>
        <family val="3"/>
        <charset val="128"/>
      </rPr>
      <t>番の</t>
    </r>
    <r>
      <rPr>
        <sz val="11"/>
        <rFont val="Times New Roman"/>
        <family val="1"/>
      </rPr>
      <t>1</t>
    </r>
  </si>
  <si>
    <r>
      <rPr>
        <sz val="11"/>
        <rFont val="MS UI Gothic"/>
        <family val="3"/>
        <charset val="128"/>
      </rPr>
      <t>山元リボン株式会社</t>
    </r>
  </si>
  <si>
    <r>
      <rPr>
        <sz val="11"/>
        <rFont val="MS UI Gothic"/>
        <family val="3"/>
        <charset val="128"/>
      </rPr>
      <t>京都府京都市下京区上平野町</t>
    </r>
  </si>
  <si>
    <r>
      <rPr>
        <sz val="11"/>
        <rFont val="MS UI Gothic"/>
        <family val="3"/>
        <charset val="128"/>
      </rPr>
      <t>ユニーク</t>
    </r>
    <r>
      <rPr>
        <sz val="11"/>
        <rFont val="Times New Roman"/>
        <family val="1"/>
      </rPr>
      <t xml:space="preserve"> </t>
    </r>
    <r>
      <rPr>
        <sz val="11"/>
        <rFont val="MS UI Gothic"/>
        <family val="3"/>
        <charset val="128"/>
      </rPr>
      <t>プランナー</t>
    </r>
  </si>
  <si>
    <r>
      <rPr>
        <sz val="11"/>
        <rFont val="MS UI Gothic"/>
        <family val="3"/>
        <charset val="128"/>
      </rPr>
      <t>有限会社</t>
    </r>
    <r>
      <rPr>
        <sz val="11"/>
        <rFont val="Times New Roman"/>
        <family val="1"/>
      </rPr>
      <t xml:space="preserve"> </t>
    </r>
    <r>
      <rPr>
        <sz val="11"/>
        <rFont val="MS UI Gothic"/>
        <family val="3"/>
        <charset val="128"/>
      </rPr>
      <t>横倉繊維</t>
    </r>
  </si>
  <si>
    <r>
      <rPr>
        <sz val="11"/>
        <rFont val="MS UI Gothic"/>
        <family val="3"/>
        <charset val="128"/>
      </rPr>
      <t>群馬県桐生市境野町</t>
    </r>
    <r>
      <rPr>
        <sz val="11"/>
        <rFont val="Times New Roman"/>
        <family val="1"/>
      </rPr>
      <t>1-1147</t>
    </r>
  </si>
  <si>
    <r>
      <rPr>
        <sz val="11"/>
        <rFont val="MS UI Gothic"/>
        <family val="3"/>
        <charset val="128"/>
      </rPr>
      <t>有限会社吉田トーション</t>
    </r>
  </si>
  <si>
    <r>
      <rPr>
        <sz val="11"/>
        <rFont val="MS UI Gothic"/>
        <family val="3"/>
        <charset val="128"/>
      </rPr>
      <t>栃木県足利市小俣町</t>
    </r>
    <r>
      <rPr>
        <sz val="11"/>
        <rFont val="Times New Roman"/>
        <family val="1"/>
      </rPr>
      <t>876-3</t>
    </r>
  </si>
  <si>
    <r>
      <rPr>
        <sz val="11"/>
        <rFont val="MS UI Gothic"/>
        <family val="3"/>
        <charset val="128"/>
      </rPr>
      <t>株式会社ラインワールド</t>
    </r>
  </si>
  <si>
    <r>
      <rPr>
        <sz val="11"/>
        <rFont val="MS UI Gothic"/>
        <family val="3"/>
        <charset val="128"/>
      </rPr>
      <t>岡山県倉敷市児島赤崎</t>
    </r>
    <r>
      <rPr>
        <sz val="11"/>
        <rFont val="Times New Roman"/>
        <family val="1"/>
      </rPr>
      <t>2</t>
    </r>
    <r>
      <rPr>
        <sz val="11"/>
        <rFont val="MS UI Gothic"/>
        <family val="3"/>
        <charset val="128"/>
      </rPr>
      <t>丁目</t>
    </r>
    <r>
      <rPr>
        <sz val="11"/>
        <rFont val="Times New Roman"/>
        <family val="1"/>
      </rPr>
      <t>7</t>
    </r>
    <r>
      <rPr>
        <sz val="11"/>
        <rFont val="MS UI Gothic"/>
        <family val="3"/>
        <charset val="128"/>
      </rPr>
      <t>番</t>
    </r>
    <r>
      <rPr>
        <sz val="11"/>
        <rFont val="Times New Roman"/>
        <family val="1"/>
      </rPr>
      <t>57</t>
    </r>
  </si>
  <si>
    <r>
      <rPr>
        <sz val="11"/>
        <rFont val="MS UI Gothic"/>
        <family val="3"/>
        <charset val="128"/>
      </rPr>
      <t>渡辺リボン株式会社</t>
    </r>
  </si>
  <si>
    <r>
      <rPr>
        <sz val="11"/>
        <rFont val="MS UI Gothic"/>
        <family val="3"/>
        <charset val="128"/>
      </rPr>
      <t>福井県鯖江市落井町</t>
    </r>
    <r>
      <rPr>
        <sz val="11"/>
        <rFont val="Times New Roman"/>
        <family val="1"/>
      </rPr>
      <t>49-5</t>
    </r>
  </si>
  <si>
    <r>
      <rPr>
        <sz val="11"/>
        <rFont val="MS UI Gothic"/>
        <family val="3"/>
        <charset val="128"/>
      </rPr>
      <t>輪の花</t>
    </r>
  </si>
  <si>
    <r>
      <rPr>
        <sz val="11"/>
        <rFont val="MS UI Gothic"/>
        <family val="3"/>
        <charset val="128"/>
      </rPr>
      <t>京都市西京区大原野西境谷町</t>
    </r>
    <r>
      <rPr>
        <sz val="11"/>
        <rFont val="Times New Roman"/>
        <family val="1"/>
      </rPr>
      <t>2-10-2</t>
    </r>
  </si>
  <si>
    <r>
      <rPr>
        <sz val="11"/>
        <rFont val="MS UI Gothic"/>
        <family val="3"/>
        <charset val="128"/>
      </rPr>
      <t>諸口（輸入）</t>
    </r>
  </si>
  <si>
    <r>
      <rPr>
        <sz val="11"/>
        <rFont val="MS UI Gothic"/>
        <family val="3"/>
        <charset val="128"/>
      </rPr>
      <t>諸口（国内）</t>
    </r>
  </si>
  <si>
    <r>
      <rPr>
        <sz val="11"/>
        <rFont val="MS UI Gothic"/>
        <family val="3"/>
        <charset val="128"/>
      </rPr>
      <t>諸口（国内</t>
    </r>
    <r>
      <rPr>
        <sz val="11"/>
        <rFont val="Times New Roman"/>
        <family val="1"/>
      </rPr>
      <t xml:space="preserve"> </t>
    </r>
    <r>
      <rPr>
        <sz val="11"/>
        <rFont val="MS UI Gothic"/>
        <family val="3"/>
        <charset val="128"/>
      </rPr>
      <t>非課税）</t>
    </r>
  </si>
  <si>
    <r>
      <rPr>
        <sz val="11"/>
        <rFont val="MS UI Gothic"/>
        <family val="3"/>
        <charset val="128"/>
      </rPr>
      <t>振替口座</t>
    </r>
  </si>
  <si>
    <r>
      <t xml:space="preserve">(SELECT) - </t>
    </r>
    <r>
      <rPr>
        <sz val="11"/>
        <rFont val="Yu Gothic"/>
        <family val="1"/>
        <charset val="128"/>
      </rPr>
      <t>仕入先名</t>
    </r>
    <rPh sb="11" eb="15">
      <t>シイレサキメイ</t>
    </rPh>
    <phoneticPr fontId="4"/>
  </si>
  <si>
    <t>Tel:</t>
    <phoneticPr fontId="4"/>
  </si>
  <si>
    <t>Fax:</t>
    <phoneticPr fontId="4"/>
  </si>
  <si>
    <r>
      <rPr>
        <sz val="11"/>
        <rFont val="ＭＳ Ｐ明朝"/>
        <family val="1"/>
        <charset val="128"/>
      </rPr>
      <t>システムコード</t>
    </r>
  </si>
  <si>
    <r>
      <rPr>
        <sz val="11"/>
        <rFont val="ＭＳ Ｐ明朝"/>
        <family val="1"/>
        <charset val="128"/>
      </rPr>
      <t>郵便番号</t>
    </r>
    <rPh sb="0" eb="4">
      <t>ユウビンバンゴウ</t>
    </rPh>
    <phoneticPr fontId="4"/>
  </si>
  <si>
    <r>
      <rPr>
        <sz val="11"/>
        <rFont val="ＭＳ Ｐ明朝"/>
        <family val="1"/>
        <charset val="128"/>
      </rPr>
      <t>住所</t>
    </r>
    <r>
      <rPr>
        <sz val="11"/>
        <rFont val="Times New Roman"/>
        <family val="1"/>
      </rPr>
      <t>1</t>
    </r>
    <rPh sb="0" eb="2">
      <t>ジュウショ</t>
    </rPh>
    <phoneticPr fontId="4"/>
  </si>
  <si>
    <r>
      <rPr>
        <sz val="11"/>
        <rFont val="ＭＳ Ｐ明朝"/>
        <family val="1"/>
        <charset val="128"/>
      </rPr>
      <t>住所</t>
    </r>
    <r>
      <rPr>
        <sz val="11"/>
        <rFont val="Times New Roman"/>
        <family val="1"/>
      </rPr>
      <t>2</t>
    </r>
    <rPh sb="0" eb="2">
      <t>ジュウショ</t>
    </rPh>
    <phoneticPr fontId="4"/>
  </si>
  <si>
    <t>ファイル名</t>
    <rPh sb="4" eb="5">
      <t>メイ</t>
    </rPh>
    <phoneticPr fontId="4"/>
  </si>
  <si>
    <t>ユーザー</t>
    <phoneticPr fontId="4"/>
  </si>
  <si>
    <t>仕入先</t>
    <rPh sb="0" eb="3">
      <t>シイレサキ</t>
    </rPh>
    <phoneticPr fontId="4"/>
  </si>
  <si>
    <t>検索結果</t>
    <rPh sb="0" eb="4">
      <t>ケンサクケッカ</t>
    </rPh>
    <phoneticPr fontId="4"/>
  </si>
  <si>
    <t>データ開始行</t>
    <rPh sb="3" eb="5">
      <t>カイシ</t>
    </rPh>
    <rPh sb="5" eb="6">
      <t>ギョウ</t>
    </rPh>
    <phoneticPr fontId="4"/>
  </si>
  <si>
    <t>データ終了行</t>
    <rPh sb="3" eb="5">
      <t>シュウリョウ</t>
    </rPh>
    <rPh sb="5" eb="6">
      <t>ギョウ</t>
    </rPh>
    <phoneticPr fontId="4"/>
  </si>
  <si>
    <t>貼付け終了行</t>
    <rPh sb="0" eb="2">
      <t>ハリツ</t>
    </rPh>
    <rPh sb="3" eb="6">
      <t>シュウリョウギョウ</t>
    </rPh>
    <phoneticPr fontId="4"/>
  </si>
  <si>
    <t>注記項目名</t>
    <rPh sb="0" eb="2">
      <t>チュウキ</t>
    </rPh>
    <rPh sb="2" eb="5">
      <t>コウモクメイ</t>
    </rPh>
    <phoneticPr fontId="4"/>
  </si>
  <si>
    <t>注記内容</t>
    <rPh sb="0" eb="2">
      <t>チュウキ</t>
    </rPh>
    <rPh sb="2" eb="4">
      <t>ナイヨウ</t>
    </rPh>
    <phoneticPr fontId="4"/>
  </si>
  <si>
    <t>同一ロット指定</t>
    <rPh sb="0" eb="2">
      <t>ドウイツ</t>
    </rPh>
    <rPh sb="5" eb="7">
      <t>シテイ</t>
    </rPh>
    <phoneticPr fontId="4"/>
  </si>
  <si>
    <t>上記商品、同一ロットでお手配お願い致します。</t>
    <rPh sb="0" eb="2">
      <t>ジョウキ</t>
    </rPh>
    <rPh sb="2" eb="4">
      <t>ショウヒン</t>
    </rPh>
    <rPh sb="5" eb="7">
      <t>ドウイツ</t>
    </rPh>
    <rPh sb="12" eb="14">
      <t>テハイ</t>
    </rPh>
    <rPh sb="15" eb="16">
      <t>ネガ</t>
    </rPh>
    <rPh sb="17" eb="18">
      <t>イタ</t>
    </rPh>
    <phoneticPr fontId="4"/>
  </si>
  <si>
    <t>出荷/到着日指定</t>
    <rPh sb="0" eb="2">
      <t>シュッカ</t>
    </rPh>
    <rPh sb="3" eb="6">
      <t>トウチャクビ</t>
    </rPh>
    <rPh sb="6" eb="8">
      <t>シテイ</t>
    </rPh>
    <phoneticPr fontId="4"/>
  </si>
  <si>
    <t>出荷日：</t>
    <rPh sb="0" eb="3">
      <t>シュッカビ</t>
    </rPh>
    <phoneticPr fontId="4"/>
  </si>
  <si>
    <t>到着日：</t>
    <rPh sb="0" eb="3">
      <t>トウチャクビ</t>
    </rPh>
    <phoneticPr fontId="4"/>
  </si>
  <si>
    <t>到着時間：</t>
    <rPh sb="0" eb="4">
      <t>トウチャクジカン</t>
    </rPh>
    <phoneticPr fontId="4"/>
  </si>
  <si>
    <t>最短納期指定</t>
    <rPh sb="0" eb="4">
      <t>サイタンノウキ</t>
    </rPh>
    <rPh sb="4" eb="6">
      <t>シテイ</t>
    </rPh>
    <phoneticPr fontId="4"/>
  </si>
  <si>
    <t>納期：</t>
    <rPh sb="0" eb="2">
      <t>ノウキ</t>
    </rPh>
    <phoneticPr fontId="4"/>
  </si>
  <si>
    <t>1月下旬</t>
    <rPh sb="1" eb="4">
      <t>ガツゲジュン</t>
    </rPh>
    <phoneticPr fontId="4"/>
  </si>
  <si>
    <t>発送方法指定</t>
    <rPh sb="0" eb="6">
      <t>ハッソウホウホウシテイ</t>
    </rPh>
    <phoneticPr fontId="4"/>
  </si>
  <si>
    <t>配送業者：</t>
    <rPh sb="0" eb="4">
      <t>ハイソウギョウシャ</t>
    </rPh>
    <phoneticPr fontId="4"/>
  </si>
  <si>
    <t>ヤマト便</t>
    <rPh sb="3" eb="4">
      <t>ビン</t>
    </rPh>
    <phoneticPr fontId="4"/>
  </si>
  <si>
    <t>納期回答指定</t>
    <rPh sb="0" eb="4">
      <t>ノウキカイトウ</t>
    </rPh>
    <rPh sb="4" eb="6">
      <t>シテイ</t>
    </rPh>
    <phoneticPr fontId="4"/>
  </si>
  <si>
    <t>在庫有無、納期のご回答をお願い致します。</t>
    <rPh sb="0" eb="4">
      <t>ザイコウム</t>
    </rPh>
    <rPh sb="5" eb="7">
      <t>ノウキ</t>
    </rPh>
    <rPh sb="9" eb="11">
      <t>カイトウ</t>
    </rPh>
    <rPh sb="13" eb="14">
      <t>ネガ</t>
    </rPh>
    <rPh sb="15" eb="16">
      <t>イタ</t>
    </rPh>
    <phoneticPr fontId="4"/>
  </si>
  <si>
    <t>キープ分指定</t>
    <rPh sb="3" eb="4">
      <t>ブン</t>
    </rPh>
    <rPh sb="4" eb="6">
      <t>シテイ</t>
    </rPh>
    <phoneticPr fontId="4"/>
  </si>
  <si>
    <t>上記商品、キープ分より出荷お願い致します。</t>
    <rPh sb="0" eb="4">
      <t>ジョウキショウヒン</t>
    </rPh>
    <rPh sb="8" eb="9">
      <t>ブン</t>
    </rPh>
    <rPh sb="11" eb="13">
      <t>シュッカ</t>
    </rPh>
    <rPh sb="14" eb="15">
      <t>ネガ</t>
    </rPh>
    <rPh sb="16" eb="17">
      <t>イタ</t>
    </rPh>
    <phoneticPr fontId="4"/>
  </si>
  <si>
    <t>欠品連絡</t>
    <rPh sb="0" eb="4">
      <t>ケッピンレンラク</t>
    </rPh>
    <phoneticPr fontId="4"/>
  </si>
  <si>
    <t>欠品がある場合は出荷前に納期等のご連絡を御願い致します｡</t>
    <phoneticPr fontId="4"/>
  </si>
  <si>
    <t>キャンセル可能性</t>
    <rPh sb="5" eb="8">
      <t>カノウセイ</t>
    </rPh>
    <phoneticPr fontId="4"/>
  </si>
  <si>
    <t>欠品の場合は全商品キャンセルになる可能性あり､ご連絡後の出荷指示に従って下さい｡</t>
    <phoneticPr fontId="4"/>
  </si>
  <si>
    <t>その他</t>
    <rPh sb="2" eb="3">
      <t>ホカ</t>
    </rPh>
    <phoneticPr fontId="4"/>
  </si>
  <si>
    <t>自由記述：</t>
    <rPh sb="0" eb="4">
      <t>ジユウキジュツ</t>
    </rPh>
    <phoneticPr fontId="4"/>
  </si>
  <si>
    <t>あいうえお</t>
    <phoneticPr fontId="4"/>
  </si>
  <si>
    <t>発注書 (SELECTION)</t>
    <rPh sb="0" eb="3">
      <t>ハッチュウショ</t>
    </rPh>
    <phoneticPr fontId="4"/>
  </si>
  <si>
    <t>注文日</t>
    <rPh sb="0" eb="3">
      <t>チュウモンビ</t>
    </rPh>
    <phoneticPr fontId="4"/>
  </si>
  <si>
    <t xml:space="preserve">御会社名: </t>
    <rPh sb="0" eb="4">
      <t>オカイシャメイ</t>
    </rPh>
    <phoneticPr fontId="4"/>
  </si>
  <si>
    <t>株式会社サンファッション</t>
    <rPh sb="0" eb="4">
      <t>カブシキガイシャ</t>
    </rPh>
    <phoneticPr fontId="4"/>
  </si>
  <si>
    <t xml:space="preserve">御住所: </t>
    <rPh sb="0" eb="3">
      <t>ゴジュウショ</t>
    </rPh>
    <phoneticPr fontId="4"/>
  </si>
  <si>
    <t>〒553-0003　大阪府大阪市福島区福島8丁目21番10号</t>
    <rPh sb="10" eb="13">
      <t>オオサカフ</t>
    </rPh>
    <rPh sb="13" eb="16">
      <t>オオサカシ</t>
    </rPh>
    <rPh sb="16" eb="19">
      <t>フクシマク</t>
    </rPh>
    <rPh sb="19" eb="21">
      <t>フクシマ</t>
    </rPh>
    <rPh sb="22" eb="24">
      <t>チョウメ</t>
    </rPh>
    <rPh sb="26" eb="27">
      <t>バン</t>
    </rPh>
    <rPh sb="29" eb="30">
      <t>ゴウ</t>
    </rPh>
    <phoneticPr fontId="4"/>
  </si>
  <si>
    <t>Tel: 06-6455-2850 (代)</t>
    <rPh sb="19" eb="20">
      <t>ダイ</t>
    </rPh>
    <phoneticPr fontId="4"/>
  </si>
  <si>
    <t xml:space="preserve">部署: </t>
    <rPh sb="0" eb="2">
      <t>ブショ</t>
    </rPh>
    <phoneticPr fontId="4"/>
  </si>
  <si>
    <t>貿易部</t>
    <rPh sb="0" eb="3">
      <t>ボウエキブ</t>
    </rPh>
    <phoneticPr fontId="4"/>
  </si>
  <si>
    <t xml:space="preserve">ご担当様: </t>
    <rPh sb="1" eb="4">
      <t>タントウサマ</t>
    </rPh>
    <phoneticPr fontId="4"/>
  </si>
  <si>
    <t xml:space="preserve">Tel: </t>
    <phoneticPr fontId="4"/>
  </si>
  <si>
    <t>貼付け開始行</t>
    <rPh sb="0" eb="2">
      <t>ハリツ</t>
    </rPh>
    <rPh sb="3" eb="5">
      <t>カイシ</t>
    </rPh>
    <rPh sb="5" eb="6">
      <t>ギョウ</t>
    </rPh>
    <phoneticPr fontId="4"/>
  </si>
  <si>
    <t>明細開始行</t>
    <rPh sb="0" eb="2">
      <t>メイサイ</t>
    </rPh>
    <rPh sb="2" eb="5">
      <t>カイシギョウ</t>
    </rPh>
    <phoneticPr fontId="4"/>
  </si>
  <si>
    <t>明細終了行</t>
    <rPh sb="0" eb="2">
      <t>メイサイ</t>
    </rPh>
    <rPh sb="2" eb="5">
      <t>シュウリョウギョウ</t>
    </rPh>
    <phoneticPr fontId="4"/>
  </si>
  <si>
    <t>貼付け開始行</t>
    <rPh sb="0" eb="2">
      <t>ハリツ</t>
    </rPh>
    <rPh sb="3" eb="6">
      <t>カイシギョウ</t>
    </rPh>
    <phoneticPr fontId="4"/>
  </si>
  <si>
    <t>注記開始行</t>
    <rPh sb="0" eb="2">
      <t>チュウキ</t>
    </rPh>
    <rPh sb="2" eb="5">
      <t>カイシギョウ</t>
    </rPh>
    <phoneticPr fontId="4"/>
  </si>
  <si>
    <t>注記終了行</t>
    <rPh sb="0" eb="2">
      <t>チュウキ</t>
    </rPh>
    <rPh sb="2" eb="5">
      <t>シュウリョウギョウ</t>
    </rPh>
    <phoneticPr fontId="4"/>
  </si>
  <si>
    <t>メモ開始行</t>
    <rPh sb="2" eb="5">
      <t>カイシギョウ</t>
    </rPh>
    <phoneticPr fontId="4"/>
  </si>
  <si>
    <t>メモ終了行</t>
    <rPh sb="2" eb="5">
      <t>シュウリョウギョウ</t>
    </rPh>
    <phoneticPr fontId="4"/>
  </si>
  <si>
    <t>当社注文番号</t>
    <rPh sb="0" eb="2">
      <t>トウシャ</t>
    </rPh>
    <rPh sb="2" eb="6">
      <t>チュウモンバンゴウ</t>
    </rPh>
    <phoneticPr fontId="4"/>
  </si>
  <si>
    <t>変更しない</t>
    <rPh sb="0" eb="2">
      <t>ヘンコウ</t>
    </rPh>
    <phoneticPr fontId="4"/>
  </si>
  <si>
    <t>SF米国と連動</t>
    <rPh sb="2" eb="4">
      <t>ベイコク</t>
    </rPh>
    <rPh sb="5" eb="7">
      <t>レンドウ</t>
    </rPh>
    <phoneticPr fontId="4"/>
  </si>
  <si>
    <t>No.</t>
  </si>
  <si>
    <r>
      <rPr>
        <b/>
        <sz val="11"/>
        <rFont val="MS UI Gothic"/>
        <family val="3"/>
        <charset val="128"/>
      </rPr>
      <t>品番</t>
    </r>
    <rPh sb="0" eb="2">
      <t>ヒンバン</t>
    </rPh>
    <phoneticPr fontId="4"/>
  </si>
  <si>
    <t>サイズ</t>
  </si>
  <si>
    <r>
      <rPr>
        <b/>
        <sz val="11"/>
        <rFont val="MS UI Gothic"/>
        <family val="3"/>
        <charset val="128"/>
      </rPr>
      <t>色番</t>
    </r>
    <rPh sb="0" eb="1">
      <t>イロ</t>
    </rPh>
    <rPh sb="1" eb="2">
      <t>バン</t>
    </rPh>
    <phoneticPr fontId="4"/>
  </si>
  <si>
    <r>
      <rPr>
        <b/>
        <sz val="11"/>
        <rFont val="MS UI Gothic"/>
        <family val="3"/>
        <charset val="128"/>
      </rPr>
      <t>仕立</t>
    </r>
    <rPh sb="0" eb="2">
      <t>シタテ</t>
    </rPh>
    <phoneticPr fontId="4"/>
  </si>
  <si>
    <r>
      <rPr>
        <b/>
        <sz val="11"/>
        <rFont val="MS UI Gothic"/>
        <family val="3"/>
        <charset val="128"/>
      </rPr>
      <t>反数</t>
    </r>
    <rPh sb="0" eb="1">
      <t>ハン</t>
    </rPh>
    <rPh sb="1" eb="2">
      <t>スウ</t>
    </rPh>
    <phoneticPr fontId="4"/>
  </si>
  <si>
    <r>
      <rPr>
        <b/>
        <sz val="11"/>
        <rFont val="MS UI Gothic"/>
        <family val="3"/>
        <charset val="128"/>
      </rPr>
      <t>数量</t>
    </r>
    <rPh sb="0" eb="2">
      <t>スウリョウ</t>
    </rPh>
    <phoneticPr fontId="4"/>
  </si>
  <si>
    <r>
      <rPr>
        <b/>
        <sz val="11"/>
        <rFont val="MS UI Gothic"/>
        <family val="3"/>
        <charset val="128"/>
      </rPr>
      <t>単価</t>
    </r>
    <rPh sb="0" eb="2">
      <t>タンカ</t>
    </rPh>
    <phoneticPr fontId="4"/>
  </si>
  <si>
    <r>
      <rPr>
        <b/>
        <sz val="11"/>
        <rFont val="MS UI Gothic"/>
        <family val="3"/>
        <charset val="128"/>
      </rPr>
      <t>金額</t>
    </r>
    <rPh sb="0" eb="2">
      <t>キンガク</t>
    </rPh>
    <phoneticPr fontId="4"/>
  </si>
  <si>
    <r>
      <rPr>
        <b/>
        <sz val="11"/>
        <rFont val="MS UI Gothic"/>
        <family val="3"/>
        <charset val="128"/>
      </rPr>
      <t>備考</t>
    </r>
    <r>
      <rPr>
        <b/>
        <sz val="11"/>
        <rFont val="Times New Roman"/>
        <family val="1"/>
      </rPr>
      <t>/</t>
    </r>
    <r>
      <rPr>
        <b/>
        <sz val="11"/>
        <rFont val="MS UI Gothic"/>
        <family val="3"/>
        <charset val="128"/>
      </rPr>
      <t>御社品番</t>
    </r>
    <rPh sb="0" eb="2">
      <t>ビコウ</t>
    </rPh>
    <rPh sb="3" eb="5">
      <t>オンシャ</t>
    </rPh>
    <rPh sb="5" eb="7">
      <t>ヒンバン</t>
    </rPh>
    <phoneticPr fontId="4"/>
  </si>
  <si>
    <r>
      <rPr>
        <b/>
        <sz val="11"/>
        <rFont val="MS UI Gothic"/>
        <family val="3"/>
        <charset val="128"/>
      </rPr>
      <t>在庫有無</t>
    </r>
    <rPh sb="0" eb="4">
      <t>ザイコウム</t>
    </rPh>
    <phoneticPr fontId="4"/>
  </si>
  <si>
    <r>
      <rPr>
        <b/>
        <sz val="11"/>
        <rFont val="MS UI Gothic"/>
        <family val="3"/>
        <charset val="128"/>
      </rPr>
      <t>納期</t>
    </r>
    <rPh sb="0" eb="2">
      <t>ノウキ</t>
    </rPh>
    <phoneticPr fontId="4"/>
  </si>
  <si>
    <t xml:space="preserve">L size </t>
    <phoneticPr fontId="4"/>
  </si>
  <si>
    <t>100% Cotton</t>
    <phoneticPr fontId="4"/>
  </si>
  <si>
    <t>MOQ for Mill's Off White</t>
    <phoneticPr fontId="4"/>
  </si>
  <si>
    <t>08339</t>
    <phoneticPr fontId="4"/>
  </si>
  <si>
    <t>courreges</t>
    <phoneticPr fontId="4"/>
  </si>
  <si>
    <t>same lot as PO # 08094</t>
    <phoneticPr fontId="4"/>
  </si>
  <si>
    <t># 83 ICE BLUE</t>
    <phoneticPr fontId="4"/>
  </si>
  <si>
    <r>
      <t>400m</t>
    </r>
    <r>
      <rPr>
        <sz val="10"/>
        <color indexed="10"/>
        <rFont val="ＭＳ Ｐゴシック"/>
        <family val="3"/>
        <charset val="128"/>
      </rPr>
      <t>→</t>
    </r>
    <r>
      <rPr>
        <sz val="10"/>
        <color indexed="10"/>
        <rFont val="Arial"/>
        <family val="2"/>
      </rPr>
      <t>same lot as PO # 08094, 120m from another lot, 80m short</t>
    </r>
    <phoneticPr fontId="4"/>
  </si>
  <si>
    <t># 63 SAND</t>
    <phoneticPr fontId="4"/>
  </si>
  <si>
    <t># 5 NATUREL</t>
    <phoneticPr fontId="4"/>
  </si>
  <si>
    <t>in stock, different lot from PO # 08094</t>
    <phoneticPr fontId="4"/>
  </si>
  <si>
    <t># 63 DUNE</t>
    <phoneticPr fontId="4"/>
  </si>
  <si>
    <t>no stock</t>
    <phoneticPr fontId="4"/>
  </si>
  <si>
    <t># 21 NAVY</t>
    <phoneticPr fontId="4"/>
  </si>
  <si>
    <t>P.O. No.:</t>
    <phoneticPr fontId="4"/>
  </si>
  <si>
    <t>Back order</t>
    <phoneticPr fontId="4"/>
  </si>
  <si>
    <t>PAGE:</t>
    <phoneticPr fontId="4"/>
  </si>
  <si>
    <t>Updated time:</t>
    <phoneticPr fontId="4"/>
  </si>
  <si>
    <t>Order Number</t>
    <phoneticPr fontId="4"/>
  </si>
  <si>
    <t>CLIENT NO.</t>
    <phoneticPr fontId="4"/>
  </si>
  <si>
    <t>WIDTH</t>
    <phoneticPr fontId="4"/>
  </si>
  <si>
    <t>COL.</t>
    <phoneticPr fontId="4"/>
  </si>
  <si>
    <t>Situation</t>
    <phoneticPr fontId="4"/>
  </si>
  <si>
    <t>Lead Time</t>
    <phoneticPr fontId="4"/>
  </si>
  <si>
    <t>Finish</t>
    <phoneticPr fontId="4"/>
  </si>
  <si>
    <t>Arrival Date</t>
    <phoneticPr fontId="4"/>
  </si>
  <si>
    <r>
      <t>NY</t>
    </r>
    <r>
      <rPr>
        <sz val="11"/>
        <rFont val="ＭＳ Ｐゴシック"/>
        <family val="3"/>
        <charset val="128"/>
      </rPr>
      <t>への出値</t>
    </r>
    <rPh sb="4" eb="6">
      <t>ダシネ</t>
    </rPh>
    <phoneticPr fontId="4"/>
  </si>
  <si>
    <t>Reference No.</t>
    <phoneticPr fontId="4"/>
  </si>
  <si>
    <t>Rolls</t>
    <phoneticPr fontId="4"/>
  </si>
  <si>
    <t>shipping date</t>
    <phoneticPr fontId="4"/>
  </si>
  <si>
    <t>O</t>
    <phoneticPr fontId="4"/>
  </si>
  <si>
    <t>レート2022年6月20日以前～110円</t>
    <rPh sb="7" eb="8">
      <t>ネン</t>
    </rPh>
    <rPh sb="9" eb="10">
      <t>ガツ</t>
    </rPh>
    <rPh sb="12" eb="13">
      <t>ニチ</t>
    </rPh>
    <rPh sb="13" eb="15">
      <t>イゼン</t>
    </rPh>
    <rPh sb="19" eb="20">
      <t>エン</t>
    </rPh>
    <phoneticPr fontId="4"/>
  </si>
  <si>
    <t>IFC</t>
    <phoneticPr fontId="4"/>
  </si>
  <si>
    <t xml:space="preserve">レート2022年6月21日～125円(トリムmax border 47% ÷0.53) </t>
    <rPh sb="7" eb="8">
      <t>ネン</t>
    </rPh>
    <rPh sb="9" eb="10">
      <t>ガツ</t>
    </rPh>
    <rPh sb="12" eb="13">
      <t>ニチ</t>
    </rPh>
    <rPh sb="17" eb="18">
      <t>エン</t>
    </rPh>
    <phoneticPr fontId="4"/>
  </si>
  <si>
    <r>
      <rPr>
        <b/>
        <sz val="10"/>
        <color indexed="10"/>
        <rFont val="ＭＳ Ｐゴシック"/>
        <family val="3"/>
        <charset val="128"/>
      </rPr>
      <t>レース</t>
    </r>
    <r>
      <rPr>
        <b/>
        <sz val="10"/>
        <color indexed="10"/>
        <rFont val="Arial"/>
        <family val="2"/>
      </rPr>
      <t xml:space="preserve"> ( 700</t>
    </r>
    <r>
      <rPr>
        <b/>
        <sz val="10"/>
        <color indexed="10"/>
        <rFont val="ＭＳ Ｐゴシック"/>
        <family val="3"/>
        <charset val="128"/>
      </rPr>
      <t>円</t>
    </r>
    <r>
      <rPr>
        <b/>
        <sz val="10"/>
        <color indexed="10"/>
        <rFont val="Arial"/>
        <family val="2"/>
      </rPr>
      <t xml:space="preserve">/m </t>
    </r>
    <r>
      <rPr>
        <b/>
        <sz val="10"/>
        <color indexed="10"/>
        <rFont val="ＭＳ Ｐゴシック"/>
        <family val="3"/>
        <charset val="128"/>
      </rPr>
      <t>以上</t>
    </r>
    <r>
      <rPr>
        <b/>
        <sz val="10"/>
        <color indexed="10"/>
        <rFont val="Arial"/>
        <family val="2"/>
      </rPr>
      <t xml:space="preserve">)  </t>
    </r>
    <r>
      <rPr>
        <b/>
        <sz val="10"/>
        <color indexed="10"/>
        <rFont val="ＭＳ Ｐゴシック"/>
        <family val="3"/>
        <charset val="128"/>
      </rPr>
      <t>顧客単価</t>
    </r>
    <r>
      <rPr>
        <b/>
        <sz val="10"/>
        <color indexed="10"/>
        <rFont val="Arial"/>
        <family val="2"/>
      </rPr>
      <t xml:space="preserve"> &gt;&gt;&gt;20% </t>
    </r>
    <r>
      <rPr>
        <b/>
        <sz val="10"/>
        <color indexed="10"/>
        <rFont val="ＭＳ Ｐゴシック"/>
        <family val="3"/>
        <charset val="128"/>
      </rPr>
      <t>仕入単価</t>
    </r>
    <r>
      <rPr>
        <b/>
        <sz val="10"/>
        <color indexed="10"/>
        <rFont val="Arial"/>
        <family val="2"/>
      </rPr>
      <t xml:space="preserve">÷0.8÷110 </t>
    </r>
    <phoneticPr fontId="4"/>
  </si>
  <si>
    <t>レート</t>
    <phoneticPr fontId="4"/>
  </si>
  <si>
    <t xml:space="preserve">Satin Edge Grosgrain Ribbons  100% Polyester </t>
    <phoneticPr fontId="4"/>
  </si>
  <si>
    <t>MP-170327</t>
    <phoneticPr fontId="4"/>
  </si>
  <si>
    <t xml:space="preserve">Maison Pere </t>
    <phoneticPr fontId="4"/>
  </si>
  <si>
    <t>DTM Magma</t>
    <phoneticPr fontId="4"/>
  </si>
  <si>
    <t>Cotton Lace</t>
    <phoneticPr fontId="4"/>
  </si>
  <si>
    <t>AH17-18_03678</t>
    <phoneticPr fontId="4"/>
  </si>
  <si>
    <t xml:space="preserve">Sezane </t>
    <phoneticPr fontId="4"/>
  </si>
  <si>
    <t>KYL-T23217-19</t>
    <phoneticPr fontId="4"/>
  </si>
  <si>
    <t>EL-170414</t>
    <phoneticPr fontId="4"/>
  </si>
  <si>
    <t>Potencier-Eric Leroy</t>
    <phoneticPr fontId="4"/>
  </si>
  <si>
    <t>TR-2044</t>
    <phoneticPr fontId="4"/>
  </si>
  <si>
    <t>BLACK / SILVER</t>
    <phoneticPr fontId="4"/>
  </si>
  <si>
    <r>
      <rPr>
        <b/>
        <sz val="11"/>
        <rFont val="ＭＳ Ｐゴシック"/>
        <family val="3"/>
        <charset val="128"/>
      </rPr>
      <t>Ｓ</t>
    </r>
    <r>
      <rPr>
        <b/>
        <sz val="11"/>
        <rFont val="Arial"/>
        <family val="2"/>
      </rPr>
      <t>-7906(C-0043)</t>
    </r>
    <phoneticPr fontId="4"/>
  </si>
  <si>
    <t>SZ-170512</t>
    <phoneticPr fontId="4"/>
  </si>
  <si>
    <t>S-7847(C-0048)</t>
    <phoneticPr fontId="4"/>
  </si>
  <si>
    <t>SZ-170517</t>
    <phoneticPr fontId="4"/>
  </si>
  <si>
    <t>TRL-197972</t>
    <phoneticPr fontId="4"/>
  </si>
  <si>
    <t>S-7848(C-0049)</t>
    <phoneticPr fontId="4"/>
  </si>
  <si>
    <t>AH17-18_04062</t>
    <phoneticPr fontId="4"/>
  </si>
  <si>
    <t>S-7851</t>
    <phoneticPr fontId="4"/>
  </si>
  <si>
    <t>S-7879</t>
    <phoneticPr fontId="4"/>
  </si>
  <si>
    <t>BS-170530</t>
    <phoneticPr fontId="4"/>
  </si>
  <si>
    <t>Ba-sh</t>
    <phoneticPr fontId="4"/>
  </si>
  <si>
    <t>S-7964(C-0053)</t>
    <phoneticPr fontId="4"/>
  </si>
  <si>
    <t>FWL-2662</t>
    <phoneticPr fontId="4"/>
  </si>
  <si>
    <t>VK-170606</t>
    <phoneticPr fontId="4"/>
  </si>
  <si>
    <t>Valerie Khalfon</t>
    <phoneticPr fontId="4"/>
  </si>
  <si>
    <t>KYL-3225</t>
    <phoneticPr fontId="4"/>
  </si>
  <si>
    <t>S-7921</t>
    <phoneticPr fontId="4"/>
  </si>
  <si>
    <t>Stretch Loop Cords</t>
    <phoneticPr fontId="4"/>
  </si>
  <si>
    <t>BS-170615</t>
    <phoneticPr fontId="4"/>
  </si>
  <si>
    <r>
      <rPr>
        <b/>
        <sz val="11"/>
        <rFont val="ＭＳ Ｐゴシック"/>
        <family val="3"/>
        <charset val="128"/>
      </rPr>
      <t>Ｓ</t>
    </r>
    <r>
      <rPr>
        <b/>
        <sz val="11"/>
        <rFont val="Arial"/>
        <family val="2"/>
      </rPr>
      <t>-7999(C-0057)</t>
    </r>
    <phoneticPr fontId="4"/>
  </si>
  <si>
    <r>
      <t xml:space="preserve">Sezane (MALHAS </t>
    </r>
    <r>
      <rPr>
        <sz val="11"/>
        <rFont val="ＭＳ Ｐゴシック"/>
        <family val="3"/>
        <charset val="128"/>
      </rPr>
      <t>発送分）</t>
    </r>
    <rPh sb="15" eb="17">
      <t>ハッソウ</t>
    </rPh>
    <rPh sb="17" eb="18">
      <t>ブン</t>
    </rPh>
    <phoneticPr fontId="4"/>
  </si>
  <si>
    <t>TRL-288178</t>
    <phoneticPr fontId="4"/>
  </si>
  <si>
    <t>無償扱い</t>
    <rPh sb="0" eb="2">
      <t>ムショウ</t>
    </rPh>
    <rPh sb="2" eb="3">
      <t>アツカ</t>
    </rPh>
    <phoneticPr fontId="4"/>
  </si>
  <si>
    <t>EM-170725</t>
    <phoneticPr fontId="4"/>
  </si>
  <si>
    <t>ETAM</t>
    <phoneticPr fontId="4"/>
  </si>
  <si>
    <t>S-8814(C-0059)</t>
    <phoneticPr fontId="4"/>
  </si>
  <si>
    <t>KYL-25323</t>
    <phoneticPr fontId="4"/>
  </si>
  <si>
    <t>KYL-25503</t>
    <phoneticPr fontId="4"/>
  </si>
  <si>
    <t>TRL-291884</t>
    <phoneticPr fontId="4"/>
  </si>
  <si>
    <t>TRL-261878</t>
    <phoneticPr fontId="4"/>
  </si>
  <si>
    <t>Velvet Ribbon Rayon-70%/Nylon-30%</t>
    <phoneticPr fontId="4"/>
  </si>
  <si>
    <t>EM-170728</t>
    <phoneticPr fontId="4"/>
  </si>
  <si>
    <t># 132 Black</t>
    <phoneticPr fontId="4"/>
  </si>
  <si>
    <t xml:space="preserve">Crepe Fabric  100% Polyester </t>
    <phoneticPr fontId="4"/>
  </si>
  <si>
    <t>EL-170803</t>
    <phoneticPr fontId="4"/>
  </si>
  <si>
    <t>5644-S</t>
    <phoneticPr fontId="4"/>
  </si>
  <si>
    <t>Mill's Standard Black</t>
    <phoneticPr fontId="4"/>
  </si>
  <si>
    <t>S-8270(C-0062)</t>
    <phoneticPr fontId="4"/>
  </si>
  <si>
    <t>なし</t>
    <phoneticPr fontId="4"/>
  </si>
  <si>
    <t>AH17-18_04542</t>
    <phoneticPr fontId="4"/>
  </si>
  <si>
    <t>DS-1373</t>
    <phoneticPr fontId="4"/>
  </si>
  <si>
    <t xml:space="preserve"># D ( Black ) </t>
    <phoneticPr fontId="4"/>
  </si>
  <si>
    <t xml:space="preserve">Acrylic Cords  100% Acrylic </t>
    <phoneticPr fontId="4"/>
  </si>
  <si>
    <t>IM-170911</t>
    <phoneticPr fontId="4"/>
  </si>
  <si>
    <t xml:space="preserve">Isabel Marant </t>
    <phoneticPr fontId="4"/>
  </si>
  <si>
    <t xml:space="preserve"># 68 Yellow </t>
    <phoneticPr fontId="4"/>
  </si>
  <si>
    <t>S-8257(C-0063)</t>
    <phoneticPr fontId="4"/>
  </si>
  <si>
    <t>今回不要</t>
    <rPh sb="0" eb="2">
      <t>コンカイ</t>
    </rPh>
    <rPh sb="2" eb="4">
      <t>フヨウ</t>
    </rPh>
    <phoneticPr fontId="4"/>
  </si>
  <si>
    <t>AH17-18_04622</t>
    <phoneticPr fontId="4"/>
  </si>
  <si>
    <t>S-8465 (C-0064)</t>
    <phoneticPr fontId="4"/>
  </si>
  <si>
    <t>Polyethylene cord</t>
  </si>
  <si>
    <t>PO-02229</t>
    <phoneticPr fontId="4"/>
  </si>
  <si>
    <t>Véronique Leroy</t>
  </si>
  <si>
    <t>FK -  W8000</t>
  </si>
  <si>
    <t># WHITE</t>
    <phoneticPr fontId="4"/>
  </si>
  <si>
    <t> € 22</t>
    <phoneticPr fontId="4"/>
  </si>
  <si>
    <t>S-8173(C-0066)</t>
    <phoneticPr fontId="4"/>
  </si>
  <si>
    <t> € 10.10</t>
  </si>
  <si>
    <t>Dye</t>
    <phoneticPr fontId="4"/>
  </si>
  <si>
    <t>TK-170929</t>
    <phoneticPr fontId="4"/>
  </si>
  <si>
    <t xml:space="preserve">The Kooples </t>
    <phoneticPr fontId="4"/>
  </si>
  <si>
    <t>Off White</t>
    <phoneticPr fontId="4"/>
  </si>
  <si>
    <t>C-0067</t>
    <phoneticPr fontId="4"/>
  </si>
  <si>
    <t>SZ-171011</t>
    <phoneticPr fontId="4"/>
  </si>
  <si>
    <t>S-8196</t>
    <phoneticPr fontId="4"/>
  </si>
  <si>
    <t>black</t>
    <phoneticPr fontId="4"/>
  </si>
  <si>
    <t xml:space="preserve">Dye </t>
    <phoneticPr fontId="4"/>
  </si>
  <si>
    <t>PE18_04870</t>
    <phoneticPr fontId="4"/>
  </si>
  <si>
    <t>DTM Corail</t>
    <phoneticPr fontId="4"/>
  </si>
  <si>
    <t xml:space="preserve">1465 (C-0068-REV) </t>
    <phoneticPr fontId="4"/>
  </si>
  <si>
    <t xml:space="preserve">DTM Ecru </t>
    <phoneticPr fontId="4"/>
  </si>
  <si>
    <t xml:space="preserve">DTM Noir </t>
    <phoneticPr fontId="4"/>
  </si>
  <si>
    <t xml:space="preserve">1469 (C-0068-REV) </t>
    <phoneticPr fontId="4"/>
  </si>
  <si>
    <t>DTM Vert</t>
    <phoneticPr fontId="4"/>
  </si>
  <si>
    <t>MP-171024</t>
    <phoneticPr fontId="4"/>
  </si>
  <si>
    <t># 610 Aqua</t>
    <phoneticPr fontId="4"/>
  </si>
  <si>
    <t># 0 White</t>
    <phoneticPr fontId="4"/>
  </si>
  <si>
    <t>DF-15</t>
    <phoneticPr fontId="4"/>
  </si>
  <si>
    <t xml:space="preserve"> # 24 Brown</t>
    <phoneticPr fontId="4"/>
  </si>
  <si>
    <t>EL-171031</t>
    <phoneticPr fontId="4"/>
  </si>
  <si>
    <t>S-8271(C-0070)</t>
    <phoneticPr fontId="4"/>
  </si>
  <si>
    <t>BLACK / COPPER</t>
    <phoneticPr fontId="4"/>
  </si>
  <si>
    <t>PE18_05011</t>
    <phoneticPr fontId="4"/>
  </si>
  <si>
    <t>KYL-25278</t>
    <phoneticPr fontId="4"/>
  </si>
  <si>
    <t xml:space="preserve">Ecru ( Mill's Off White ) </t>
    <phoneticPr fontId="4"/>
  </si>
  <si>
    <t xml:space="preserve">DTM Marine </t>
    <phoneticPr fontId="4"/>
  </si>
  <si>
    <t>PE18_05020</t>
    <phoneticPr fontId="4"/>
  </si>
  <si>
    <t>Black 134</t>
    <phoneticPr fontId="4"/>
  </si>
  <si>
    <t>PE18_05106</t>
    <phoneticPr fontId="4"/>
  </si>
  <si>
    <t>81526-IKW-NF</t>
    <phoneticPr fontId="4"/>
  </si>
  <si>
    <t>IKKS</t>
    <phoneticPr fontId="4"/>
  </si>
  <si>
    <t xml:space="preserve">FWL-24144 </t>
    <phoneticPr fontId="4"/>
  </si>
  <si>
    <t>S-8356</t>
    <phoneticPr fontId="4"/>
  </si>
  <si>
    <t>Black  145</t>
    <phoneticPr fontId="4"/>
  </si>
  <si>
    <t>81528-IKW-NF</t>
    <phoneticPr fontId="4"/>
  </si>
  <si>
    <t>KYL-25455-19</t>
    <phoneticPr fontId="4"/>
  </si>
  <si>
    <t>C/# 19 Mill's Standard Black</t>
    <phoneticPr fontId="4"/>
  </si>
  <si>
    <t>KYL-23705-1</t>
    <phoneticPr fontId="4"/>
  </si>
  <si>
    <t>S-8334</t>
    <phoneticPr fontId="4"/>
  </si>
  <si>
    <t>S-8350</t>
    <phoneticPr fontId="4"/>
  </si>
  <si>
    <t xml:space="preserve">Alexis Mabille </t>
    <phoneticPr fontId="4"/>
  </si>
  <si>
    <t>FWL-81469</t>
    <phoneticPr fontId="4"/>
  </si>
  <si>
    <t>C/# 66 x #4 Dark Gold x #1 Silver</t>
    <phoneticPr fontId="4"/>
  </si>
  <si>
    <t>S-8924 (C-0071)</t>
    <phoneticPr fontId="4"/>
  </si>
  <si>
    <t xml:space="preserve">C/# 442 x #1 Silver x #4 Dark Gold </t>
    <phoneticPr fontId="4"/>
  </si>
  <si>
    <t>バルク特価（染色込）</t>
    <rPh sb="3" eb="5">
      <t>トッカ</t>
    </rPh>
    <rPh sb="6" eb="8">
      <t>センショク</t>
    </rPh>
    <rPh sb="8" eb="9">
      <t>コ</t>
    </rPh>
    <phoneticPr fontId="4"/>
  </si>
  <si>
    <t>PE18_05153</t>
    <phoneticPr fontId="4"/>
  </si>
  <si>
    <t>KYL-7148</t>
    <phoneticPr fontId="4"/>
  </si>
  <si>
    <t>DTM Corail - Style 1</t>
    <phoneticPr fontId="4"/>
  </si>
  <si>
    <t>DTM Marine - Style 1 &amp; 2</t>
    <phoneticPr fontId="4"/>
  </si>
  <si>
    <t>DTM Nude -  Dye Lot 1</t>
    <phoneticPr fontId="4"/>
  </si>
  <si>
    <t>DTM Nude -  Dye Lot 2</t>
    <phoneticPr fontId="4"/>
  </si>
  <si>
    <t>DTM Vert Emeraude - Dye Lot 1</t>
    <phoneticPr fontId="4"/>
  </si>
  <si>
    <t xml:space="preserve">Noir ( Mill's Black )  </t>
    <phoneticPr fontId="4"/>
  </si>
  <si>
    <t>DTM Corail -Dye Lot 2</t>
    <phoneticPr fontId="4"/>
  </si>
  <si>
    <t>DTM Vert Emeraude -  Dye Lot 2</t>
    <phoneticPr fontId="4"/>
  </si>
  <si>
    <t xml:space="preserve">PE18_05153-shooting sample </t>
    <phoneticPr fontId="4"/>
  </si>
  <si>
    <t>S-8410</t>
    <phoneticPr fontId="4"/>
  </si>
  <si>
    <t>S-8396</t>
    <phoneticPr fontId="4"/>
  </si>
  <si>
    <t xml:space="preserve">DTM Nude - Style 1 </t>
    <phoneticPr fontId="4"/>
  </si>
  <si>
    <t>DTM Vert Emeraude - Style 1</t>
    <phoneticPr fontId="4"/>
  </si>
  <si>
    <t>PE18_05185</t>
    <phoneticPr fontId="4"/>
  </si>
  <si>
    <t>Polyester Piping Tape   Polyester-100%</t>
    <phoneticPr fontId="4"/>
  </si>
  <si>
    <t>Bonpoint</t>
    <phoneticPr fontId="4"/>
  </si>
  <si>
    <t>S-8521(C-0072)</t>
    <phoneticPr fontId="4"/>
  </si>
  <si>
    <t>PE18_05294</t>
    <phoneticPr fontId="4"/>
  </si>
  <si>
    <t>バルク特価</t>
    <rPh sb="3" eb="5">
      <t>トッカ</t>
    </rPh>
    <phoneticPr fontId="4"/>
  </si>
  <si>
    <t>PE18_05355</t>
    <phoneticPr fontId="4"/>
  </si>
  <si>
    <t>S-8491</t>
    <phoneticPr fontId="4"/>
  </si>
  <si>
    <r>
      <t>(</t>
    </r>
    <r>
      <rPr>
        <sz val="11"/>
        <rFont val="ＭＳ Ｐゴシック"/>
        <family val="3"/>
        <charset val="128"/>
      </rPr>
      <t>バルク特価染色込み</t>
    </r>
    <r>
      <rPr>
        <sz val="11"/>
        <rFont val="Arial"/>
        <family val="2"/>
      </rPr>
      <t xml:space="preserve"> 85 ) </t>
    </r>
    <rPh sb="4" eb="6">
      <t>トッカ</t>
    </rPh>
    <rPh sb="6" eb="8">
      <t>センショク</t>
    </rPh>
    <rPh sb="8" eb="9">
      <t>コ</t>
    </rPh>
    <phoneticPr fontId="4"/>
  </si>
  <si>
    <t xml:space="preserve">PE18_05384 - Priority </t>
    <phoneticPr fontId="4"/>
  </si>
  <si>
    <t xml:space="preserve">DTM Nude </t>
    <phoneticPr fontId="4"/>
  </si>
  <si>
    <t>DTM Vert Emeraude</t>
    <phoneticPr fontId="4"/>
  </si>
  <si>
    <t xml:space="preserve">PE18_05386 - reproduction  </t>
    <phoneticPr fontId="4"/>
  </si>
  <si>
    <r>
      <t xml:space="preserve">PE18_05409 </t>
    </r>
    <r>
      <rPr>
        <sz val="11"/>
        <color indexed="10"/>
        <rFont val="Arial"/>
        <family val="2"/>
      </rPr>
      <t>LGP</t>
    </r>
    <phoneticPr fontId="4"/>
  </si>
  <si>
    <t>PE18_05409</t>
    <phoneticPr fontId="4"/>
  </si>
  <si>
    <t>S-8500</t>
    <phoneticPr fontId="4"/>
  </si>
  <si>
    <t>PE18_05438</t>
    <phoneticPr fontId="4"/>
  </si>
  <si>
    <t>PE18_05450</t>
    <phoneticPr fontId="4"/>
  </si>
  <si>
    <t>14918</t>
    <phoneticPr fontId="4"/>
  </si>
  <si>
    <t>S-8525(C-0074)</t>
    <phoneticPr fontId="4"/>
  </si>
  <si>
    <r>
      <t>PE18_05493</t>
    </r>
    <r>
      <rPr>
        <sz val="11"/>
        <color indexed="10"/>
        <rFont val="Arial"/>
        <family val="2"/>
      </rPr>
      <t xml:space="preserve"> LGP</t>
    </r>
    <phoneticPr fontId="4"/>
  </si>
  <si>
    <t>S-8532</t>
    <phoneticPr fontId="4"/>
  </si>
  <si>
    <t>PE18_05553</t>
    <phoneticPr fontId="4"/>
  </si>
  <si>
    <t>PE18_05558</t>
    <phoneticPr fontId="4"/>
  </si>
  <si>
    <t>DTM Safran</t>
    <phoneticPr fontId="4"/>
  </si>
  <si>
    <t>MJ-180213</t>
    <phoneticPr fontId="4"/>
  </si>
  <si>
    <t>Maje</t>
    <phoneticPr fontId="4"/>
  </si>
  <si>
    <t>TR2044</t>
    <phoneticPr fontId="4"/>
  </si>
  <si>
    <t xml:space="preserve">BLACK / GOLD </t>
    <phoneticPr fontId="4"/>
  </si>
  <si>
    <t>S-8528</t>
    <phoneticPr fontId="4"/>
  </si>
  <si>
    <t xml:space="preserve">BLACK / SILVER </t>
    <phoneticPr fontId="4"/>
  </si>
  <si>
    <t>15273</t>
    <phoneticPr fontId="4"/>
  </si>
  <si>
    <t>S-8560</t>
    <phoneticPr fontId="4"/>
  </si>
  <si>
    <t>Herringbone Tape  Cotton-99%/Cupra Rayon-1%</t>
    <phoneticPr fontId="4"/>
  </si>
  <si>
    <t>DF-180330</t>
    <phoneticPr fontId="4"/>
  </si>
  <si>
    <t>De Fursac</t>
    <phoneticPr fontId="4"/>
  </si>
  <si>
    <t>S-8616</t>
    <phoneticPr fontId="4"/>
  </si>
  <si>
    <t>PE18_05936</t>
    <phoneticPr fontId="4"/>
  </si>
  <si>
    <t>S-8627</t>
    <phoneticPr fontId="4"/>
  </si>
  <si>
    <t>AD-180418</t>
    <phoneticPr fontId="4"/>
  </si>
  <si>
    <t>AMSELLE DIFFUSION</t>
    <phoneticPr fontId="4"/>
  </si>
  <si>
    <t>S-8690 (C-0076)</t>
    <phoneticPr fontId="4"/>
  </si>
  <si>
    <t>Dye 50</t>
    <phoneticPr fontId="4"/>
  </si>
  <si>
    <t>DS-30172</t>
    <phoneticPr fontId="4"/>
  </si>
  <si>
    <t xml:space="preserve">A </t>
    <phoneticPr fontId="4"/>
  </si>
  <si>
    <t>DS-30169</t>
    <phoneticPr fontId="4"/>
  </si>
  <si>
    <t>B</t>
    <phoneticPr fontId="4"/>
  </si>
  <si>
    <t>DS-30249</t>
    <phoneticPr fontId="4"/>
  </si>
  <si>
    <t>Satin Ribbon (Double Face)</t>
    <phoneticPr fontId="4"/>
  </si>
  <si>
    <t>CA-180419</t>
    <phoneticPr fontId="4"/>
  </si>
  <si>
    <t>Celestina Agostino</t>
    <phoneticPr fontId="4"/>
  </si>
  <si>
    <t xml:space="preserve"># 90 </t>
    <phoneticPr fontId="4"/>
  </si>
  <si>
    <t>S-8677</t>
    <phoneticPr fontId="4"/>
  </si>
  <si>
    <t>AH18-19_06373</t>
    <phoneticPr fontId="4"/>
  </si>
  <si>
    <t>KYL-T25200-19</t>
    <phoneticPr fontId="4"/>
  </si>
  <si>
    <t>C/# 19 Mill's Black</t>
    <phoneticPr fontId="4"/>
  </si>
  <si>
    <t>SZ-180524</t>
    <phoneticPr fontId="4"/>
  </si>
  <si>
    <t>KYL-2038</t>
    <phoneticPr fontId="4"/>
  </si>
  <si>
    <t>S-8750</t>
    <phoneticPr fontId="4"/>
  </si>
  <si>
    <t>Dye 40</t>
    <phoneticPr fontId="4"/>
  </si>
  <si>
    <t xml:space="preserve">Trims </t>
    <phoneticPr fontId="4"/>
  </si>
  <si>
    <t>Cymbeline ForEver</t>
    <phoneticPr fontId="4"/>
  </si>
  <si>
    <t>TRL-11400</t>
    <phoneticPr fontId="4"/>
  </si>
  <si>
    <t>Dye 100</t>
    <phoneticPr fontId="4"/>
  </si>
  <si>
    <t>FWL-21242s</t>
    <phoneticPr fontId="4"/>
  </si>
  <si>
    <t>Dye 120</t>
    <phoneticPr fontId="4"/>
  </si>
  <si>
    <t>FWL-22418s</t>
    <phoneticPr fontId="4"/>
  </si>
  <si>
    <t>Dye 90</t>
    <phoneticPr fontId="4"/>
  </si>
  <si>
    <t>FWL-2103</t>
    <phoneticPr fontId="4"/>
  </si>
  <si>
    <t>KYL-2159</t>
    <phoneticPr fontId="4"/>
  </si>
  <si>
    <t>KYL-2080</t>
    <phoneticPr fontId="4"/>
  </si>
  <si>
    <t>KYL-25579</t>
    <phoneticPr fontId="4"/>
  </si>
  <si>
    <t>KYL-875017-19</t>
    <phoneticPr fontId="4"/>
  </si>
  <si>
    <t>Black 835</t>
    <phoneticPr fontId="4"/>
  </si>
  <si>
    <t>DS-2653</t>
    <phoneticPr fontId="4"/>
  </si>
  <si>
    <t>TI-4101</t>
    <phoneticPr fontId="4"/>
  </si>
  <si>
    <t>SZ-180622</t>
    <phoneticPr fontId="4"/>
  </si>
  <si>
    <t>TRL-258147</t>
    <phoneticPr fontId="4"/>
  </si>
  <si>
    <t>S-8827</t>
    <phoneticPr fontId="4"/>
  </si>
  <si>
    <t>Dye 60</t>
    <phoneticPr fontId="4"/>
  </si>
  <si>
    <t>SZ-180627</t>
    <phoneticPr fontId="4"/>
  </si>
  <si>
    <t>TRL-291842</t>
    <phoneticPr fontId="4"/>
  </si>
  <si>
    <t>S-8838</t>
    <phoneticPr fontId="4"/>
  </si>
  <si>
    <t>SZ-180706</t>
    <phoneticPr fontId="4"/>
  </si>
  <si>
    <t>S-8857</t>
    <phoneticPr fontId="4"/>
  </si>
  <si>
    <t>SZ-180713</t>
    <phoneticPr fontId="4"/>
  </si>
  <si>
    <t>SG-9027</t>
    <phoneticPr fontId="4"/>
  </si>
  <si>
    <t>S-8887</t>
    <phoneticPr fontId="4"/>
  </si>
  <si>
    <t>CA-180717</t>
    <phoneticPr fontId="4"/>
  </si>
  <si>
    <t>Velvet Ribbon   Cotton-62%/Nylon-32%</t>
    <phoneticPr fontId="4"/>
  </si>
  <si>
    <t>TK-180725</t>
    <phoneticPr fontId="4"/>
  </si>
  <si>
    <t>S-8918</t>
    <phoneticPr fontId="4"/>
  </si>
  <si>
    <t>SZ-180912</t>
    <phoneticPr fontId="4"/>
  </si>
  <si>
    <t>KYL-25207</t>
    <phoneticPr fontId="4"/>
  </si>
  <si>
    <t>S-9062</t>
    <phoneticPr fontId="4"/>
  </si>
  <si>
    <t>Testing Fee</t>
  </si>
  <si>
    <t>SZ-180918</t>
  </si>
  <si>
    <t xml:space="preserve">Sezane </t>
  </si>
  <si>
    <t>KYL-25207</t>
  </si>
  <si>
    <t>Mill's Black Testing Fee</t>
  </si>
  <si>
    <t>S-9095</t>
  </si>
  <si>
    <t>SZ-180920</t>
  </si>
  <si>
    <t>KYL-2038-19</t>
    <phoneticPr fontId="4"/>
  </si>
  <si>
    <t>S-9099</t>
    <phoneticPr fontId="4"/>
  </si>
  <si>
    <t>SZ-181018</t>
    <phoneticPr fontId="4"/>
  </si>
  <si>
    <t>S-9145</t>
    <phoneticPr fontId="4"/>
  </si>
  <si>
    <t>AM-181026</t>
    <phoneticPr fontId="4"/>
  </si>
  <si>
    <t>Atelier Marey</t>
    <phoneticPr fontId="4"/>
  </si>
  <si>
    <t>DS-2702</t>
    <phoneticPr fontId="4"/>
  </si>
  <si>
    <t># C ( Black )</t>
    <phoneticPr fontId="4"/>
  </si>
  <si>
    <t>S-9169</t>
    <phoneticPr fontId="4"/>
  </si>
  <si>
    <t>DS-3906</t>
    <phoneticPr fontId="4"/>
  </si>
  <si>
    <t># B</t>
    <phoneticPr fontId="4"/>
  </si>
  <si>
    <t>DS-2836</t>
    <phoneticPr fontId="4"/>
  </si>
  <si>
    <t>Mill's Greige</t>
    <phoneticPr fontId="4"/>
  </si>
  <si>
    <t>DS-3625</t>
    <phoneticPr fontId="4"/>
  </si>
  <si>
    <t>DS-3608</t>
    <phoneticPr fontId="4"/>
  </si>
  <si>
    <t>FWL-81470</t>
    <phoneticPr fontId="4"/>
  </si>
  <si>
    <t xml:space="preserve">Mill's Black x Col. 10 Black </t>
    <phoneticPr fontId="4"/>
  </si>
  <si>
    <t>FWL-81744</t>
    <phoneticPr fontId="4"/>
  </si>
  <si>
    <t xml:space="preserve">Mill's Black x Greige </t>
    <phoneticPr fontId="4"/>
  </si>
  <si>
    <t>FWL-81756</t>
    <phoneticPr fontId="4"/>
  </si>
  <si>
    <t>OL-384015</t>
    <phoneticPr fontId="4"/>
  </si>
  <si>
    <t>Dye 40 / Cut 15</t>
    <phoneticPr fontId="4"/>
  </si>
  <si>
    <t>SZ-181026</t>
    <phoneticPr fontId="4"/>
  </si>
  <si>
    <t>S-9171</t>
    <phoneticPr fontId="4"/>
  </si>
  <si>
    <t>S-9257</t>
    <phoneticPr fontId="4"/>
  </si>
  <si>
    <t xml:space="preserve">DTM Corail </t>
    <phoneticPr fontId="4"/>
  </si>
  <si>
    <r>
      <t xml:space="preserve">6000 ( </t>
    </r>
    <r>
      <rPr>
        <sz val="11"/>
        <rFont val="ＭＳ Ｐゴシック"/>
        <family val="3"/>
        <charset val="128"/>
      </rPr>
      <t>通常</t>
    </r>
    <r>
      <rPr>
        <sz val="11"/>
        <rFont val="Arial"/>
        <family val="2"/>
      </rPr>
      <t>8000 )</t>
    </r>
    <rPh sb="7" eb="9">
      <t>ツウジョウ</t>
    </rPh>
    <phoneticPr fontId="4"/>
  </si>
  <si>
    <t>PE19_08233</t>
    <phoneticPr fontId="4"/>
  </si>
  <si>
    <r>
      <t xml:space="preserve">DTM Corail ( Lot </t>
    </r>
    <r>
      <rPr>
        <sz val="11"/>
        <rFont val="ＭＳ Ｐゴシック"/>
        <family val="3"/>
        <charset val="128"/>
      </rPr>
      <t>①</t>
    </r>
    <r>
      <rPr>
        <sz val="11"/>
        <rFont val="Arial"/>
        <family val="2"/>
      </rPr>
      <t xml:space="preserve"> )</t>
    </r>
    <phoneticPr fontId="4"/>
  </si>
  <si>
    <r>
      <rPr>
        <sz val="11"/>
        <rFont val="ＭＳ Ｐゴシック"/>
        <family val="3"/>
        <charset val="128"/>
      </rPr>
      <t>通常</t>
    </r>
    <r>
      <rPr>
        <sz val="11"/>
        <rFont val="Arial"/>
        <family val="2"/>
      </rPr>
      <t xml:space="preserve"> 455 + 40 </t>
    </r>
    <rPh sb="0" eb="2">
      <t>ツウジョウ</t>
    </rPh>
    <phoneticPr fontId="4"/>
  </si>
  <si>
    <r>
      <t xml:space="preserve">DTM Corail ( Lot </t>
    </r>
    <r>
      <rPr>
        <sz val="11"/>
        <rFont val="ＭＳ Ｐゴシック"/>
        <family val="3"/>
        <charset val="128"/>
      </rPr>
      <t>②</t>
    </r>
    <r>
      <rPr>
        <sz val="11"/>
        <rFont val="Arial"/>
        <family val="2"/>
      </rPr>
      <t xml:space="preserve"> )</t>
    </r>
    <phoneticPr fontId="4"/>
  </si>
  <si>
    <r>
      <t>DTM</t>
    </r>
    <r>
      <rPr>
        <sz val="11"/>
        <rFont val="ＭＳ Ｐゴシック"/>
        <family val="3"/>
        <charset val="128"/>
      </rPr>
      <t>　</t>
    </r>
    <r>
      <rPr>
        <sz val="11"/>
        <rFont val="Arial"/>
        <family val="2"/>
      </rPr>
      <t xml:space="preserve">Original  Marine </t>
    </r>
    <phoneticPr fontId="4"/>
  </si>
  <si>
    <r>
      <t xml:space="preserve">DTM New Marine ( Lot </t>
    </r>
    <r>
      <rPr>
        <sz val="11"/>
        <rFont val="ＭＳ Ｐゴシック"/>
        <family val="3"/>
        <charset val="128"/>
      </rPr>
      <t>①</t>
    </r>
    <r>
      <rPr>
        <sz val="11"/>
        <rFont val="Arial"/>
        <family val="2"/>
      </rPr>
      <t xml:space="preserve"> ) </t>
    </r>
    <phoneticPr fontId="4"/>
  </si>
  <si>
    <r>
      <t xml:space="preserve">DTM New Marine ( Lot </t>
    </r>
    <r>
      <rPr>
        <sz val="11"/>
        <rFont val="ＭＳ Ｐゴシック"/>
        <family val="3"/>
        <charset val="128"/>
      </rPr>
      <t>②</t>
    </r>
    <r>
      <rPr>
        <sz val="11"/>
        <rFont val="Arial"/>
        <family val="2"/>
      </rPr>
      <t xml:space="preserve"> ) </t>
    </r>
    <phoneticPr fontId="4"/>
  </si>
  <si>
    <t>1838</t>
    <phoneticPr fontId="4"/>
  </si>
  <si>
    <t>S-9353</t>
    <phoneticPr fontId="4"/>
  </si>
  <si>
    <t>SZ-181114</t>
    <phoneticPr fontId="4"/>
  </si>
  <si>
    <t>S-9229</t>
    <phoneticPr fontId="4"/>
  </si>
  <si>
    <t>Ba&amp;sh</t>
    <phoneticPr fontId="4"/>
  </si>
  <si>
    <t>FWL-2857</t>
    <phoneticPr fontId="4"/>
  </si>
  <si>
    <t>FWL-2996</t>
    <phoneticPr fontId="4"/>
  </si>
  <si>
    <t>SZ-181210</t>
    <phoneticPr fontId="4"/>
  </si>
  <si>
    <t>S-9420</t>
    <phoneticPr fontId="4"/>
  </si>
  <si>
    <t>PE19_08764</t>
    <phoneticPr fontId="4"/>
  </si>
  <si>
    <t>100% Cotton Lace</t>
  </si>
  <si>
    <t>SZ-190212</t>
    <phoneticPr fontId="4"/>
  </si>
  <si>
    <t>KYL-2038</t>
  </si>
  <si>
    <t xml:space="preserve">DTM Noir </t>
  </si>
  <si>
    <t>S-9422</t>
    <phoneticPr fontId="4"/>
  </si>
  <si>
    <t>協和レース無償</t>
    <rPh sb="0" eb="2">
      <t>キョウワ</t>
    </rPh>
    <rPh sb="5" eb="7">
      <t>ムショウ</t>
    </rPh>
    <phoneticPr fontId="4"/>
  </si>
  <si>
    <t xml:space="preserve">DTM Vert </t>
  </si>
  <si>
    <t>PE19_08891</t>
    <phoneticPr fontId="4"/>
  </si>
  <si>
    <t>SZ-190117</t>
    <phoneticPr fontId="4"/>
  </si>
  <si>
    <t>FWL-71024</t>
    <phoneticPr fontId="4"/>
  </si>
  <si>
    <t>S-9355</t>
    <phoneticPr fontId="4"/>
  </si>
  <si>
    <t>SZ-190118</t>
    <phoneticPr fontId="4"/>
  </si>
  <si>
    <t>KYL-2812</t>
    <phoneticPr fontId="4"/>
  </si>
  <si>
    <t>S-9365</t>
    <phoneticPr fontId="4"/>
  </si>
  <si>
    <t>1872</t>
    <phoneticPr fontId="4"/>
  </si>
  <si>
    <t>1875</t>
    <phoneticPr fontId="4"/>
  </si>
  <si>
    <t>S-9416</t>
    <phoneticPr fontId="4"/>
  </si>
  <si>
    <t>SZ-190131</t>
    <phoneticPr fontId="4"/>
  </si>
  <si>
    <t>FWL-23109</t>
    <phoneticPr fontId="4"/>
  </si>
  <si>
    <t>S-9400</t>
    <phoneticPr fontId="4"/>
  </si>
  <si>
    <t>TRL-291883</t>
    <phoneticPr fontId="4"/>
  </si>
  <si>
    <t>TRL-291893</t>
    <phoneticPr fontId="4"/>
  </si>
  <si>
    <t>KYL-T25194</t>
    <phoneticPr fontId="4"/>
  </si>
  <si>
    <r>
      <rPr>
        <sz val="11"/>
        <rFont val="ＭＳ Ｐゴシック"/>
        <family val="3"/>
        <charset val="128"/>
      </rPr>
      <t>オフ</t>
    </r>
    <r>
      <rPr>
        <sz val="11"/>
        <rFont val="Arial"/>
        <family val="2"/>
      </rPr>
      <t>103</t>
    </r>
    <phoneticPr fontId="4"/>
  </si>
  <si>
    <t>Black 140</t>
    <phoneticPr fontId="4"/>
  </si>
  <si>
    <t>1900</t>
    <phoneticPr fontId="4"/>
  </si>
  <si>
    <t xml:space="preserve">Cymbeline  </t>
    <phoneticPr fontId="4"/>
  </si>
  <si>
    <t>S-9476</t>
    <phoneticPr fontId="4"/>
  </si>
  <si>
    <t>MJ-190326</t>
    <phoneticPr fontId="4"/>
  </si>
  <si>
    <t>S-9529</t>
    <phoneticPr fontId="4"/>
  </si>
  <si>
    <t xml:space="preserve"># 18 Bordeaux </t>
    <phoneticPr fontId="4"/>
  </si>
  <si>
    <t>PK-190401</t>
    <phoneticPr fontId="4"/>
  </si>
  <si>
    <t>Kartus Design Atelier OU</t>
    <phoneticPr fontId="4"/>
  </si>
  <si>
    <t xml:space="preserve">S-9541  </t>
    <phoneticPr fontId="4"/>
  </si>
  <si>
    <t xml:space="preserve"># 53 Light Green </t>
    <phoneticPr fontId="4"/>
  </si>
  <si>
    <t xml:space="preserve"># 55 Dark Green </t>
    <phoneticPr fontId="4"/>
  </si>
  <si>
    <t xml:space="preserve"># 20 Light Pink </t>
    <phoneticPr fontId="4"/>
  </si>
  <si>
    <t xml:space="preserve"># 22 Red </t>
    <phoneticPr fontId="4"/>
  </si>
  <si>
    <t xml:space="preserve"># 17 Purple </t>
    <phoneticPr fontId="4"/>
  </si>
  <si>
    <t xml:space="preserve"># 78 Blue </t>
    <phoneticPr fontId="4"/>
  </si>
  <si>
    <t xml:space="preserve"># 3 Grey </t>
    <phoneticPr fontId="4"/>
  </si>
  <si>
    <t xml:space="preserve"># 35 Beige </t>
    <phoneticPr fontId="4"/>
  </si>
  <si>
    <t># 98</t>
    <phoneticPr fontId="4"/>
  </si>
  <si>
    <t># 54</t>
    <phoneticPr fontId="4"/>
  </si>
  <si>
    <t xml:space="preserve"># 86 </t>
    <phoneticPr fontId="4"/>
  </si>
  <si>
    <t># 65</t>
    <phoneticPr fontId="4"/>
  </si>
  <si>
    <t>S-9562</t>
    <phoneticPr fontId="4"/>
  </si>
  <si>
    <t xml:space="preserve">EMS Freight Fee </t>
    <phoneticPr fontId="4"/>
  </si>
  <si>
    <t xml:space="preserve">Payment shortage </t>
    <phoneticPr fontId="4"/>
  </si>
  <si>
    <t>MRK-190405</t>
    <phoneticPr fontId="4"/>
  </si>
  <si>
    <t>Maison Rabih Kayrouz</t>
    <phoneticPr fontId="4"/>
  </si>
  <si>
    <t>FLR-53022</t>
    <phoneticPr fontId="4"/>
  </si>
  <si>
    <t>S-9561</t>
    <phoneticPr fontId="4"/>
  </si>
  <si>
    <t>FLR-55275</t>
    <phoneticPr fontId="4"/>
  </si>
  <si>
    <t>1913</t>
    <phoneticPr fontId="4"/>
  </si>
  <si>
    <t>SZ-190411</t>
    <phoneticPr fontId="4"/>
  </si>
  <si>
    <t>FWL-2661</t>
    <phoneticPr fontId="4"/>
  </si>
  <si>
    <t>S-9582</t>
    <phoneticPr fontId="4"/>
  </si>
  <si>
    <t xml:space="preserve">Lace Trim 100% Cotton </t>
    <phoneticPr fontId="4"/>
  </si>
  <si>
    <t>MRK-190507</t>
    <phoneticPr fontId="4"/>
  </si>
  <si>
    <t>S-9672</t>
    <phoneticPr fontId="4"/>
  </si>
  <si>
    <t>DTM Black</t>
    <phoneticPr fontId="4"/>
  </si>
  <si>
    <t xml:space="preserve">Lace Trim </t>
    <phoneticPr fontId="4"/>
  </si>
  <si>
    <t>MJ-190521</t>
    <phoneticPr fontId="4"/>
  </si>
  <si>
    <t>S-9678</t>
    <phoneticPr fontId="4"/>
  </si>
  <si>
    <t>TRL-247605</t>
    <phoneticPr fontId="4"/>
  </si>
  <si>
    <t>Dye 110</t>
    <phoneticPr fontId="4"/>
  </si>
  <si>
    <t>FWL-2509</t>
    <phoneticPr fontId="4"/>
  </si>
  <si>
    <t>SZ-190522</t>
    <phoneticPr fontId="4"/>
  </si>
  <si>
    <t>S-9679</t>
    <phoneticPr fontId="4"/>
  </si>
  <si>
    <t>Black 147</t>
    <phoneticPr fontId="4"/>
  </si>
  <si>
    <t>KYL-25284</t>
    <phoneticPr fontId="4"/>
  </si>
  <si>
    <t>MJ-190529</t>
    <phoneticPr fontId="4"/>
  </si>
  <si>
    <t>S-9695</t>
    <phoneticPr fontId="4"/>
  </si>
  <si>
    <t>SZ-190603</t>
    <phoneticPr fontId="4"/>
  </si>
  <si>
    <t>FWL-23438</t>
    <phoneticPr fontId="4"/>
  </si>
  <si>
    <t>S-9698</t>
    <phoneticPr fontId="4"/>
  </si>
  <si>
    <t>FWL-23178</t>
    <phoneticPr fontId="4"/>
  </si>
  <si>
    <t>DS-2724</t>
    <phoneticPr fontId="4"/>
  </si>
  <si>
    <t>abt 185</t>
    <phoneticPr fontId="4"/>
  </si>
  <si>
    <t>abt Dye 35</t>
    <phoneticPr fontId="4"/>
  </si>
  <si>
    <t>TRL-291907</t>
    <phoneticPr fontId="4"/>
  </si>
  <si>
    <t>S-9733</t>
    <phoneticPr fontId="4"/>
  </si>
  <si>
    <t>1957</t>
    <phoneticPr fontId="4"/>
  </si>
  <si>
    <t>S-9775</t>
    <phoneticPr fontId="4"/>
  </si>
  <si>
    <t>AB-190619</t>
    <phoneticPr fontId="4"/>
  </si>
  <si>
    <t>Agnes B</t>
    <phoneticPr fontId="4"/>
  </si>
  <si>
    <t>OL-062581F</t>
    <phoneticPr fontId="4"/>
  </si>
  <si>
    <t>DISCOON</t>
    <phoneticPr fontId="4"/>
  </si>
  <si>
    <t>Dye 46</t>
    <phoneticPr fontId="4"/>
  </si>
  <si>
    <t>AB-190918</t>
    <phoneticPr fontId="4"/>
  </si>
  <si>
    <t>KYL-873020C</t>
    <phoneticPr fontId="4"/>
  </si>
  <si>
    <t>S-9963</t>
    <phoneticPr fontId="4"/>
  </si>
  <si>
    <t>Dye 180</t>
    <phoneticPr fontId="4"/>
  </si>
  <si>
    <t>SZ-190731</t>
    <phoneticPr fontId="4"/>
  </si>
  <si>
    <t>S-9841</t>
    <phoneticPr fontId="4"/>
  </si>
  <si>
    <t>KYL-25284-19</t>
    <phoneticPr fontId="4"/>
  </si>
  <si>
    <t>Black  119</t>
    <phoneticPr fontId="4"/>
  </si>
  <si>
    <t xml:space="preserve">Lace Trim  Base: 100% Nylon / Front yarn : 100% Rayon /  Back yarn : 100% Cotton </t>
    <phoneticPr fontId="4"/>
  </si>
  <si>
    <t>SZ-190823</t>
    <phoneticPr fontId="4"/>
  </si>
  <si>
    <t>KYL-T24361-12</t>
    <phoneticPr fontId="4"/>
  </si>
  <si>
    <t>S-9891</t>
    <phoneticPr fontId="4"/>
  </si>
  <si>
    <t xml:space="preserve">C/# 124 </t>
    <phoneticPr fontId="4"/>
  </si>
  <si>
    <t>KYL-T24361-19</t>
    <phoneticPr fontId="4"/>
  </si>
  <si>
    <t>PE20_11739</t>
    <phoneticPr fontId="4"/>
  </si>
  <si>
    <t>DTM Bleu Electrique</t>
    <phoneticPr fontId="4"/>
  </si>
  <si>
    <r>
      <rPr>
        <sz val="12"/>
        <rFont val="ＭＳ Ｐゴシック"/>
        <family val="3"/>
        <charset val="128"/>
      </rPr>
      <t>特価</t>
    </r>
    <r>
      <rPr>
        <sz val="12"/>
        <rFont val="Arial"/>
        <family val="2"/>
      </rPr>
      <t>86</t>
    </r>
    <rPh sb="0" eb="2">
      <t>トッカ</t>
    </rPh>
    <phoneticPr fontId="4"/>
  </si>
  <si>
    <t>test 6yen /m</t>
    <phoneticPr fontId="4"/>
  </si>
  <si>
    <t>DTM Café</t>
    <phoneticPr fontId="4"/>
  </si>
  <si>
    <r>
      <t xml:space="preserve">DTM Noir Lot </t>
    </r>
    <r>
      <rPr>
        <sz val="12"/>
        <rFont val="ＭＳ Ｐゴシック"/>
        <family val="3"/>
        <charset val="128"/>
      </rPr>
      <t>①</t>
    </r>
    <phoneticPr fontId="4"/>
  </si>
  <si>
    <r>
      <rPr>
        <sz val="12"/>
        <rFont val="ＭＳ Ｐゴシック"/>
        <family val="3"/>
        <charset val="128"/>
      </rPr>
      <t>特価</t>
    </r>
    <r>
      <rPr>
        <sz val="12"/>
        <rFont val="Arial  "/>
        <family val="2"/>
      </rPr>
      <t>90</t>
    </r>
    <rPh sb="0" eb="2">
      <t>トッカ</t>
    </rPh>
    <phoneticPr fontId="4"/>
  </si>
  <si>
    <t>test 4yen /m</t>
    <phoneticPr fontId="4"/>
  </si>
  <si>
    <r>
      <t xml:space="preserve">DTM Noir Lot </t>
    </r>
    <r>
      <rPr>
        <sz val="12"/>
        <rFont val="ＭＳ Ｐゴシック"/>
        <family val="3"/>
        <charset val="128"/>
      </rPr>
      <t>②</t>
    </r>
    <r>
      <rPr>
        <sz val="12"/>
        <rFont val="Arial"/>
        <family val="2"/>
      </rPr>
      <t xml:space="preserve"> </t>
    </r>
    <phoneticPr fontId="4"/>
  </si>
  <si>
    <r>
      <t xml:space="preserve">DTM Ecru Lot </t>
    </r>
    <r>
      <rPr>
        <sz val="12"/>
        <rFont val="ＭＳ Ｐゴシック"/>
        <family val="3"/>
        <charset val="128"/>
      </rPr>
      <t>①</t>
    </r>
    <phoneticPr fontId="4"/>
  </si>
  <si>
    <r>
      <t xml:space="preserve">DTM Ecru Lot </t>
    </r>
    <r>
      <rPr>
        <sz val="12"/>
        <rFont val="ＭＳ Ｐゴシック"/>
        <family val="3"/>
        <charset val="128"/>
      </rPr>
      <t>②</t>
    </r>
    <phoneticPr fontId="4"/>
  </si>
  <si>
    <t>S-1032</t>
    <phoneticPr fontId="4"/>
  </si>
  <si>
    <t>S-1056</t>
    <phoneticPr fontId="4"/>
  </si>
  <si>
    <t>S-1070</t>
    <phoneticPr fontId="4"/>
  </si>
  <si>
    <t>SZ-190828</t>
    <phoneticPr fontId="4"/>
  </si>
  <si>
    <t>S-9905</t>
    <phoneticPr fontId="4"/>
  </si>
  <si>
    <t>CP-190829</t>
    <phoneticPr fontId="4"/>
  </si>
  <si>
    <t xml:space="preserve">Claudie Pierlot </t>
    <phoneticPr fontId="4"/>
  </si>
  <si>
    <t>S-9917</t>
    <phoneticPr fontId="4"/>
  </si>
  <si>
    <t>SZ-190830</t>
    <phoneticPr fontId="4"/>
  </si>
  <si>
    <t>S-9918</t>
    <phoneticPr fontId="4"/>
  </si>
  <si>
    <t xml:space="preserve">Lace Trim    Front yarn : 65% Rayon &amp; 35% Nylon /  Back yarn : 100% Cotton  </t>
    <phoneticPr fontId="4"/>
  </si>
  <si>
    <t>KYL-55235</t>
    <phoneticPr fontId="4"/>
  </si>
  <si>
    <t>abt Dye 50</t>
    <phoneticPr fontId="4"/>
  </si>
  <si>
    <t>EM-191003</t>
    <phoneticPr fontId="4"/>
  </si>
  <si>
    <t>OL-354128-1</t>
    <phoneticPr fontId="4"/>
  </si>
  <si>
    <t>S-9999</t>
    <phoneticPr fontId="4"/>
  </si>
  <si>
    <t>Dye 35</t>
    <phoneticPr fontId="4"/>
  </si>
  <si>
    <t>OL-353530-1</t>
    <phoneticPr fontId="4"/>
  </si>
  <si>
    <t>Dye 56</t>
    <phoneticPr fontId="4"/>
  </si>
  <si>
    <t>FWL-71461</t>
    <phoneticPr fontId="4"/>
  </si>
  <si>
    <t xml:space="preserve">Trim Lace  Front Yarn : 100% Rayon , Back Yarn :  100% Cotton </t>
    <phoneticPr fontId="4"/>
  </si>
  <si>
    <t>KYL-25196</t>
    <phoneticPr fontId="4"/>
  </si>
  <si>
    <t xml:space="preserve">Trim Lace   Base: 100% Nylon /  Front &amp; Back Yarn :  100% Cotton </t>
    <phoneticPr fontId="4"/>
  </si>
  <si>
    <t>KYL-24301</t>
    <phoneticPr fontId="4"/>
  </si>
  <si>
    <t>PTC-191008</t>
    <phoneticPr fontId="4"/>
  </si>
  <si>
    <t>S-1011</t>
    <phoneticPr fontId="4"/>
  </si>
  <si>
    <r>
      <rPr>
        <sz val="12"/>
        <rFont val="ＭＳ Ｐゴシック"/>
        <family val="3"/>
        <charset val="128"/>
      </rPr>
      <t>在庫色：</t>
    </r>
    <r>
      <rPr>
        <sz val="12"/>
        <rFont val="Arial"/>
        <family val="2"/>
      </rPr>
      <t xml:space="preserve">570 </t>
    </r>
    <rPh sb="0" eb="2">
      <t>ザイコ</t>
    </rPh>
    <rPh sb="2" eb="3">
      <t>イロ</t>
    </rPh>
    <phoneticPr fontId="4"/>
  </si>
  <si>
    <t>EM-191016</t>
    <phoneticPr fontId="4"/>
  </si>
  <si>
    <t>S-1028</t>
    <phoneticPr fontId="4"/>
  </si>
  <si>
    <t>Stretch Fine Grosgrain    Ny-79%, Pu-21%</t>
    <phoneticPr fontId="4"/>
  </si>
  <si>
    <t>PR-191023</t>
    <phoneticPr fontId="4"/>
  </si>
  <si>
    <t xml:space="preserve">Paco Rabanne </t>
    <phoneticPr fontId="4"/>
  </si>
  <si>
    <t>TI-1050</t>
    <phoneticPr fontId="4"/>
  </si>
  <si>
    <t>5 x 5 mm</t>
    <phoneticPr fontId="4"/>
  </si>
  <si>
    <t># SG01 White</t>
    <phoneticPr fontId="4"/>
  </si>
  <si>
    <t>S-1048</t>
    <phoneticPr fontId="4"/>
  </si>
  <si>
    <t># SG02 Off</t>
    <phoneticPr fontId="4"/>
  </si>
  <si>
    <t xml:space="preserve"># SG04 Black </t>
    <phoneticPr fontId="4"/>
  </si>
  <si>
    <t>2015</t>
    <phoneticPr fontId="4"/>
  </si>
  <si>
    <t xml:space="preserve">Cymbeline </t>
    <phoneticPr fontId="4"/>
  </si>
  <si>
    <t xml:space="preserve">Trim Lace  Base: 100% Nylon /  Front &amp; Back Yarn :  100% Cotton </t>
  </si>
  <si>
    <t>2016</t>
    <phoneticPr fontId="4"/>
  </si>
  <si>
    <t>KYL-K8300</t>
    <phoneticPr fontId="4"/>
  </si>
  <si>
    <t>KYL-K7716</t>
    <phoneticPr fontId="4"/>
  </si>
  <si>
    <t>88</t>
    <phoneticPr fontId="4"/>
  </si>
  <si>
    <t>SZ-191106</t>
    <phoneticPr fontId="4"/>
  </si>
  <si>
    <t>OL-35216</t>
    <phoneticPr fontId="4"/>
  </si>
  <si>
    <t>S-1083</t>
    <phoneticPr fontId="4"/>
  </si>
  <si>
    <t>SZ-191111</t>
    <phoneticPr fontId="4"/>
  </si>
  <si>
    <t xml:space="preserve">FWL-92063 </t>
    <phoneticPr fontId="4"/>
  </si>
  <si>
    <t xml:space="preserve">Set-up Fee for below MOQ </t>
    <phoneticPr fontId="4"/>
  </si>
  <si>
    <t>SZ-191127</t>
    <phoneticPr fontId="4"/>
  </si>
  <si>
    <t>BS-191128</t>
    <phoneticPr fontId="4"/>
  </si>
  <si>
    <t>FWL-23439</t>
    <phoneticPr fontId="4"/>
  </si>
  <si>
    <t>PR-191128</t>
    <phoneticPr fontId="4"/>
  </si>
  <si>
    <t># SG28</t>
    <phoneticPr fontId="4"/>
  </si>
  <si>
    <t>S-1135</t>
    <phoneticPr fontId="4"/>
  </si>
  <si>
    <t>SZ-191129</t>
    <phoneticPr fontId="4"/>
  </si>
  <si>
    <t>OL-358025-1</t>
    <phoneticPr fontId="4"/>
  </si>
  <si>
    <t>S-1141</t>
    <phoneticPr fontId="4"/>
  </si>
  <si>
    <t>OL-32669</t>
    <phoneticPr fontId="4"/>
  </si>
  <si>
    <t>S-1144</t>
    <phoneticPr fontId="4"/>
  </si>
  <si>
    <t>SZ-191218</t>
    <phoneticPr fontId="4"/>
  </si>
  <si>
    <t>S-1187</t>
    <phoneticPr fontId="4"/>
  </si>
  <si>
    <t>PE20_13316</t>
    <phoneticPr fontId="4"/>
  </si>
  <si>
    <t>S-1225</t>
    <phoneticPr fontId="4"/>
  </si>
  <si>
    <t>PR-200117</t>
    <phoneticPr fontId="4"/>
  </si>
  <si>
    <t>OL-351508-1</t>
    <phoneticPr fontId="4"/>
  </si>
  <si>
    <t>S-1246</t>
    <phoneticPr fontId="4"/>
  </si>
  <si>
    <t>OL-354231-1</t>
    <phoneticPr fontId="4"/>
  </si>
  <si>
    <t>FLR-55256</t>
    <phoneticPr fontId="4"/>
  </si>
  <si>
    <t>ETAM-200121</t>
    <phoneticPr fontId="4"/>
  </si>
  <si>
    <t>KYL-25279</t>
    <phoneticPr fontId="4"/>
  </si>
  <si>
    <t>S-1251</t>
    <phoneticPr fontId="4"/>
  </si>
  <si>
    <t>KYL-25535</t>
    <phoneticPr fontId="4"/>
  </si>
  <si>
    <t>128151</t>
    <phoneticPr fontId="4"/>
  </si>
  <si>
    <t>Maison 1.2.3. ( ETAM )</t>
    <phoneticPr fontId="4"/>
  </si>
  <si>
    <t>S-1284</t>
    <phoneticPr fontId="4"/>
  </si>
  <si>
    <t>128152</t>
    <phoneticPr fontId="4"/>
  </si>
  <si>
    <t>VL-200123</t>
    <phoneticPr fontId="4"/>
  </si>
  <si>
    <t>FK -  W3000</t>
    <phoneticPr fontId="4"/>
  </si>
  <si>
    <t>S-1254</t>
    <phoneticPr fontId="4"/>
  </si>
  <si>
    <t>2077</t>
    <phoneticPr fontId="4"/>
  </si>
  <si>
    <t>2071</t>
    <phoneticPr fontId="4"/>
  </si>
  <si>
    <t xml:space="preserve">100% Cotton Lace </t>
    <phoneticPr fontId="4"/>
  </si>
  <si>
    <t xml:space="preserve">00003794 ( UK ) </t>
    <phoneticPr fontId="4"/>
  </si>
  <si>
    <t xml:space="preserve">Temperley London </t>
    <phoneticPr fontId="4"/>
  </si>
  <si>
    <t>FWL-7311</t>
    <phoneticPr fontId="4"/>
  </si>
  <si>
    <t xml:space="preserve">Mill's Off White with Shrinking finish </t>
    <phoneticPr fontId="4"/>
  </si>
  <si>
    <r>
      <rPr>
        <sz val="12"/>
        <rFont val="ＭＳ Ｐゴシック"/>
        <family val="3"/>
        <charset val="128"/>
      </rPr>
      <t>湯通し</t>
    </r>
    <r>
      <rPr>
        <sz val="12"/>
        <rFont val="Arial"/>
        <family val="2"/>
      </rPr>
      <t xml:space="preserve">30 </t>
    </r>
    <r>
      <rPr>
        <sz val="12"/>
        <rFont val="ＭＳ Ｐゴシック"/>
        <family val="3"/>
        <charset val="128"/>
      </rPr>
      <t>円</t>
    </r>
    <phoneticPr fontId="4"/>
  </si>
  <si>
    <t>FWL-7313</t>
    <phoneticPr fontId="4"/>
  </si>
  <si>
    <t xml:space="preserve">Mill's Off White with NO Shrinking finish </t>
    <phoneticPr fontId="4"/>
  </si>
  <si>
    <t>FWL-91371</t>
    <phoneticPr fontId="4"/>
  </si>
  <si>
    <r>
      <rPr>
        <sz val="12"/>
        <rFont val="ＭＳ Ｐゴシック"/>
        <family val="3"/>
        <charset val="128"/>
      </rPr>
      <t>湯通し</t>
    </r>
    <r>
      <rPr>
        <sz val="12"/>
        <rFont val="Arial"/>
        <family val="2"/>
      </rPr>
      <t xml:space="preserve">40 </t>
    </r>
    <r>
      <rPr>
        <sz val="12"/>
        <rFont val="ＭＳ Ｐゴシック"/>
        <family val="3"/>
        <charset val="128"/>
      </rPr>
      <t>円</t>
    </r>
    <phoneticPr fontId="4"/>
  </si>
  <si>
    <t>Fedex Freight charge</t>
    <phoneticPr fontId="4"/>
  </si>
  <si>
    <t>PR-200206</t>
    <phoneticPr fontId="4"/>
  </si>
  <si>
    <t>S-1273</t>
    <phoneticPr fontId="4"/>
  </si>
  <si>
    <t>SZ-200212</t>
    <phoneticPr fontId="4"/>
  </si>
  <si>
    <t>S-1278</t>
    <phoneticPr fontId="4"/>
  </si>
  <si>
    <t>PR-200207</t>
    <phoneticPr fontId="4"/>
  </si>
  <si>
    <t>FLR-FS4234</t>
    <phoneticPr fontId="4"/>
  </si>
  <si>
    <t>S-1281</t>
    <phoneticPr fontId="4"/>
  </si>
  <si>
    <t>N&amp;S-200225</t>
    <phoneticPr fontId="4"/>
  </si>
  <si>
    <t>Joyance Corporation Limited ( Zapa )</t>
    <phoneticPr fontId="4"/>
  </si>
  <si>
    <t>FWL-71604</t>
    <phoneticPr fontId="4"/>
  </si>
  <si>
    <t>S-1302</t>
    <phoneticPr fontId="4"/>
  </si>
  <si>
    <t>FWL-81243</t>
    <phoneticPr fontId="4"/>
  </si>
  <si>
    <t xml:space="preserve">Mill's Off White x Silver </t>
    <phoneticPr fontId="4"/>
  </si>
  <si>
    <t>11046</t>
    <phoneticPr fontId="4"/>
  </si>
  <si>
    <t>S-1317</t>
    <phoneticPr fontId="4"/>
  </si>
  <si>
    <t>Metallic Striped Ribbons    Ny-100%</t>
    <phoneticPr fontId="4"/>
  </si>
  <si>
    <t>JCL-200312</t>
    <phoneticPr fontId="4"/>
  </si>
  <si>
    <t>S-1340</t>
    <phoneticPr fontId="4"/>
  </si>
  <si>
    <t>MJ-200310</t>
    <phoneticPr fontId="4"/>
  </si>
  <si>
    <t>KYL-T23319-1</t>
    <phoneticPr fontId="4"/>
  </si>
  <si>
    <t>S-1336</t>
    <phoneticPr fontId="4"/>
  </si>
  <si>
    <t>Black  96</t>
    <phoneticPr fontId="4"/>
  </si>
  <si>
    <t>KYL-23350-1</t>
    <phoneticPr fontId="4"/>
  </si>
  <si>
    <t>Black  184</t>
    <phoneticPr fontId="4"/>
  </si>
  <si>
    <t>KYL-23309-1</t>
    <phoneticPr fontId="4"/>
  </si>
  <si>
    <t>KYL-23402</t>
    <phoneticPr fontId="4"/>
  </si>
  <si>
    <r>
      <t xml:space="preserve">2100 </t>
    </r>
    <r>
      <rPr>
        <sz val="12"/>
        <color indexed="10"/>
        <rFont val="Arial"/>
        <family val="2"/>
      </rPr>
      <t>Thailand</t>
    </r>
  </si>
  <si>
    <t>S-1363</t>
    <phoneticPr fontId="4"/>
  </si>
  <si>
    <t xml:space="preserve">Trim Lace  Base: 100% Nylon /  Front &amp; Back Yarn :  100% Cotton </t>
    <phoneticPr fontId="4"/>
  </si>
  <si>
    <t>11452</t>
    <phoneticPr fontId="4"/>
  </si>
  <si>
    <t>11452</t>
  </si>
  <si>
    <t xml:space="preserve">Dye Fee for Ivory </t>
    <phoneticPr fontId="4"/>
  </si>
  <si>
    <r>
      <t>OL-354231-1 &amp;OL- 351508-1 : 9000</t>
    </r>
    <r>
      <rPr>
        <sz val="12"/>
        <color indexed="8"/>
        <rFont val="ＭＳ Ｐゴシック"/>
        <family val="3"/>
        <charset val="128"/>
      </rPr>
      <t>円</t>
    </r>
    <r>
      <rPr>
        <sz val="12"/>
        <color indexed="8"/>
        <rFont val="Arial"/>
        <family val="2"/>
      </rPr>
      <t>, FLR-55256 : 8000</t>
    </r>
    <r>
      <rPr>
        <sz val="12"/>
        <color indexed="8"/>
        <rFont val="ＭＳ Ｐゴシック"/>
        <family val="3"/>
        <charset val="128"/>
      </rPr>
      <t>円</t>
    </r>
    <rPh sb="32" eb="33">
      <t>エン</t>
    </rPh>
    <rPh sb="51" eb="52">
      <t>エン</t>
    </rPh>
    <phoneticPr fontId="4"/>
  </si>
  <si>
    <t>C 93%, R 5%, Pu 2%</t>
  </si>
  <si>
    <t>SC20LN002</t>
    <phoneticPr fontId="4"/>
  </si>
  <si>
    <t xml:space="preserve">IDEA 2000 LIMITED ( Vanessa Bruno ) </t>
    <phoneticPr fontId="4"/>
  </si>
  <si>
    <t>FWL - 21242S</t>
    <phoneticPr fontId="4"/>
  </si>
  <si>
    <t>S-1380</t>
    <phoneticPr fontId="4"/>
  </si>
  <si>
    <t>C 100%</t>
    <phoneticPr fontId="4"/>
  </si>
  <si>
    <t>FWL - 22446</t>
    <phoneticPr fontId="4"/>
  </si>
  <si>
    <t>VB-200422</t>
    <phoneticPr fontId="4"/>
  </si>
  <si>
    <t xml:space="preserve">Richard Naigard ( Vanessa Bruno )  </t>
    <phoneticPr fontId="4"/>
  </si>
  <si>
    <t>S-1396</t>
    <phoneticPr fontId="4"/>
  </si>
  <si>
    <t>JCL-200501</t>
    <phoneticPr fontId="4"/>
  </si>
  <si>
    <t>S-1413</t>
    <phoneticPr fontId="4"/>
  </si>
  <si>
    <t>PK-200507</t>
    <phoneticPr fontId="4"/>
  </si>
  <si>
    <t xml:space="preserve">Piret Kartus FIE </t>
    <phoneticPr fontId="4"/>
  </si>
  <si>
    <t>S-1427</t>
    <phoneticPr fontId="4"/>
  </si>
  <si>
    <t># 68 Teal</t>
    <phoneticPr fontId="4"/>
  </si>
  <si>
    <t xml:space="preserve"># 21 Old Pink </t>
    <phoneticPr fontId="4"/>
  </si>
  <si>
    <r>
      <t xml:space="preserve">PK-200507 </t>
    </r>
    <r>
      <rPr>
        <sz val="12"/>
        <color indexed="10"/>
        <rFont val="Arial"/>
        <family val="2"/>
      </rPr>
      <t xml:space="preserve">Add </t>
    </r>
    <phoneticPr fontId="4"/>
  </si>
  <si>
    <t xml:space="preserve"># 39 Brown </t>
    <phoneticPr fontId="4"/>
  </si>
  <si>
    <t xml:space="preserve"># 128 Lilac </t>
    <phoneticPr fontId="4"/>
  </si>
  <si>
    <t>VK-200528</t>
    <phoneticPr fontId="4"/>
  </si>
  <si>
    <t>KYL-875008SL1</t>
  </si>
  <si>
    <t xml:space="preserve">Silver x Beige </t>
    <phoneticPr fontId="4"/>
  </si>
  <si>
    <t>S-1436</t>
    <phoneticPr fontId="4"/>
  </si>
  <si>
    <t>KYL-875008SL6</t>
    <phoneticPr fontId="4"/>
  </si>
  <si>
    <t>Silver x Gray</t>
    <phoneticPr fontId="4"/>
  </si>
  <si>
    <t>KYL-875008GL6</t>
    <phoneticPr fontId="4"/>
  </si>
  <si>
    <t>Gold x Gray</t>
    <phoneticPr fontId="4"/>
  </si>
  <si>
    <t>2137</t>
    <phoneticPr fontId="4"/>
  </si>
  <si>
    <t>S-1463</t>
    <phoneticPr fontId="4"/>
  </si>
  <si>
    <t>S-1494</t>
    <phoneticPr fontId="4"/>
  </si>
  <si>
    <r>
      <t>Elst Cord (Soft Type)</t>
    </r>
    <r>
      <rPr>
        <sz val="12"/>
        <rFont val="ＭＳ Ｐゴシック"/>
        <family val="3"/>
        <charset val="128"/>
      </rPr>
      <t>　　　</t>
    </r>
    <r>
      <rPr>
        <sz val="12"/>
        <rFont val="Arial"/>
        <family val="2"/>
      </rPr>
      <t>Rubber-77%/Polyester-23%</t>
    </r>
    <phoneticPr fontId="4"/>
  </si>
  <si>
    <t>11754</t>
    <phoneticPr fontId="4"/>
  </si>
  <si>
    <t xml:space="preserve"># 84 Black </t>
    <phoneticPr fontId="4"/>
  </si>
  <si>
    <t>S-1462</t>
    <phoneticPr fontId="4"/>
  </si>
  <si>
    <r>
      <rPr>
        <sz val="12"/>
        <rFont val="ＭＳ Ｐゴシック"/>
        <family val="3"/>
        <charset val="128"/>
      </rPr>
      <t>黒</t>
    </r>
    <r>
      <rPr>
        <sz val="12"/>
        <rFont val="Arial"/>
        <family val="2"/>
      </rPr>
      <t xml:space="preserve"> 7.8</t>
    </r>
    <rPh sb="0" eb="1">
      <t>クロ</t>
    </rPh>
    <phoneticPr fontId="4"/>
  </si>
  <si>
    <r>
      <rPr>
        <sz val="12"/>
        <rFont val="ＭＳ Ｐゴシック"/>
        <family val="3"/>
        <charset val="128"/>
      </rPr>
      <t>カラー</t>
    </r>
    <r>
      <rPr>
        <sz val="12"/>
        <rFont val="Arial"/>
        <family val="2"/>
      </rPr>
      <t>9.6</t>
    </r>
    <phoneticPr fontId="4"/>
  </si>
  <si>
    <t>Stretch Grosgrain Ribbon  Polyester-80%/Polyurethane-20%</t>
  </si>
  <si>
    <t>11755</t>
    <phoneticPr fontId="4"/>
  </si>
  <si>
    <t>9 mmx2</t>
    <phoneticPr fontId="4"/>
  </si>
  <si>
    <t>MJ-200723</t>
    <phoneticPr fontId="4"/>
  </si>
  <si>
    <t>FWL-71306</t>
    <phoneticPr fontId="4"/>
  </si>
  <si>
    <t>S-1514</t>
    <phoneticPr fontId="4"/>
  </si>
  <si>
    <t>FWL-23130</t>
    <phoneticPr fontId="4"/>
  </si>
  <si>
    <t xml:space="preserve">Dye 70 </t>
    <phoneticPr fontId="4"/>
  </si>
  <si>
    <t>12058</t>
    <phoneticPr fontId="4"/>
  </si>
  <si>
    <t>S-1552</t>
    <phoneticPr fontId="4"/>
  </si>
  <si>
    <t xml:space="preserve">Trim Lace </t>
    <phoneticPr fontId="4"/>
  </si>
  <si>
    <t>伝票</t>
    <rPh sb="0" eb="2">
      <t>デンピョウ</t>
    </rPh>
    <phoneticPr fontId="4"/>
  </si>
  <si>
    <t>MJ-200831</t>
    <phoneticPr fontId="4"/>
  </si>
  <si>
    <t>FWL-21455</t>
    <phoneticPr fontId="4"/>
  </si>
  <si>
    <t>S-1593</t>
    <phoneticPr fontId="4"/>
  </si>
  <si>
    <t xml:space="preserve">OK </t>
    <phoneticPr fontId="4"/>
  </si>
  <si>
    <t>FWL-23430</t>
  </si>
  <si>
    <t>FWL-71028</t>
  </si>
  <si>
    <t xml:space="preserve">DTM Ivory </t>
    <phoneticPr fontId="4"/>
  </si>
  <si>
    <t>MJ-200831</t>
  </si>
  <si>
    <t>FWL-71006</t>
  </si>
  <si>
    <t>FWL-71445</t>
  </si>
  <si>
    <t>FWL-24226</t>
  </si>
  <si>
    <t>FWL-71109</t>
  </si>
  <si>
    <t>S-1593</t>
  </si>
  <si>
    <t>FWL-71511</t>
    <phoneticPr fontId="4"/>
  </si>
  <si>
    <t>FWL-71318</t>
    <phoneticPr fontId="4"/>
  </si>
  <si>
    <t>FWL-22677-11</t>
    <phoneticPr fontId="4"/>
  </si>
  <si>
    <t>FWL-22749-11</t>
    <phoneticPr fontId="4"/>
  </si>
  <si>
    <t>FWL-22803-11</t>
    <phoneticPr fontId="4"/>
  </si>
  <si>
    <t>FWL-22021-11</t>
    <phoneticPr fontId="4"/>
  </si>
  <si>
    <t>FWL-21945-11</t>
    <phoneticPr fontId="4"/>
  </si>
  <si>
    <t xml:space="preserve">FWL-71087 ?? </t>
    <phoneticPr fontId="4"/>
  </si>
  <si>
    <t xml:space="preserve">DISREGARD </t>
    <phoneticPr fontId="4"/>
  </si>
  <si>
    <t xml:space="preserve">FWL-78001 </t>
    <phoneticPr fontId="4"/>
  </si>
  <si>
    <t xml:space="preserve">FWL-78006 </t>
    <phoneticPr fontId="4"/>
  </si>
  <si>
    <t xml:space="preserve">FWL-2831 </t>
    <phoneticPr fontId="4"/>
  </si>
  <si>
    <t>FWL-71504</t>
    <phoneticPr fontId="4"/>
  </si>
  <si>
    <t>FWL-71214</t>
    <phoneticPr fontId="4"/>
  </si>
  <si>
    <t>FWL-23585</t>
    <phoneticPr fontId="4"/>
  </si>
  <si>
    <t>FWL-78050</t>
    <phoneticPr fontId="4"/>
  </si>
  <si>
    <t>FWL-78026</t>
    <phoneticPr fontId="4"/>
  </si>
  <si>
    <t>FWL-22236s</t>
    <phoneticPr fontId="4"/>
  </si>
  <si>
    <t>FWL-23504s</t>
    <phoneticPr fontId="4"/>
  </si>
  <si>
    <t>FWL-31061</t>
    <phoneticPr fontId="4"/>
  </si>
  <si>
    <t xml:space="preserve">Off White x Black </t>
    <phoneticPr fontId="4"/>
  </si>
  <si>
    <t>FWL-66048s</t>
    <phoneticPr fontId="4"/>
  </si>
  <si>
    <t>FWL-22446</t>
    <phoneticPr fontId="4"/>
  </si>
  <si>
    <t>FWL-71502</t>
    <phoneticPr fontId="4"/>
  </si>
  <si>
    <t>FWL-23114</t>
    <phoneticPr fontId="4"/>
  </si>
  <si>
    <t>FWL-21656</t>
    <phoneticPr fontId="4"/>
  </si>
  <si>
    <t>FWL-21051</t>
    <phoneticPr fontId="4"/>
  </si>
  <si>
    <t>FWL-69025</t>
    <phoneticPr fontId="4"/>
  </si>
  <si>
    <t>PFD×BLACK</t>
    <phoneticPr fontId="4"/>
  </si>
  <si>
    <t>在庫無しの為、キャンセル</t>
    <rPh sb="0" eb="2">
      <t>ザイコ</t>
    </rPh>
    <rPh sb="2" eb="3">
      <t>ナ</t>
    </rPh>
    <rPh sb="5" eb="6">
      <t>タメ</t>
    </rPh>
    <phoneticPr fontId="4"/>
  </si>
  <si>
    <t>FWL-61127</t>
    <phoneticPr fontId="4"/>
  </si>
  <si>
    <t>1SILVER×11KHAKI</t>
    <phoneticPr fontId="4"/>
  </si>
  <si>
    <t>FWL-71162</t>
    <phoneticPr fontId="4"/>
  </si>
  <si>
    <t xml:space="preserve">KYL-875006SL19 </t>
    <phoneticPr fontId="4"/>
  </si>
  <si>
    <t xml:space="preserve">KYL-875006SL17 </t>
    <phoneticPr fontId="4"/>
  </si>
  <si>
    <t>KYL-25218</t>
    <phoneticPr fontId="4"/>
  </si>
  <si>
    <t>DISCON</t>
    <phoneticPr fontId="4"/>
  </si>
  <si>
    <t>KYL-Y2352</t>
    <phoneticPr fontId="4"/>
  </si>
  <si>
    <t>KYL-Y2349</t>
    <phoneticPr fontId="4"/>
  </si>
  <si>
    <t>KYL-Y2350</t>
    <phoneticPr fontId="4"/>
  </si>
  <si>
    <t>OL-69026</t>
    <phoneticPr fontId="4"/>
  </si>
  <si>
    <t>OL-574229-1</t>
    <phoneticPr fontId="4"/>
  </si>
  <si>
    <t>OL-582003-1</t>
    <phoneticPr fontId="4"/>
  </si>
  <si>
    <t>OL-354480-1</t>
    <phoneticPr fontId="4"/>
  </si>
  <si>
    <t>OL-354479-1</t>
    <phoneticPr fontId="4"/>
  </si>
  <si>
    <t>OL-354505-1</t>
    <phoneticPr fontId="4"/>
  </si>
  <si>
    <t>OL-354506-1</t>
    <phoneticPr fontId="4"/>
  </si>
  <si>
    <t>OL-6686-1</t>
    <phoneticPr fontId="4"/>
  </si>
  <si>
    <t>OL-62455-1</t>
    <phoneticPr fontId="4"/>
  </si>
  <si>
    <t>OL-63222</t>
    <phoneticPr fontId="4"/>
  </si>
  <si>
    <t>OL-69009</t>
    <phoneticPr fontId="4"/>
  </si>
  <si>
    <t>OL-62555-1</t>
    <phoneticPr fontId="4"/>
  </si>
  <si>
    <t>FLR-55318</t>
    <phoneticPr fontId="4"/>
  </si>
  <si>
    <t>TRL-247605 ??</t>
    <phoneticPr fontId="4"/>
  </si>
  <si>
    <t>DS-1405</t>
    <phoneticPr fontId="4"/>
  </si>
  <si>
    <t>DS-5252</t>
    <phoneticPr fontId="4"/>
  </si>
  <si>
    <t>廃番商品の為、キャンセル</t>
    <rPh sb="0" eb="2">
      <t>ハイバン</t>
    </rPh>
    <rPh sb="2" eb="4">
      <t>ショウヒン</t>
    </rPh>
    <rPh sb="5" eb="6">
      <t>タメ</t>
    </rPh>
    <phoneticPr fontId="4"/>
  </si>
  <si>
    <t>EL-200925</t>
    <phoneticPr fontId="4"/>
  </si>
  <si>
    <t>2187</t>
    <phoneticPr fontId="4"/>
  </si>
  <si>
    <t>S-1673</t>
    <phoneticPr fontId="4"/>
  </si>
  <si>
    <t xml:space="preserve">Cut Jacquard Fabric    100% Polyester </t>
    <phoneticPr fontId="4"/>
  </si>
  <si>
    <t>EL-201009</t>
    <phoneticPr fontId="4"/>
  </si>
  <si>
    <t>FUT8282 (D/# K-3 )</t>
    <phoneticPr fontId="4"/>
  </si>
  <si>
    <t>110/112cm</t>
    <phoneticPr fontId="4"/>
  </si>
  <si>
    <t>Col. 20 Black</t>
    <phoneticPr fontId="4"/>
  </si>
  <si>
    <t>S-1637</t>
    <phoneticPr fontId="4"/>
  </si>
  <si>
    <r>
      <t>Cutting Fee (</t>
    </r>
    <r>
      <rPr>
        <sz val="12"/>
        <rFont val="ＭＳ Ｐゴシック"/>
        <family val="3"/>
        <charset val="128"/>
      </rPr>
      <t>€</t>
    </r>
    <r>
      <rPr>
        <sz val="12"/>
        <rFont val="Arial"/>
        <family val="2"/>
      </rPr>
      <t xml:space="preserve"> 3.00 / m )</t>
    </r>
    <phoneticPr fontId="4"/>
  </si>
  <si>
    <r>
      <t xml:space="preserve">2192 </t>
    </r>
    <r>
      <rPr>
        <sz val="12"/>
        <color indexed="10"/>
        <rFont val="Arial"/>
        <family val="2"/>
      </rPr>
      <t>Thailand</t>
    </r>
    <phoneticPr fontId="4"/>
  </si>
  <si>
    <t>AM-201022</t>
    <phoneticPr fontId="4"/>
  </si>
  <si>
    <t>DS 2448</t>
    <phoneticPr fontId="4"/>
  </si>
  <si>
    <t>S-1659</t>
    <phoneticPr fontId="4"/>
  </si>
  <si>
    <t>AM-201026</t>
    <phoneticPr fontId="4"/>
  </si>
  <si>
    <t>S-1672</t>
    <phoneticPr fontId="4"/>
  </si>
  <si>
    <t>DS 1046</t>
    <phoneticPr fontId="4"/>
  </si>
  <si>
    <t>DS 1557</t>
    <phoneticPr fontId="4"/>
  </si>
  <si>
    <t>FWL-21874</t>
    <phoneticPr fontId="4"/>
  </si>
  <si>
    <t>FWL-71275</t>
    <phoneticPr fontId="4"/>
  </si>
  <si>
    <t>FWL-71317</t>
    <phoneticPr fontId="4"/>
  </si>
  <si>
    <t>KYL-8494</t>
    <phoneticPr fontId="4"/>
  </si>
  <si>
    <t>PR-201106</t>
    <phoneticPr fontId="4"/>
  </si>
  <si>
    <t>S-1685</t>
    <phoneticPr fontId="4"/>
  </si>
  <si>
    <r>
      <rPr>
        <sz val="12"/>
        <color indexed="8"/>
        <rFont val="ＭＳ Ｐゴシック"/>
        <family val="3"/>
        <charset val="128"/>
      </rPr>
      <t>通常</t>
    </r>
    <r>
      <rPr>
        <sz val="12"/>
        <color indexed="8"/>
        <rFont val="Arial"/>
        <family val="2"/>
      </rPr>
      <t xml:space="preserve"> 36.38 </t>
    </r>
    <rPh sb="0" eb="2">
      <t>ツウジョウ</t>
    </rPh>
    <phoneticPr fontId="4"/>
  </si>
  <si>
    <t>Double Face Velveteen Ribbons  Rayon-80%/Nylon-20%</t>
    <phoneticPr fontId="4"/>
  </si>
  <si>
    <t># 5 Black</t>
    <phoneticPr fontId="4"/>
  </si>
  <si>
    <t xml:space="preserve">Satin Velveteen Ribbons  Rayon-55%/Polyester-45%  </t>
  </si>
  <si>
    <t>VK-201106</t>
    <phoneticPr fontId="4"/>
  </si>
  <si>
    <r>
      <rPr>
        <sz val="12"/>
        <rFont val="ＭＳ Ｐゴシック"/>
        <family val="3"/>
        <charset val="128"/>
      </rPr>
      <t>通常</t>
    </r>
    <r>
      <rPr>
        <sz val="12"/>
        <rFont val="Arial"/>
        <family val="2"/>
      </rPr>
      <t xml:space="preserve">158 </t>
    </r>
    <r>
      <rPr>
        <sz val="12"/>
        <rFont val="ＭＳ Ｐゴシック"/>
        <family val="3"/>
        <charset val="128"/>
      </rPr>
      <t>バルク</t>
    </r>
    <r>
      <rPr>
        <sz val="12"/>
        <rFont val="Arial"/>
        <family val="2"/>
      </rPr>
      <t>153(300m/col-)</t>
    </r>
    <rPh sb="0" eb="2">
      <t>ツウジョウ</t>
    </rPh>
    <phoneticPr fontId="4"/>
  </si>
  <si>
    <t>PR-201111</t>
    <phoneticPr fontId="4"/>
  </si>
  <si>
    <t xml:space="preserve">Collar Lace Motif </t>
    <phoneticPr fontId="4"/>
  </si>
  <si>
    <t>S-1694</t>
    <phoneticPr fontId="4"/>
  </si>
  <si>
    <t>OL-365110</t>
    <phoneticPr fontId="4"/>
  </si>
  <si>
    <t>OL-365139</t>
    <phoneticPr fontId="4"/>
  </si>
  <si>
    <t>PMZM-201112</t>
    <phoneticPr fontId="4"/>
  </si>
  <si>
    <t xml:space="preserve">PARMAMODA SRL ( Zuhair Murad ) </t>
    <phoneticPr fontId="4"/>
  </si>
  <si>
    <t>S-1699</t>
    <phoneticPr fontId="4"/>
  </si>
  <si>
    <t>FUT0336 (D/# 1 )</t>
    <phoneticPr fontId="4"/>
  </si>
  <si>
    <t>630+20</t>
    <phoneticPr fontId="4"/>
  </si>
  <si>
    <t>Col. 11 Off White</t>
    <phoneticPr fontId="4"/>
  </si>
  <si>
    <r>
      <t>Cutting Fee (</t>
    </r>
    <r>
      <rPr>
        <sz val="12"/>
        <rFont val="ＭＳ Ｐゴシック"/>
        <family val="3"/>
        <charset val="128"/>
      </rPr>
      <t>€</t>
    </r>
    <r>
      <rPr>
        <sz val="12"/>
        <rFont val="Arial"/>
        <family val="2"/>
      </rPr>
      <t xml:space="preserve"> 15 / color )</t>
    </r>
    <phoneticPr fontId="4"/>
  </si>
  <si>
    <t>AM-201117</t>
    <phoneticPr fontId="4"/>
  </si>
  <si>
    <t>S-1707</t>
    <phoneticPr fontId="4"/>
  </si>
  <si>
    <t>KYL-23398-1</t>
    <phoneticPr fontId="4"/>
  </si>
  <si>
    <t>20/0000520</t>
    <phoneticPr fontId="4"/>
  </si>
  <si>
    <t>S-1715</t>
    <phoneticPr fontId="4"/>
  </si>
  <si>
    <t>BP-201124</t>
    <phoneticPr fontId="4"/>
  </si>
  <si>
    <t>S-1720</t>
    <phoneticPr fontId="4"/>
  </si>
  <si>
    <t>PR-201221</t>
    <phoneticPr fontId="4"/>
  </si>
  <si>
    <t>S-1774</t>
    <phoneticPr fontId="4"/>
  </si>
  <si>
    <r>
      <t xml:space="preserve">AM-201209 </t>
    </r>
    <r>
      <rPr>
        <sz val="12"/>
        <color indexed="10"/>
        <rFont val="Arial"/>
        <family val="2"/>
      </rPr>
      <t>China</t>
    </r>
    <r>
      <rPr>
        <sz val="12"/>
        <rFont val="Arial"/>
        <family val="2"/>
      </rPr>
      <t xml:space="preserve"> </t>
    </r>
    <phoneticPr fontId="4"/>
  </si>
  <si>
    <t>S-1747</t>
    <phoneticPr fontId="4"/>
  </si>
  <si>
    <t>SAM99</t>
    <phoneticPr fontId="4"/>
  </si>
  <si>
    <t xml:space="preserve">Casablanca Paris </t>
    <phoneticPr fontId="4"/>
  </si>
  <si>
    <t>S-1766</t>
    <phoneticPr fontId="4"/>
  </si>
  <si>
    <t xml:space="preserve"># 320 Nude </t>
    <phoneticPr fontId="4"/>
  </si>
  <si>
    <t xml:space="preserve"># 315 Cocoa </t>
    <phoneticPr fontId="4"/>
  </si>
  <si>
    <t>Cutting Fee (US$ 15 / cut )</t>
    <phoneticPr fontId="4"/>
  </si>
  <si>
    <r>
      <t xml:space="preserve">2205 </t>
    </r>
    <r>
      <rPr>
        <sz val="12"/>
        <color indexed="10"/>
        <rFont val="Arial"/>
        <family val="2"/>
      </rPr>
      <t>Thailand</t>
    </r>
    <phoneticPr fontId="4"/>
  </si>
  <si>
    <r>
      <t xml:space="preserve">2215 </t>
    </r>
    <r>
      <rPr>
        <sz val="12"/>
        <color indexed="10"/>
        <rFont val="Arial"/>
        <family val="2"/>
      </rPr>
      <t>Thailand</t>
    </r>
    <phoneticPr fontId="4"/>
  </si>
  <si>
    <t>OG-210203</t>
    <phoneticPr fontId="4"/>
  </si>
  <si>
    <t>Officine Generale</t>
    <phoneticPr fontId="4"/>
  </si>
  <si>
    <t>Trim Lace</t>
    <phoneticPr fontId="4"/>
  </si>
  <si>
    <t xml:space="preserve">OL-69025 </t>
    <phoneticPr fontId="4"/>
  </si>
  <si>
    <t>FLR-55257</t>
    <phoneticPr fontId="4"/>
  </si>
  <si>
    <t>FLR-72200</t>
    <phoneticPr fontId="4"/>
  </si>
  <si>
    <t>Cut Fee for FLR-72200</t>
    <phoneticPr fontId="4"/>
  </si>
  <si>
    <t>000018394</t>
    <phoneticPr fontId="4"/>
  </si>
  <si>
    <t># 17 Blanc Lait</t>
    <phoneticPr fontId="4"/>
  </si>
  <si>
    <t xml:space="preserve"># 64 Marine </t>
    <phoneticPr fontId="4"/>
  </si>
  <si>
    <t>SS22-05</t>
    <phoneticPr fontId="4"/>
  </si>
  <si>
    <t>T2023</t>
    <phoneticPr fontId="4"/>
  </si>
  <si>
    <t xml:space="preserve"># 16 Orange </t>
    <phoneticPr fontId="4"/>
  </si>
  <si>
    <t xml:space="preserve"># 115 Blue  </t>
    <phoneticPr fontId="4"/>
  </si>
  <si>
    <t>FOS22SUNC027</t>
    <phoneticPr fontId="4"/>
  </si>
  <si>
    <t>21/0000236</t>
    <phoneticPr fontId="4"/>
  </si>
  <si>
    <r>
      <t xml:space="preserve">PO-00205 </t>
    </r>
    <r>
      <rPr>
        <sz val="12"/>
        <color indexed="10"/>
        <rFont val="Arial"/>
        <family val="2"/>
      </rPr>
      <t>Slovenia</t>
    </r>
    <phoneticPr fontId="4"/>
  </si>
  <si>
    <t>13974</t>
    <phoneticPr fontId="4"/>
  </si>
  <si>
    <t>SS22-08</t>
    <phoneticPr fontId="4"/>
  </si>
  <si>
    <t>OF</t>
    <phoneticPr fontId="4"/>
  </si>
  <si>
    <t>PR-210323</t>
    <phoneticPr fontId="4"/>
  </si>
  <si>
    <t xml:space="preserve">Collar Lace </t>
    <phoneticPr fontId="4"/>
  </si>
  <si>
    <t>OL-376009-1</t>
    <phoneticPr fontId="4"/>
  </si>
  <si>
    <t>OL-366046-1</t>
    <phoneticPr fontId="4"/>
  </si>
  <si>
    <t>OL-362569-1</t>
    <phoneticPr fontId="4"/>
  </si>
  <si>
    <t>OL-366047-1</t>
    <phoneticPr fontId="4"/>
  </si>
  <si>
    <t xml:space="preserve"> Motif Lace</t>
    <phoneticPr fontId="4"/>
  </si>
  <si>
    <t>(per pair)</t>
    <phoneticPr fontId="4"/>
  </si>
  <si>
    <t>KYL-T29087</t>
    <phoneticPr fontId="4"/>
  </si>
  <si>
    <t>KYL-49045</t>
    <phoneticPr fontId="4"/>
  </si>
  <si>
    <t>ZP/TJ-210416</t>
    <phoneticPr fontId="4"/>
  </si>
  <si>
    <t>Zapa/Tara Jarmon</t>
    <phoneticPr fontId="4"/>
  </si>
  <si>
    <t>DS-746</t>
    <phoneticPr fontId="4"/>
  </si>
  <si>
    <t>FWL-22017</t>
    <phoneticPr fontId="4"/>
  </si>
  <si>
    <t xml:space="preserve">DS-30095A </t>
    <phoneticPr fontId="4"/>
  </si>
  <si>
    <t># A</t>
    <phoneticPr fontId="4"/>
  </si>
  <si>
    <t>FWL-21720</t>
    <phoneticPr fontId="4"/>
  </si>
  <si>
    <t>OL-356139</t>
    <phoneticPr fontId="4"/>
  </si>
  <si>
    <t>OL-356144-1</t>
    <phoneticPr fontId="4"/>
  </si>
  <si>
    <t>SS22-26</t>
    <phoneticPr fontId="4"/>
  </si>
  <si>
    <t># 21 Pink</t>
    <phoneticPr fontId="4"/>
  </si>
  <si>
    <t># 120 Lilac</t>
    <phoneticPr fontId="4"/>
  </si>
  <si>
    <t xml:space="preserve"># 111 Electric Blue </t>
    <phoneticPr fontId="4"/>
  </si>
  <si>
    <t>000018846</t>
    <phoneticPr fontId="4"/>
  </si>
  <si>
    <t># 2 Gris</t>
    <phoneticPr fontId="4"/>
  </si>
  <si>
    <t>ML-210506</t>
    <phoneticPr fontId="4"/>
  </si>
  <si>
    <t xml:space="preserve">Marie Laporte </t>
    <phoneticPr fontId="4"/>
  </si>
  <si>
    <t xml:space="preserve">100% Cotton Fabric </t>
    <phoneticPr fontId="4"/>
  </si>
  <si>
    <t>ML-210513</t>
    <phoneticPr fontId="4"/>
  </si>
  <si>
    <t>Marie Laporte</t>
  </si>
  <si>
    <t xml:space="preserve">KYL-23396 </t>
    <phoneticPr fontId="4"/>
  </si>
  <si>
    <t>KYL-23703-1</t>
    <phoneticPr fontId="4"/>
  </si>
  <si>
    <t>KYL-25418</t>
    <phoneticPr fontId="4"/>
  </si>
  <si>
    <t>ML-210513</t>
  </si>
  <si>
    <t xml:space="preserve">OL-89034 </t>
    <phoneticPr fontId="4"/>
  </si>
  <si>
    <t>OL-574166 -1</t>
    <phoneticPr fontId="4"/>
  </si>
  <si>
    <t xml:space="preserve">OL-62636 </t>
    <phoneticPr fontId="4"/>
  </si>
  <si>
    <t xml:space="preserve">OL-68000 </t>
    <phoneticPr fontId="4"/>
  </si>
  <si>
    <t xml:space="preserve">OL-62535-1 </t>
    <phoneticPr fontId="4"/>
  </si>
  <si>
    <t>OL-572023</t>
    <phoneticPr fontId="4"/>
  </si>
  <si>
    <t xml:space="preserve">KYL-23398-1 </t>
    <phoneticPr fontId="4"/>
  </si>
  <si>
    <t xml:space="preserve">OL-232005 </t>
    <phoneticPr fontId="4"/>
  </si>
  <si>
    <t>SS22-64</t>
    <phoneticPr fontId="4"/>
  </si>
  <si>
    <t>MJ-210518</t>
    <phoneticPr fontId="4"/>
  </si>
  <si>
    <t>KYL-23350</t>
    <phoneticPr fontId="4"/>
  </si>
  <si>
    <t>SS22-80</t>
    <phoneticPr fontId="4"/>
  </si>
  <si>
    <t xml:space="preserve"># KW </t>
    <phoneticPr fontId="4"/>
  </si>
  <si>
    <t>MJ-210601</t>
    <phoneticPr fontId="4"/>
  </si>
  <si>
    <t>品番間違い</t>
    <rPh sb="0" eb="2">
      <t>ヒンバン</t>
    </rPh>
    <rPh sb="2" eb="4">
      <t>マチガ</t>
    </rPh>
    <phoneticPr fontId="4"/>
  </si>
  <si>
    <t>KYL-24095</t>
    <phoneticPr fontId="4"/>
  </si>
  <si>
    <t>MRK-210602</t>
    <phoneticPr fontId="4"/>
  </si>
  <si>
    <t xml:space="preserve">Maison Rabih Kayrouz </t>
    <phoneticPr fontId="4"/>
  </si>
  <si>
    <t>FLR-85047</t>
    <phoneticPr fontId="4"/>
  </si>
  <si>
    <t>3209-REV</t>
    <phoneticPr fontId="4"/>
  </si>
  <si>
    <t>FWL-24095</t>
    <phoneticPr fontId="4"/>
  </si>
  <si>
    <t>VL-210608</t>
    <phoneticPr fontId="4"/>
  </si>
  <si>
    <t>Veronique Leroy</t>
    <phoneticPr fontId="4"/>
  </si>
  <si>
    <t xml:space="preserve">Binder Tape    100% Wool </t>
    <phoneticPr fontId="4"/>
  </si>
  <si>
    <t>通常価格70.50</t>
    <rPh sb="0" eb="2">
      <t>ツウジョウ</t>
    </rPh>
    <rPh sb="2" eb="4">
      <t>カカク</t>
    </rPh>
    <phoneticPr fontId="4"/>
  </si>
  <si>
    <t># 7</t>
    <phoneticPr fontId="4"/>
  </si>
  <si>
    <t>RJ-210610</t>
    <phoneticPr fontId="4"/>
  </si>
  <si>
    <t>Rouje</t>
    <phoneticPr fontId="4"/>
  </si>
  <si>
    <r>
      <t xml:space="preserve">2227 </t>
    </r>
    <r>
      <rPr>
        <sz val="12"/>
        <color indexed="10"/>
        <rFont val="Arial"/>
        <family val="2"/>
      </rPr>
      <t>Thailand</t>
    </r>
    <phoneticPr fontId="4"/>
  </si>
  <si>
    <t>CP-210625</t>
    <phoneticPr fontId="4"/>
  </si>
  <si>
    <t>UPS Freight Fee</t>
    <phoneticPr fontId="4"/>
  </si>
  <si>
    <t>MJ-210707</t>
    <phoneticPr fontId="4"/>
  </si>
  <si>
    <t>FWL-22683</t>
    <phoneticPr fontId="4"/>
  </si>
  <si>
    <t>MJ-210719</t>
    <phoneticPr fontId="4"/>
  </si>
  <si>
    <t>FWL-21482</t>
    <phoneticPr fontId="4"/>
  </si>
  <si>
    <t>FWL-2990</t>
  </si>
  <si>
    <t>000019065</t>
    <phoneticPr fontId="4"/>
  </si>
  <si>
    <t>ML-210728</t>
    <phoneticPr fontId="4"/>
  </si>
  <si>
    <t>ML-210728</t>
  </si>
  <si>
    <t xml:space="preserve">Lace Fabric  100% Cotton </t>
    <phoneticPr fontId="4"/>
  </si>
  <si>
    <t>OL-232002</t>
    <phoneticPr fontId="4"/>
  </si>
  <si>
    <t>OL-232003</t>
    <phoneticPr fontId="4"/>
  </si>
  <si>
    <r>
      <t xml:space="preserve">2287 </t>
    </r>
    <r>
      <rPr>
        <sz val="12"/>
        <color indexed="10"/>
        <rFont val="Arial"/>
        <family val="2"/>
      </rPr>
      <t>Thailand</t>
    </r>
    <phoneticPr fontId="4"/>
  </si>
  <si>
    <t>OL-44157-1</t>
    <phoneticPr fontId="4"/>
  </si>
  <si>
    <r>
      <t xml:space="preserve">2296 </t>
    </r>
    <r>
      <rPr>
        <sz val="12"/>
        <color indexed="10"/>
        <rFont val="Arial"/>
        <family val="2"/>
      </rPr>
      <t>Thailand</t>
    </r>
    <phoneticPr fontId="4"/>
  </si>
  <si>
    <t>00014</t>
    <phoneticPr fontId="4"/>
  </si>
  <si>
    <t>VL-210806</t>
    <phoneticPr fontId="4"/>
  </si>
  <si>
    <t># 39</t>
    <phoneticPr fontId="4"/>
  </si>
  <si>
    <t># 111</t>
    <phoneticPr fontId="4"/>
  </si>
  <si>
    <r>
      <t>Stretch</t>
    </r>
    <r>
      <rPr>
        <sz val="12"/>
        <rFont val="ＭＳ Ｐゴシック"/>
        <family val="3"/>
        <charset val="128"/>
      </rPr>
      <t>　</t>
    </r>
    <r>
      <rPr>
        <sz val="12"/>
        <rFont val="Arial"/>
        <family val="2"/>
      </rPr>
      <t>Binding Tape   Nylon 97%</t>
    </r>
    <r>
      <rPr>
        <sz val="12"/>
        <rFont val="ＭＳ Ｐゴシック"/>
        <family val="3"/>
        <charset val="128"/>
      </rPr>
      <t>，</t>
    </r>
    <r>
      <rPr>
        <sz val="12"/>
        <rFont val="Arial"/>
        <family val="2"/>
      </rPr>
      <t>Polyurethane 3%</t>
    </r>
    <phoneticPr fontId="4"/>
  </si>
  <si>
    <t>10mm x 2</t>
    <phoneticPr fontId="4"/>
  </si>
  <si>
    <t>社内在庫</t>
    <rPh sb="0" eb="2">
      <t>シャナイ</t>
    </rPh>
    <rPh sb="2" eb="4">
      <t>ザイコ</t>
    </rPh>
    <phoneticPr fontId="4"/>
  </si>
  <si>
    <t>HNF-210810</t>
    <phoneticPr fontId="4"/>
  </si>
  <si>
    <t>Hangzhou Nahe Fashion Co.,Ltd ( Maje)</t>
    <phoneticPr fontId="4"/>
  </si>
  <si>
    <t>FOS22SUNP176</t>
    <phoneticPr fontId="4"/>
  </si>
  <si>
    <t>MJ-210909</t>
    <phoneticPr fontId="4"/>
  </si>
  <si>
    <t xml:space="preserve">Trim sample  </t>
    <phoneticPr fontId="4"/>
  </si>
  <si>
    <t xml:space="preserve">Col. 62 </t>
    <phoneticPr fontId="4"/>
  </si>
  <si>
    <t xml:space="preserve">Col.20 </t>
    <phoneticPr fontId="4"/>
  </si>
  <si>
    <t>OL-61677-1</t>
    <phoneticPr fontId="4"/>
  </si>
  <si>
    <t>OL-356112-1</t>
    <phoneticPr fontId="4"/>
  </si>
  <si>
    <t xml:space="preserve">Col. C </t>
    <phoneticPr fontId="4"/>
  </si>
  <si>
    <t>MJ-210909</t>
  </si>
  <si>
    <t>Black x Greige</t>
    <phoneticPr fontId="4"/>
  </si>
  <si>
    <t xml:space="preserve">FWL-81793  </t>
    <phoneticPr fontId="4"/>
  </si>
  <si>
    <t>Black &amp; AW201</t>
    <phoneticPr fontId="4"/>
  </si>
  <si>
    <t>FLR-55320</t>
    <phoneticPr fontId="4"/>
  </si>
  <si>
    <t xml:space="preserve">KYL-23660     </t>
    <phoneticPr fontId="4"/>
  </si>
  <si>
    <t>KYL-875012SL6</t>
    <phoneticPr fontId="4"/>
  </si>
  <si>
    <t>KYL-875012SL5</t>
    <phoneticPr fontId="4"/>
  </si>
  <si>
    <t>Silver x Blue</t>
    <phoneticPr fontId="4"/>
  </si>
  <si>
    <t> KYL-875012SL4</t>
    <phoneticPr fontId="4"/>
  </si>
  <si>
    <t>Silver x Pink</t>
    <phoneticPr fontId="4"/>
  </si>
  <si>
    <t xml:space="preserve"> KYL-875012SL1</t>
    <phoneticPr fontId="4"/>
  </si>
  <si>
    <t>Silver x Beige</t>
    <phoneticPr fontId="4"/>
  </si>
  <si>
    <t>KYL-875012S</t>
    <phoneticPr fontId="4"/>
  </si>
  <si>
    <t>Silver</t>
    <phoneticPr fontId="4"/>
  </si>
  <si>
    <t>KYL-875008SL7</t>
    <phoneticPr fontId="4"/>
  </si>
  <si>
    <t>KYL-875008SL4</t>
    <phoneticPr fontId="4"/>
  </si>
  <si>
    <t>KYL-875008SL1</t>
    <phoneticPr fontId="4"/>
  </si>
  <si>
    <t>KYL-875008S</t>
    <phoneticPr fontId="4"/>
  </si>
  <si>
    <t>KYL-25489</t>
    <phoneticPr fontId="4"/>
  </si>
  <si>
    <t>KYL-2022</t>
    <phoneticPr fontId="4"/>
  </si>
  <si>
    <t>KYL-2024</t>
    <phoneticPr fontId="4"/>
  </si>
  <si>
    <t>KYL-2023</t>
    <phoneticPr fontId="4"/>
  </si>
  <si>
    <t>KYL-25572</t>
    <phoneticPr fontId="4"/>
  </si>
  <si>
    <t xml:space="preserve">KYL-2432-1  </t>
    <phoneticPr fontId="4"/>
  </si>
  <si>
    <t>DTM R01</t>
    <phoneticPr fontId="4"/>
  </si>
  <si>
    <t>DTM R02</t>
    <phoneticPr fontId="4"/>
  </si>
  <si>
    <t xml:space="preserve">DTM R03 </t>
    <phoneticPr fontId="4"/>
  </si>
  <si>
    <t>DTM Aqua haze</t>
    <phoneticPr fontId="4"/>
  </si>
  <si>
    <t>DTM Dazzling blue</t>
    <phoneticPr fontId="4"/>
  </si>
  <si>
    <t>KYL-25577    </t>
    <phoneticPr fontId="4"/>
  </si>
  <si>
    <t>DTM APRICOT</t>
    <phoneticPr fontId="4"/>
  </si>
  <si>
    <t>DTM LILAC</t>
    <phoneticPr fontId="4"/>
  </si>
  <si>
    <t xml:space="preserve">Col. 4 Black </t>
    <phoneticPr fontId="4"/>
  </si>
  <si>
    <t xml:space="preserve">Col. 2 Off </t>
    <phoneticPr fontId="4"/>
  </si>
  <si>
    <t>HNF-210915</t>
    <phoneticPr fontId="4"/>
  </si>
  <si>
    <t>21MJ559</t>
    <phoneticPr fontId="4"/>
  </si>
  <si>
    <t xml:space="preserve">CIF </t>
    <phoneticPr fontId="4"/>
  </si>
  <si>
    <t>LC-210921</t>
    <phoneticPr fontId="4"/>
  </si>
  <si>
    <t>LISE CHARMEL</t>
    <phoneticPr fontId="4"/>
  </si>
  <si>
    <t xml:space="preserve">Lace Sample </t>
    <phoneticPr fontId="4"/>
  </si>
  <si>
    <t>MJ-210924</t>
    <phoneticPr fontId="4"/>
  </si>
  <si>
    <r>
      <t xml:space="preserve">2315 </t>
    </r>
    <r>
      <rPr>
        <sz val="12"/>
        <color indexed="10"/>
        <rFont val="Arial"/>
        <family val="2"/>
      </rPr>
      <t>Thailand</t>
    </r>
    <phoneticPr fontId="4"/>
  </si>
  <si>
    <r>
      <t xml:space="preserve">2325 </t>
    </r>
    <r>
      <rPr>
        <sz val="12"/>
        <color indexed="10"/>
        <rFont val="Arial"/>
        <family val="2"/>
      </rPr>
      <t>Thailand</t>
    </r>
    <phoneticPr fontId="4"/>
  </si>
  <si>
    <r>
      <t xml:space="preserve">2325 </t>
    </r>
    <r>
      <rPr>
        <sz val="12"/>
        <color indexed="10"/>
        <rFont val="Arial"/>
        <family val="2"/>
      </rPr>
      <t>Thailand</t>
    </r>
  </si>
  <si>
    <t xml:space="preserve">YP-211021 </t>
    <phoneticPr fontId="4"/>
  </si>
  <si>
    <t xml:space="preserve">Y/Project </t>
    <phoneticPr fontId="4"/>
  </si>
  <si>
    <t xml:space="preserve">Polyester Cord  100% Polyester </t>
    <phoneticPr fontId="4"/>
  </si>
  <si>
    <t xml:space="preserve">PFD (ready to dye) </t>
    <phoneticPr fontId="4"/>
  </si>
  <si>
    <r>
      <t>2021.11</t>
    </r>
    <r>
      <rPr>
        <sz val="11"/>
        <color indexed="10"/>
        <rFont val="ＭＳ Ｐゴシック"/>
        <family val="3"/>
        <charset val="128"/>
      </rPr>
      <t>月～</t>
    </r>
    <r>
      <rPr>
        <sz val="11"/>
        <color indexed="10"/>
        <rFont val="Arial"/>
        <family val="2"/>
      </rPr>
      <t>57</t>
    </r>
    <rPh sb="7" eb="8">
      <t>ガツ</t>
    </rPh>
    <phoneticPr fontId="4"/>
  </si>
  <si>
    <r>
      <t xml:space="preserve">2342 </t>
    </r>
    <r>
      <rPr>
        <sz val="12"/>
        <color indexed="10"/>
        <rFont val="Arial"/>
        <family val="2"/>
      </rPr>
      <t>Thailand</t>
    </r>
    <phoneticPr fontId="4"/>
  </si>
  <si>
    <t>CP-211109</t>
    <phoneticPr fontId="4"/>
  </si>
  <si>
    <t>YP-211125</t>
    <phoneticPr fontId="4"/>
  </si>
  <si>
    <t xml:space="preserve">CO-CCR-02 (M) </t>
    <phoneticPr fontId="4"/>
  </si>
  <si>
    <t xml:space="preserve"># 43C </t>
    <phoneticPr fontId="4"/>
  </si>
  <si>
    <t xml:space="preserve"># 45C </t>
    <phoneticPr fontId="4"/>
  </si>
  <si>
    <t>FWL-22298</t>
    <phoneticPr fontId="4"/>
  </si>
  <si>
    <t xml:space="preserve">Mill's Off White ( ready to dye ) </t>
    <phoneticPr fontId="4"/>
  </si>
  <si>
    <r>
      <t xml:space="preserve">2344 </t>
    </r>
    <r>
      <rPr>
        <sz val="12"/>
        <color indexed="10"/>
        <rFont val="Arial"/>
        <family val="2"/>
      </rPr>
      <t>Thailand</t>
    </r>
    <phoneticPr fontId="4"/>
  </si>
  <si>
    <r>
      <t xml:space="preserve">2356 </t>
    </r>
    <r>
      <rPr>
        <sz val="12"/>
        <color indexed="30"/>
        <rFont val="Arial"/>
        <family val="2"/>
      </rPr>
      <t>Thailand</t>
    </r>
    <phoneticPr fontId="4"/>
  </si>
  <si>
    <t>KYL-25290</t>
    <phoneticPr fontId="4"/>
  </si>
  <si>
    <t>ZP-211208</t>
    <phoneticPr fontId="4"/>
  </si>
  <si>
    <t>Zapa</t>
    <phoneticPr fontId="4"/>
  </si>
  <si>
    <r>
      <t xml:space="preserve">2374 </t>
    </r>
    <r>
      <rPr>
        <sz val="12"/>
        <color indexed="30"/>
        <rFont val="Arial"/>
        <family val="2"/>
      </rPr>
      <t>Thailand</t>
    </r>
    <phoneticPr fontId="4"/>
  </si>
  <si>
    <t>CR-220208</t>
    <phoneticPr fontId="4"/>
  </si>
  <si>
    <t xml:space="preserve"># 77 Black </t>
    <phoneticPr fontId="4"/>
  </si>
  <si>
    <t>Cotton Cord   Cotton-100%</t>
    <phoneticPr fontId="4"/>
  </si>
  <si>
    <r>
      <t xml:space="preserve">2388 </t>
    </r>
    <r>
      <rPr>
        <sz val="12"/>
        <color indexed="30"/>
        <rFont val="Arial"/>
        <family val="2"/>
      </rPr>
      <t>Thailand</t>
    </r>
    <phoneticPr fontId="4"/>
  </si>
  <si>
    <t>PO-00827</t>
    <phoneticPr fontId="4"/>
  </si>
  <si>
    <t># 371 Brown</t>
    <phoneticPr fontId="4"/>
  </si>
  <si>
    <t xml:space="preserve">CO-CCR-01A (S) </t>
    <phoneticPr fontId="4"/>
  </si>
  <si>
    <t xml:space="preserve"># 45C  Grey </t>
    <phoneticPr fontId="4"/>
  </si>
  <si>
    <t>MJ-220314</t>
    <phoneticPr fontId="4"/>
  </si>
  <si>
    <t xml:space="preserve">Lace Trim   100% Cotton </t>
    <phoneticPr fontId="4"/>
  </si>
  <si>
    <t>FWL-71286</t>
    <phoneticPr fontId="4"/>
  </si>
  <si>
    <t>ZP-220315</t>
    <phoneticPr fontId="4"/>
  </si>
  <si>
    <t>FWL-24367</t>
    <phoneticPr fontId="4"/>
  </si>
  <si>
    <t>FWL-24361</t>
    <phoneticPr fontId="4"/>
  </si>
  <si>
    <t>SOS22SUNP176-1</t>
    <phoneticPr fontId="4"/>
  </si>
  <si>
    <t>OFFICINE GENERALE</t>
    <phoneticPr fontId="4"/>
  </si>
  <si>
    <t xml:space="preserve">Trim Lace  100% Cotton </t>
    <phoneticPr fontId="4"/>
  </si>
  <si>
    <t>06976</t>
    <phoneticPr fontId="4"/>
  </si>
  <si>
    <t>Courreges</t>
    <phoneticPr fontId="4"/>
  </si>
  <si>
    <t>Elst Cord (Hard Type)   Rubber-80% / Polyester-20%</t>
    <phoneticPr fontId="4"/>
  </si>
  <si>
    <t># 17 BORDEAUX  FONCE</t>
  </si>
  <si>
    <t># 59 GRIS  CLAIR</t>
    <phoneticPr fontId="4"/>
  </si>
  <si>
    <t># 84 NOIR</t>
  </si>
  <si>
    <r>
      <t xml:space="preserve">2434 </t>
    </r>
    <r>
      <rPr>
        <sz val="12"/>
        <color indexed="30"/>
        <rFont val="Arial"/>
        <family val="2"/>
      </rPr>
      <t>Thailand</t>
    </r>
    <phoneticPr fontId="4"/>
  </si>
  <si>
    <t>07023</t>
    <phoneticPr fontId="4"/>
  </si>
  <si>
    <t># 1  Heritage White</t>
  </si>
  <si>
    <t># 77 Noir</t>
    <phoneticPr fontId="4"/>
  </si>
  <si>
    <r>
      <t xml:space="preserve">2446 </t>
    </r>
    <r>
      <rPr>
        <sz val="12"/>
        <color indexed="30"/>
        <rFont val="Arial"/>
        <family val="2"/>
      </rPr>
      <t>Thailand</t>
    </r>
    <phoneticPr fontId="4"/>
  </si>
  <si>
    <t>CR-220621</t>
    <phoneticPr fontId="4"/>
  </si>
  <si>
    <t># 90</t>
    <phoneticPr fontId="4"/>
  </si>
  <si>
    <t># 182</t>
    <phoneticPr fontId="4"/>
  </si>
  <si>
    <t>CR-220706</t>
    <phoneticPr fontId="4"/>
  </si>
  <si>
    <r>
      <t>#</t>
    </r>
    <r>
      <rPr>
        <sz val="12"/>
        <rFont val="Arial  "/>
        <family val="2"/>
      </rPr>
      <t xml:space="preserve"> 193</t>
    </r>
    <phoneticPr fontId="4"/>
  </si>
  <si>
    <r>
      <t>#</t>
    </r>
    <r>
      <rPr>
        <sz val="12"/>
        <rFont val="Arial  "/>
        <family val="2"/>
      </rPr>
      <t xml:space="preserve"> 37</t>
    </r>
    <phoneticPr fontId="4"/>
  </si>
  <si>
    <r>
      <t xml:space="preserve">2467 </t>
    </r>
    <r>
      <rPr>
        <sz val="12"/>
        <color indexed="30"/>
        <rFont val="Arial"/>
        <family val="2"/>
      </rPr>
      <t>Thailand</t>
    </r>
    <phoneticPr fontId="4"/>
  </si>
  <si>
    <t>TRL-TP221184</t>
    <phoneticPr fontId="4"/>
  </si>
  <si>
    <r>
      <rPr>
        <sz val="12"/>
        <rFont val="ＭＳ Ｐゴシック"/>
        <family val="3"/>
        <charset val="128"/>
      </rPr>
      <t>次回から</t>
    </r>
    <r>
      <rPr>
        <sz val="12"/>
        <rFont val="Arial"/>
        <family val="2"/>
      </rPr>
      <t>860</t>
    </r>
    <r>
      <rPr>
        <sz val="12"/>
        <rFont val="ＭＳ Ｐゴシック"/>
        <family val="3"/>
        <charset val="128"/>
      </rPr>
      <t>円</t>
    </r>
    <r>
      <rPr>
        <sz val="12"/>
        <rFont val="Arial"/>
        <family val="2"/>
      </rPr>
      <t xml:space="preserve">?? </t>
    </r>
    <r>
      <rPr>
        <sz val="12"/>
        <rFont val="ＭＳ Ｐゴシック"/>
        <family val="3"/>
        <charset val="128"/>
      </rPr>
      <t>値上げ</t>
    </r>
    <rPh sb="0" eb="2">
      <t>ジカイ</t>
    </rPh>
    <rPh sb="7" eb="8">
      <t>エン</t>
    </rPh>
    <rPh sb="11" eb="13">
      <t>ネア</t>
    </rPh>
    <phoneticPr fontId="4"/>
  </si>
  <si>
    <t>TRL-TP258151</t>
    <phoneticPr fontId="4"/>
  </si>
  <si>
    <r>
      <t xml:space="preserve">2482 </t>
    </r>
    <r>
      <rPr>
        <sz val="12"/>
        <color indexed="30"/>
        <rFont val="Arial"/>
        <family val="2"/>
      </rPr>
      <t>Thailand</t>
    </r>
    <phoneticPr fontId="4"/>
  </si>
  <si>
    <t>TRL-TP258176</t>
    <phoneticPr fontId="4"/>
  </si>
  <si>
    <t>07644</t>
    <phoneticPr fontId="4"/>
  </si>
  <si>
    <t># 408</t>
    <phoneticPr fontId="4"/>
  </si>
  <si>
    <t>FRZP-220908</t>
    <phoneticPr fontId="4"/>
  </si>
  <si>
    <t>France ROCHER (Zapa)</t>
    <phoneticPr fontId="4"/>
  </si>
  <si>
    <t>7000665119</t>
    <phoneticPr fontId="4"/>
  </si>
  <si>
    <t>Nina Ricci</t>
    <phoneticPr fontId="4"/>
  </si>
  <si>
    <t>Velvet Fabric  P:Rayon100% G:Cupro100%</t>
    <phoneticPr fontId="4"/>
  </si>
  <si>
    <t>SAG 7500</t>
    <phoneticPr fontId="4"/>
  </si>
  <si>
    <t>Col. 312 Black</t>
    <phoneticPr fontId="4"/>
  </si>
  <si>
    <r>
      <t>2</t>
    </r>
    <r>
      <rPr>
        <sz val="12"/>
        <rFont val="Arial"/>
        <family val="2"/>
      </rPr>
      <t>023</t>
    </r>
    <r>
      <rPr>
        <sz val="12"/>
        <rFont val="ＭＳ Ｐゴシック"/>
        <family val="3"/>
        <charset val="128"/>
      </rPr>
      <t>年</t>
    </r>
    <r>
      <rPr>
        <sz val="12"/>
        <rFont val="Arial"/>
        <family val="2"/>
      </rPr>
      <t>4</t>
    </r>
    <r>
      <rPr>
        <sz val="12"/>
        <rFont val="ＭＳ Ｐゴシック"/>
        <family val="3"/>
        <charset val="128"/>
      </rPr>
      <t>月～</t>
    </r>
    <r>
      <rPr>
        <sz val="12"/>
        <rFont val="Arial"/>
        <family val="2"/>
      </rPr>
      <t>1780</t>
    </r>
    <rPh sb="4" eb="5">
      <t>ネン</t>
    </rPh>
    <rPh sb="6" eb="7">
      <t>ガツ</t>
    </rPh>
    <phoneticPr fontId="4"/>
  </si>
  <si>
    <t xml:space="preserve">DHL Collect </t>
    <phoneticPr fontId="4"/>
  </si>
  <si>
    <t>7000669002</t>
    <phoneticPr fontId="4"/>
  </si>
  <si>
    <t>7000669208</t>
    <phoneticPr fontId="4"/>
  </si>
  <si>
    <t>Custom Col. Pink (LD#RB22-344)</t>
    <phoneticPr fontId="4"/>
  </si>
  <si>
    <t>Custom Col. White( LD#RB22-355)</t>
    <phoneticPr fontId="4"/>
  </si>
  <si>
    <t>RJ-221012</t>
    <phoneticPr fontId="4"/>
  </si>
  <si>
    <t>sample</t>
    <phoneticPr fontId="4"/>
  </si>
  <si>
    <t>SP-221019</t>
    <phoneticPr fontId="4"/>
  </si>
  <si>
    <t>SOI PARIS</t>
    <phoneticPr fontId="4"/>
  </si>
  <si>
    <t>RJ-221021</t>
    <phoneticPr fontId="4"/>
  </si>
  <si>
    <t>Nylon Dyed Taffeta   100% Nylon</t>
    <phoneticPr fontId="4"/>
  </si>
  <si>
    <t>FUT8314DU-W</t>
    <phoneticPr fontId="4"/>
  </si>
  <si>
    <t>141cm</t>
    <phoneticPr fontId="4"/>
  </si>
  <si>
    <t>Col. 3 Beige</t>
    <phoneticPr fontId="4"/>
  </si>
  <si>
    <r>
      <t xml:space="preserve">2510 </t>
    </r>
    <r>
      <rPr>
        <sz val="12"/>
        <color indexed="30"/>
        <rFont val="Arial"/>
        <family val="2"/>
      </rPr>
      <t>Thailand</t>
    </r>
    <phoneticPr fontId="4"/>
  </si>
  <si>
    <r>
      <t xml:space="preserve">CYM-221108 </t>
    </r>
    <r>
      <rPr>
        <sz val="12"/>
        <color indexed="30"/>
        <rFont val="Arial"/>
        <family val="2"/>
      </rPr>
      <t>Thailand</t>
    </r>
    <phoneticPr fontId="4"/>
  </si>
  <si>
    <t>FLR-53739</t>
    <phoneticPr fontId="4"/>
  </si>
  <si>
    <t>TRL-TP258163</t>
    <phoneticPr fontId="4"/>
  </si>
  <si>
    <t>57</t>
    <phoneticPr fontId="4"/>
  </si>
  <si>
    <t xml:space="preserve">Cut Fee  </t>
    <phoneticPr fontId="4"/>
  </si>
  <si>
    <t>08094</t>
    <phoneticPr fontId="4"/>
  </si>
  <si>
    <t># 30 BLACK</t>
    <phoneticPr fontId="4"/>
  </si>
  <si>
    <t># 1 HERITAGE WHITE</t>
    <phoneticPr fontId="4"/>
  </si>
  <si>
    <t># 77 NOIR</t>
    <phoneticPr fontId="4"/>
  </si>
  <si>
    <t>100% Polyester Fabric with Print   Strike Offs</t>
    <phoneticPr fontId="4"/>
  </si>
  <si>
    <t>PRT-T2023</t>
    <phoneticPr fontId="4"/>
  </si>
  <si>
    <t xml:space="preserve">Custom Print: Rainbow Check Tile </t>
    <phoneticPr fontId="4"/>
  </si>
  <si>
    <t xml:space="preserve">Custom Print: Alber Gradient </t>
    <phoneticPr fontId="4"/>
  </si>
  <si>
    <t>92</t>
    <phoneticPr fontId="4"/>
  </si>
  <si>
    <t>7000677920</t>
    <phoneticPr fontId="4"/>
  </si>
  <si>
    <r>
      <t xml:space="preserve">2523 </t>
    </r>
    <r>
      <rPr>
        <sz val="12"/>
        <color indexed="30"/>
        <rFont val="Arial"/>
        <family val="2"/>
      </rPr>
      <t>Thailand</t>
    </r>
    <phoneticPr fontId="4"/>
  </si>
  <si>
    <t>017990</t>
    <phoneticPr fontId="4"/>
  </si>
  <si>
    <t>08315</t>
    <phoneticPr fontId="4"/>
  </si>
  <si>
    <t># 14 CHOCOLATE</t>
  </si>
  <si>
    <t>12/15 keep</t>
  </si>
  <si>
    <t># 139 PURPLE</t>
    <phoneticPr fontId="4"/>
  </si>
  <si>
    <t>08315</t>
  </si>
  <si>
    <t>SAG 7500</t>
  </si>
  <si>
    <t xml:space="preserve">Roll Qty </t>
    <phoneticPr fontId="4"/>
  </si>
  <si>
    <t xml:space="preserve">Total Qty </t>
    <phoneticPr fontId="4"/>
  </si>
  <si>
    <t>FOB JAPAN /m</t>
    <phoneticPr fontId="4"/>
  </si>
  <si>
    <t># # 24 Brown</t>
    <phoneticPr fontId="4"/>
  </si>
  <si>
    <t>TR-2044</t>
  </si>
  <si>
    <t>BLACK / SILVER</t>
  </si>
  <si>
    <t>BLACK / COPPER</t>
  </si>
  <si>
    <t>Cutting Fee</t>
  </si>
  <si>
    <t>2 sets (US$ 12/cut )</t>
    <phoneticPr fontId="4"/>
  </si>
  <si>
    <t>10M increments</t>
    <phoneticPr fontId="4"/>
  </si>
  <si>
    <r>
      <t xml:space="preserve">DTM Corail - </t>
    </r>
    <r>
      <rPr>
        <b/>
        <sz val="11"/>
        <color indexed="10"/>
        <rFont val="Arial"/>
        <family val="2"/>
      </rPr>
      <t>Style 1</t>
    </r>
    <phoneticPr fontId="4"/>
  </si>
  <si>
    <r>
      <t xml:space="preserve">DTM Nude - </t>
    </r>
    <r>
      <rPr>
        <b/>
        <sz val="11"/>
        <color indexed="10"/>
        <rFont val="Arial"/>
        <family val="2"/>
      </rPr>
      <t>Style 1</t>
    </r>
    <phoneticPr fontId="4"/>
  </si>
  <si>
    <t>3055.1m ??</t>
    <phoneticPr fontId="4"/>
  </si>
  <si>
    <r>
      <t xml:space="preserve">DTM Vert Emeraude - </t>
    </r>
    <r>
      <rPr>
        <b/>
        <sz val="11"/>
        <color indexed="10"/>
        <rFont val="Arial"/>
        <family val="2"/>
      </rPr>
      <t>Style 1</t>
    </r>
    <phoneticPr fontId="4"/>
  </si>
  <si>
    <r>
      <t xml:space="preserve">DTM Corail - </t>
    </r>
    <r>
      <rPr>
        <b/>
        <sz val="11"/>
        <color indexed="10"/>
        <rFont val="Arial"/>
        <family val="2"/>
      </rPr>
      <t>Style 2</t>
    </r>
    <phoneticPr fontId="4"/>
  </si>
  <si>
    <r>
      <t xml:space="preserve">DTM Vert Emeraude - </t>
    </r>
    <r>
      <rPr>
        <b/>
        <sz val="11"/>
        <color indexed="10"/>
        <rFont val="Arial"/>
        <family val="2"/>
      </rPr>
      <t>Style 2</t>
    </r>
    <phoneticPr fontId="4"/>
  </si>
  <si>
    <r>
      <t>DTM Nude -</t>
    </r>
    <r>
      <rPr>
        <b/>
        <sz val="11"/>
        <color indexed="10"/>
        <rFont val="Arial"/>
        <family val="2"/>
      </rPr>
      <t xml:space="preserve"> Style 2</t>
    </r>
    <phoneticPr fontId="4"/>
  </si>
  <si>
    <t>383.6m ??</t>
    <phoneticPr fontId="4"/>
  </si>
  <si>
    <r>
      <t xml:space="preserve">DTM Ecru </t>
    </r>
    <r>
      <rPr>
        <b/>
        <sz val="11"/>
        <color indexed="10"/>
        <rFont val="Arial"/>
        <family val="2"/>
      </rPr>
      <t xml:space="preserve"> Mill's Off White ?</t>
    </r>
    <phoneticPr fontId="4"/>
  </si>
  <si>
    <r>
      <t>DTM Noir</t>
    </r>
    <r>
      <rPr>
        <b/>
        <sz val="11"/>
        <color indexed="10"/>
        <rFont val="Arial"/>
        <family val="2"/>
      </rPr>
      <t xml:space="preserve"> Mill's Black ?</t>
    </r>
    <phoneticPr fontId="4"/>
  </si>
  <si>
    <t xml:space="preserve">3055.1m </t>
    <phoneticPr fontId="4"/>
  </si>
  <si>
    <t xml:space="preserve">383.6m </t>
    <phoneticPr fontId="4"/>
  </si>
  <si>
    <t>DTM Nude -  Style 1 ( same as Style 2 )</t>
    <phoneticPr fontId="4"/>
  </si>
  <si>
    <t>Dye Fee for DTM Vert Emeraude -Style 1</t>
    <phoneticPr fontId="4"/>
  </si>
  <si>
    <t>DTM Nude -  Style 2 ( same as Style 1 )</t>
    <phoneticPr fontId="4"/>
  </si>
  <si>
    <t>DTM Marine -  Style 2 ( same as Style 1 )</t>
    <phoneticPr fontId="4"/>
  </si>
  <si>
    <t>DTM Corail - Style 2</t>
    <phoneticPr fontId="4"/>
  </si>
  <si>
    <t>DTM Vert Emeraude - Style 2</t>
    <phoneticPr fontId="4"/>
  </si>
  <si>
    <t xml:space="preserve">Lace Stock </t>
    <phoneticPr fontId="4"/>
  </si>
  <si>
    <t>Dye L/T</t>
    <phoneticPr fontId="4"/>
  </si>
  <si>
    <t>33 rolls</t>
  </si>
  <si>
    <t>452.1 m</t>
  </si>
  <si>
    <t xml:space="preserve"># KYL - 7148 
abt 1,500M 
in stock 
The Balance : around the 20th Feb. </t>
    <phoneticPr fontId="4"/>
  </si>
  <si>
    <t>Check with the mill</t>
    <phoneticPr fontId="4"/>
  </si>
  <si>
    <t>DTM Nude -  Style 1 ( same as Style 2 )</t>
  </si>
  <si>
    <t>44 rolls</t>
  </si>
  <si>
    <t>602.8 m</t>
  </si>
  <si>
    <t>DTM Vert Emeraude - Style 1</t>
  </si>
  <si>
    <t>7 rolls</t>
  </si>
  <si>
    <t>95.9 m</t>
  </si>
  <si>
    <t>Dye Fee for DTM Vert Emeraude -Style 1</t>
  </si>
  <si>
    <t>DTM Nude -  Style 2 ( same as Style 1 )</t>
  </si>
  <si>
    <t>99 rolls</t>
  </si>
  <si>
    <t>1356.3 m</t>
  </si>
  <si>
    <t>DTM Marine -  Style 2 ( same as Style 1 )</t>
  </si>
  <si>
    <t>DTM Corail - Style 2</t>
  </si>
  <si>
    <t>128 rolls</t>
  </si>
  <si>
    <t>1753.6 m</t>
  </si>
  <si>
    <t>DTM Vert Emeraude - Style 2</t>
  </si>
  <si>
    <t>77 rolls</t>
  </si>
  <si>
    <t>1054.9 m</t>
  </si>
  <si>
    <t xml:space="preserve">Ecru ( Mill's Off White ) </t>
  </si>
  <si>
    <t>57 rolls</t>
  </si>
  <si>
    <t>798 m</t>
  </si>
  <si>
    <t xml:space="preserve">abt 3,000M will be replenished around the 25th Jan. </t>
    <phoneticPr fontId="4"/>
  </si>
  <si>
    <t>DTM Corail</t>
  </si>
  <si>
    <t>54 rolls</t>
  </si>
  <si>
    <t>756 m</t>
  </si>
  <si>
    <t>DTM Nude</t>
  </si>
  <si>
    <t xml:space="preserve">abt 2,000M will be replenished around the 16th Jan. </t>
    <phoneticPr fontId="4"/>
  </si>
  <si>
    <t xml:space="preserve">Shipping date of Shipping Cut </t>
    <phoneticPr fontId="4"/>
  </si>
  <si>
    <t>DTM Corail - Style 2 ( same as Style 1 )</t>
    <phoneticPr fontId="4"/>
  </si>
  <si>
    <t xml:space="preserve">Around the 19th Jan. </t>
    <phoneticPr fontId="4"/>
  </si>
  <si>
    <t>DTM Vert Emeraude - Style 2 ( same as Style 1 )</t>
    <phoneticPr fontId="4"/>
  </si>
  <si>
    <t xml:space="preserve">Around the 19th Feb. </t>
    <phoneticPr fontId="4"/>
  </si>
  <si>
    <t xml:space="preserve">KYL-7148  </t>
    <phoneticPr fontId="4"/>
  </si>
  <si>
    <t xml:space="preserve">KYL-7148 </t>
    <phoneticPr fontId="4"/>
  </si>
  <si>
    <t>KYL-23705-1</t>
  </si>
  <si>
    <t xml:space="preserve">Around the 6th Feb. </t>
    <phoneticPr fontId="4"/>
  </si>
  <si>
    <t>Around the 26th Jan.</t>
    <phoneticPr fontId="4"/>
  </si>
  <si>
    <r>
      <t xml:space="preserve">Shipping Cut </t>
    </r>
    <r>
      <rPr>
        <b/>
        <sz val="11"/>
        <color indexed="30"/>
        <rFont val="Arial  "/>
        <family val="2"/>
      </rPr>
      <t xml:space="preserve">&gt;&gt;&gt;Approved </t>
    </r>
    <phoneticPr fontId="4"/>
  </si>
  <si>
    <r>
      <t xml:space="preserve">Shipping Cut </t>
    </r>
    <r>
      <rPr>
        <b/>
        <sz val="11"/>
        <color indexed="30"/>
        <rFont val="Arial  "/>
        <family val="2"/>
      </rPr>
      <t xml:space="preserve">&gt;&gt;&gt; NOT Approved </t>
    </r>
    <phoneticPr fontId="4"/>
  </si>
  <si>
    <r>
      <t xml:space="preserve">Shipping Cut </t>
    </r>
    <r>
      <rPr>
        <b/>
        <sz val="11"/>
        <color indexed="30"/>
        <rFont val="Arial  "/>
        <family val="2"/>
      </rPr>
      <t>&gt;&gt;&gt;Sent out on last Friday, waiting for your confirmation</t>
    </r>
    <phoneticPr fontId="4"/>
  </si>
  <si>
    <r>
      <t>Shipping Cut</t>
    </r>
    <r>
      <rPr>
        <b/>
        <sz val="11"/>
        <color indexed="10"/>
        <rFont val="Arial  "/>
        <family val="2"/>
      </rPr>
      <t xml:space="preserve"> &gt;&gt;&gt;will send out tomorrow </t>
    </r>
    <phoneticPr fontId="4"/>
  </si>
  <si>
    <t xml:space="preserve">Lace is in production </t>
    <phoneticPr fontId="4"/>
  </si>
  <si>
    <t>Shipping Cut : Ready around the 26th Jan.</t>
    <phoneticPr fontId="4"/>
  </si>
  <si>
    <t>Shipping Cut : Ready around the 5th Feb.</t>
    <phoneticPr fontId="4"/>
  </si>
  <si>
    <t>Shipping Cut : Ready around the 24th - 25th Jan.</t>
    <phoneticPr fontId="4"/>
  </si>
  <si>
    <t xml:space="preserve">will be issued shortly ?? </t>
    <phoneticPr fontId="4"/>
  </si>
  <si>
    <t>Shipping Cut : Ready around the 6th Feb.</t>
    <phoneticPr fontId="4"/>
  </si>
  <si>
    <t>Shipping Cut : Shipped out today</t>
    <phoneticPr fontId="4"/>
  </si>
  <si>
    <t>PE18_05493</t>
    <phoneticPr fontId="4"/>
  </si>
  <si>
    <t>Shipping Cut : Ready around the 6th - 7th  Feb.</t>
    <phoneticPr fontId="4"/>
  </si>
  <si>
    <t>Shipping Cut : will be shipped out around the 21st - 22nd Feb.</t>
    <phoneticPr fontId="4"/>
  </si>
  <si>
    <t xml:space="preserve">Lab-dip  : will be shipped out within abt 2 weeks after receiving the color standard </t>
    <phoneticPr fontId="4"/>
  </si>
  <si>
    <r>
      <t xml:space="preserve">Bulk Shipping Cut : </t>
    </r>
    <r>
      <rPr>
        <b/>
        <sz val="11"/>
        <color indexed="30"/>
        <rFont val="Arial"/>
        <family val="2"/>
      </rPr>
      <t>will be shipped out around the 22nd-23rd Feb.</t>
    </r>
    <phoneticPr fontId="4"/>
  </si>
  <si>
    <r>
      <t xml:space="preserve">Bulk Shipping Cut : </t>
    </r>
    <r>
      <rPr>
        <b/>
        <sz val="11"/>
        <color indexed="30"/>
        <rFont val="Arial"/>
        <family val="2"/>
      </rPr>
      <t xml:space="preserve">Shipped out to you today </t>
    </r>
    <phoneticPr fontId="4"/>
  </si>
  <si>
    <r>
      <t xml:space="preserve">FOB JAPAN 
</t>
    </r>
    <r>
      <rPr>
        <sz val="11"/>
        <color indexed="8"/>
        <rFont val="ＭＳ Ｐゴシック"/>
        <family val="3"/>
        <charset val="128"/>
      </rPr>
      <t>€</t>
    </r>
    <r>
      <rPr>
        <sz val="11"/>
        <color indexed="8"/>
        <rFont val="Arial  "/>
        <family val="2"/>
      </rPr>
      <t xml:space="preserve"> /m</t>
    </r>
    <phoneticPr fontId="4"/>
  </si>
  <si>
    <t>Drape # 70S11</t>
    <phoneticPr fontId="4"/>
  </si>
  <si>
    <t>92% - Polyester , 8% - Polyurethane</t>
    <phoneticPr fontId="4"/>
  </si>
  <si>
    <t>Mayfair # 5000</t>
    <phoneticPr fontId="4"/>
  </si>
  <si>
    <t>Face: 100%-Polyurethane, Back: 80%-Cupra, 20%-Nylon</t>
    <phoneticPr fontId="4"/>
  </si>
  <si>
    <t>Mayfair Metallic # 5000</t>
    <phoneticPr fontId="4"/>
  </si>
  <si>
    <t>色</t>
    <rPh sb="0" eb="1">
      <t>イロ</t>
    </rPh>
    <phoneticPr fontId="4"/>
  </si>
  <si>
    <t>単価/ｍ</t>
    <rPh sb="0" eb="2">
      <t>タンカ</t>
    </rPh>
    <phoneticPr fontId="4"/>
  </si>
  <si>
    <r>
      <t>FOB JAPAN /m</t>
    </r>
    <r>
      <rPr>
        <b/>
        <sz val="12"/>
        <rFont val="Arial  "/>
        <family val="2"/>
      </rPr>
      <t xml:space="preserve"> (Regular)</t>
    </r>
    <phoneticPr fontId="4"/>
  </si>
  <si>
    <r>
      <t>(</t>
    </r>
    <r>
      <rPr>
        <sz val="11"/>
        <rFont val="ＭＳ Ｐゴシック"/>
        <family val="3"/>
        <charset val="128"/>
      </rPr>
      <t>€</t>
    </r>
    <r>
      <rPr>
        <sz val="11"/>
        <rFont val="Arial"/>
        <family val="2"/>
      </rPr>
      <t xml:space="preserve"> 90 /col )</t>
    </r>
    <phoneticPr fontId="4"/>
  </si>
  <si>
    <t>3 sets</t>
    <phoneticPr fontId="4"/>
  </si>
  <si>
    <t>We will bear dye fee</t>
    <phoneticPr fontId="4"/>
  </si>
  <si>
    <t>FOB JAPAN /m (Bulk)</t>
    <phoneticPr fontId="4"/>
  </si>
  <si>
    <t xml:space="preserve">Subtotal </t>
    <phoneticPr fontId="4"/>
  </si>
  <si>
    <t>DS-30196</t>
    <phoneticPr fontId="4"/>
  </si>
  <si>
    <t>DS-70081</t>
    <phoneticPr fontId="4"/>
  </si>
  <si>
    <t>FWL-69103s</t>
    <phoneticPr fontId="4"/>
  </si>
  <si>
    <t xml:space="preserve">FWL-24139 </t>
    <phoneticPr fontId="4"/>
  </si>
  <si>
    <t xml:space="preserve">FWL-21818 </t>
    <phoneticPr fontId="4"/>
  </si>
  <si>
    <t xml:space="preserve">FWL-24226 </t>
    <phoneticPr fontId="4"/>
  </si>
  <si>
    <t>FOB JAPAN /m (Regular)</t>
  </si>
  <si>
    <r>
      <t>(</t>
    </r>
    <r>
      <rPr>
        <sz val="11"/>
        <rFont val="ＭＳ Ｐゴシック"/>
        <family val="3"/>
        <charset val="128"/>
      </rPr>
      <t>€</t>
    </r>
    <r>
      <rPr>
        <sz val="11"/>
        <rFont val="Arial"/>
        <family val="2"/>
      </rPr>
      <t xml:space="preserve"> 90 /col )</t>
    </r>
  </si>
  <si>
    <t>3 sets</t>
  </si>
  <si>
    <t>We will bear dye fee</t>
  </si>
  <si>
    <t>FOB JAPAN /m (Bulk)</t>
  </si>
  <si>
    <t>204 rolls</t>
  </si>
  <si>
    <t>2794.8 m</t>
  </si>
  <si>
    <t>354 rolls</t>
  </si>
  <si>
    <t>4849.8 m</t>
  </si>
  <si>
    <t>143 rolls</t>
  </si>
  <si>
    <t>1959.1 m</t>
  </si>
  <si>
    <t xml:space="preserve">FOB JAPAN /m </t>
    <phoneticPr fontId="4"/>
  </si>
  <si>
    <t>sent out the shipping cuts today</t>
    <phoneticPr fontId="4"/>
  </si>
  <si>
    <t xml:space="preserve">Re-dye once I receive the new color standard </t>
    <phoneticPr fontId="4"/>
  </si>
  <si>
    <t xml:space="preserve">FOB JAPAN /m ( Regular price ) </t>
    <phoneticPr fontId="4"/>
  </si>
  <si>
    <r>
      <rPr>
        <b/>
        <sz val="11"/>
        <color indexed="30"/>
        <rFont val="Arial"/>
        <family val="2"/>
      </rPr>
      <t>We will bear dye fee if you order 2800m of KYL - 2038</t>
    </r>
    <r>
      <rPr>
        <sz val="11"/>
        <rFont val="Arial"/>
        <family val="2"/>
      </rPr>
      <t xml:space="preserve"> </t>
    </r>
    <phoneticPr fontId="4"/>
  </si>
  <si>
    <t xml:space="preserve">FOB JAPAN /m ( Bulk Price ) </t>
    <phoneticPr fontId="4"/>
  </si>
  <si>
    <r>
      <rPr>
        <b/>
        <sz val="12"/>
        <rFont val="ＭＳ Ｐゴシック"/>
        <family val="3"/>
        <charset val="128"/>
      </rPr>
      <t>単価</t>
    </r>
    <r>
      <rPr>
        <b/>
        <sz val="12"/>
        <rFont val="Arial  "/>
        <family val="2"/>
      </rPr>
      <t xml:space="preserve"> /m </t>
    </r>
    <rPh sb="0" eb="2">
      <t>タンカ</t>
    </rPh>
    <phoneticPr fontId="4"/>
  </si>
  <si>
    <t>FOB JAPAN /m (Regular Price)</t>
    <phoneticPr fontId="4"/>
  </si>
  <si>
    <t>Dye (Lab-dips) Fee</t>
    <phoneticPr fontId="4"/>
  </si>
  <si>
    <t xml:space="preserve">EXW (JAPAN) /m </t>
    <phoneticPr fontId="4"/>
  </si>
  <si>
    <t># 93</t>
    <phoneticPr fontId="4"/>
  </si>
  <si>
    <t xml:space="preserve">No stock, will be ready Mid. May </t>
    <phoneticPr fontId="4"/>
  </si>
  <si>
    <t xml:space="preserve">In stock, we'll arrange a shipping cut to you shortly </t>
    <phoneticPr fontId="4"/>
  </si>
  <si>
    <t xml:space="preserve">Only 54.8m in stock, the ready date for 109.6m will be Mid. July </t>
    <phoneticPr fontId="4"/>
  </si>
  <si>
    <r>
      <t>147</t>
    </r>
    <r>
      <rPr>
        <sz val="12"/>
        <rFont val="ＭＳ Ｐゴシック"/>
        <family val="3"/>
        <charset val="128"/>
      </rPr>
      <t>円</t>
    </r>
    <r>
      <rPr>
        <sz val="12"/>
        <rFont val="Arial"/>
        <family val="2"/>
      </rPr>
      <t xml:space="preserve"> /m</t>
    </r>
    <rPh sb="3" eb="4">
      <t>エン</t>
    </rPh>
    <phoneticPr fontId="4"/>
  </si>
  <si>
    <r>
      <t>119</t>
    </r>
    <r>
      <rPr>
        <sz val="12"/>
        <rFont val="ＭＳ Ｐゴシック"/>
        <family val="3"/>
        <charset val="128"/>
      </rPr>
      <t>円</t>
    </r>
    <r>
      <rPr>
        <sz val="12"/>
        <rFont val="Arial"/>
        <family val="2"/>
      </rPr>
      <t xml:space="preserve"> /m</t>
    </r>
    <rPh sb="3" eb="4">
      <t>エン</t>
    </rPh>
    <phoneticPr fontId="4"/>
  </si>
  <si>
    <t xml:space="preserve">EXW (JAPAN) /m based on production qty </t>
    <phoneticPr fontId="4"/>
  </si>
  <si>
    <t xml:space="preserve">Description </t>
    <phoneticPr fontId="4"/>
  </si>
  <si>
    <t>SZ-190829</t>
    <phoneticPr fontId="4"/>
  </si>
  <si>
    <t xml:space="preserve">G420/MARTIE/BLEU ELECTRIQUE/SEZANE </t>
    <phoneticPr fontId="4"/>
  </si>
  <si>
    <t xml:space="preserve">G420/MARTIE + MANETTE /NOIR /SEZANE </t>
    <phoneticPr fontId="4"/>
  </si>
  <si>
    <t xml:space="preserve">G420/ MANETTE / ECRU/SEZANE </t>
    <phoneticPr fontId="4"/>
  </si>
  <si>
    <t xml:space="preserve">G420/ MANETTE / CAFE/SEZANE </t>
    <phoneticPr fontId="4"/>
  </si>
  <si>
    <r>
      <rPr>
        <b/>
        <sz val="12"/>
        <rFont val="ＭＳ Ｐゴシック"/>
        <family val="3"/>
        <charset val="128"/>
      </rPr>
      <t>単価</t>
    </r>
    <r>
      <rPr>
        <b/>
        <sz val="12"/>
        <rFont val="Arial"/>
        <family val="2"/>
      </rPr>
      <t xml:space="preserve"> / m</t>
    </r>
    <rPh sb="0" eb="2">
      <t>タンカ</t>
    </rPh>
    <phoneticPr fontId="4"/>
  </si>
  <si>
    <r>
      <t xml:space="preserve">240 </t>
    </r>
    <r>
      <rPr>
        <sz val="11"/>
        <rFont val="ＭＳ Ｐゴシック"/>
        <family val="3"/>
        <charset val="128"/>
      </rPr>
      <t>円</t>
    </r>
    <rPh sb="4" eb="5">
      <t>エン</t>
    </rPh>
    <phoneticPr fontId="4"/>
  </si>
  <si>
    <r>
      <t>440</t>
    </r>
    <r>
      <rPr>
        <sz val="11"/>
        <rFont val="ＭＳ Ｐゴシック"/>
        <family val="3"/>
        <charset val="128"/>
      </rPr>
      <t>円</t>
    </r>
    <rPh sb="3" eb="4">
      <t>エン</t>
    </rPh>
    <phoneticPr fontId="4"/>
  </si>
  <si>
    <r>
      <t xml:space="preserve">158 </t>
    </r>
    <r>
      <rPr>
        <sz val="11"/>
        <rFont val="ＭＳ Ｐゴシック"/>
        <family val="3"/>
        <charset val="128"/>
      </rPr>
      <t>円</t>
    </r>
    <rPh sb="4" eb="5">
      <t>エン</t>
    </rPh>
    <phoneticPr fontId="4"/>
  </si>
  <si>
    <r>
      <t xml:space="preserve">136 </t>
    </r>
    <r>
      <rPr>
        <sz val="11"/>
        <rFont val="ＭＳ Ｐゴシック"/>
        <family val="3"/>
        <charset val="128"/>
      </rPr>
      <t>円</t>
    </r>
    <rPh sb="4" eb="5">
      <t>エン</t>
    </rPh>
    <phoneticPr fontId="4"/>
  </si>
  <si>
    <r>
      <t xml:space="preserve">155 </t>
    </r>
    <r>
      <rPr>
        <sz val="11"/>
        <rFont val="ＭＳ Ｐゴシック"/>
        <family val="3"/>
        <charset val="128"/>
      </rPr>
      <t>円</t>
    </r>
    <rPh sb="4" eb="5">
      <t>エン</t>
    </rPh>
    <phoneticPr fontId="4"/>
  </si>
  <si>
    <t xml:space="preserve">Front Yarn : 100% Rayon , Back Yarn :  100% Cotton </t>
    <phoneticPr fontId="4"/>
  </si>
  <si>
    <t xml:space="preserve">  Base: 100% Nylon /  Front &amp; Back Yarn :  100% Cotton </t>
    <phoneticPr fontId="4"/>
  </si>
  <si>
    <r>
      <t>570</t>
    </r>
    <r>
      <rPr>
        <sz val="11"/>
        <rFont val="ＭＳ Ｐゴシック"/>
        <family val="3"/>
        <charset val="128"/>
      </rPr>
      <t>円</t>
    </r>
    <rPh sb="3" eb="4">
      <t>エン</t>
    </rPh>
    <phoneticPr fontId="4"/>
  </si>
  <si>
    <t xml:space="preserve">Mark </t>
    <phoneticPr fontId="4"/>
  </si>
  <si>
    <t>353530-1</t>
    <phoneticPr fontId="4"/>
  </si>
  <si>
    <t>Ship out once we receive the payment 
FWL-71604 &gt;&gt;&gt; L/T abt 1 week</t>
    <phoneticPr fontId="4"/>
  </si>
  <si>
    <t xml:space="preserve">L/T: 30 - 40 days </t>
    <phoneticPr fontId="4"/>
  </si>
  <si>
    <t>I'll proceed to the production, and the goods will be ready in abt 30 - 40 days.
I'll send you PI accordingly.</t>
    <phoneticPr fontId="4"/>
  </si>
  <si>
    <t>L/T: 1 month</t>
    <phoneticPr fontId="4"/>
  </si>
  <si>
    <t>358025-1</t>
    <phoneticPr fontId="4"/>
  </si>
  <si>
    <t xml:space="preserve">Proceeding </t>
  </si>
  <si>
    <t xml:space="preserve">Holding the qty, waiting for the PO </t>
    <phoneticPr fontId="4"/>
  </si>
  <si>
    <t>No Stock, will be ready at the end of Feb. - early March</t>
    <phoneticPr fontId="4"/>
  </si>
  <si>
    <r>
      <rPr>
        <b/>
        <sz val="12"/>
        <color indexed="8"/>
        <rFont val="ＭＳ Ｐゴシック"/>
        <family val="3"/>
        <charset val="128"/>
      </rPr>
      <t>単価</t>
    </r>
    <r>
      <rPr>
        <b/>
        <sz val="12"/>
        <color indexed="8"/>
        <rFont val="Arial"/>
        <family val="2"/>
      </rPr>
      <t>/m</t>
    </r>
    <rPh sb="0" eb="2">
      <t>タンカ</t>
    </rPh>
    <phoneticPr fontId="4"/>
  </si>
  <si>
    <t>KYL-25589</t>
  </si>
  <si>
    <t>15 rolls</t>
  </si>
  <si>
    <t>205.5 m</t>
  </si>
  <si>
    <r>
      <t>230</t>
    </r>
    <r>
      <rPr>
        <sz val="12"/>
        <rFont val="ＭＳ Ｐゴシック"/>
        <family val="3"/>
        <charset val="128"/>
      </rPr>
      <t>円</t>
    </r>
    <rPh sb="3" eb="4">
      <t>エン</t>
    </rPh>
    <phoneticPr fontId="4"/>
  </si>
  <si>
    <t>Ready on the 17th - 18th Feb.</t>
    <phoneticPr fontId="4"/>
  </si>
  <si>
    <r>
      <t>130</t>
    </r>
    <r>
      <rPr>
        <sz val="12"/>
        <rFont val="ＭＳ Ｐゴシック"/>
        <family val="3"/>
        <charset val="128"/>
      </rPr>
      <t>円</t>
    </r>
    <rPh sb="3" eb="4">
      <t>エン</t>
    </rPh>
    <phoneticPr fontId="4"/>
  </si>
  <si>
    <r>
      <t xml:space="preserve">230 </t>
    </r>
    <r>
      <rPr>
        <sz val="11"/>
        <rFont val="ＭＳ Ｐゴシック"/>
        <family val="3"/>
        <charset val="128"/>
      </rPr>
      <t>円</t>
    </r>
    <rPh sb="4" eb="5">
      <t>エン</t>
    </rPh>
    <phoneticPr fontId="4"/>
  </si>
  <si>
    <r>
      <t xml:space="preserve">170 </t>
    </r>
    <r>
      <rPr>
        <sz val="11"/>
        <rFont val="ＭＳ Ｐゴシック"/>
        <family val="3"/>
        <charset val="128"/>
      </rPr>
      <t>円</t>
    </r>
    <rPh sb="4" eb="5">
      <t>エン</t>
    </rPh>
    <phoneticPr fontId="4"/>
  </si>
  <si>
    <r>
      <t xml:space="preserve">310 </t>
    </r>
    <r>
      <rPr>
        <sz val="11"/>
        <rFont val="ＭＳ Ｐゴシック"/>
        <family val="3"/>
        <charset val="128"/>
      </rPr>
      <t>円</t>
    </r>
    <rPh sb="4" eb="5">
      <t>エン</t>
    </rPh>
    <phoneticPr fontId="4"/>
  </si>
  <si>
    <t xml:space="preserve">MOQ for Mill's Colors </t>
    <phoneticPr fontId="4"/>
  </si>
  <si>
    <t xml:space="preserve">25 rolls </t>
    <phoneticPr fontId="4"/>
  </si>
  <si>
    <t xml:space="preserve">35 rolls </t>
    <phoneticPr fontId="4"/>
  </si>
  <si>
    <r>
      <rPr>
        <b/>
        <sz val="12"/>
        <rFont val="ＭＳ Ｐゴシック"/>
        <family val="3"/>
        <charset val="128"/>
      </rPr>
      <t>単価</t>
    </r>
    <r>
      <rPr>
        <b/>
        <sz val="12"/>
        <rFont val="Arial"/>
        <family val="2"/>
      </rPr>
      <t xml:space="preserve"> / m </t>
    </r>
    <rPh sb="0" eb="2">
      <t>タンカ</t>
    </rPh>
    <phoneticPr fontId="4"/>
  </si>
  <si>
    <r>
      <t xml:space="preserve">54 </t>
    </r>
    <r>
      <rPr>
        <sz val="12"/>
        <rFont val="ＭＳ Ｐゴシック"/>
        <family val="3"/>
        <charset val="128"/>
      </rPr>
      <t>円</t>
    </r>
    <rPh sb="3" eb="4">
      <t>エン</t>
    </rPh>
    <phoneticPr fontId="4"/>
  </si>
  <si>
    <r>
      <t xml:space="preserve">149 </t>
    </r>
    <r>
      <rPr>
        <sz val="12"/>
        <rFont val="ＭＳ Ｐゴシック"/>
        <family val="3"/>
        <charset val="128"/>
      </rPr>
      <t>円</t>
    </r>
    <phoneticPr fontId="4"/>
  </si>
  <si>
    <r>
      <t xml:space="preserve">141 </t>
    </r>
    <r>
      <rPr>
        <sz val="12"/>
        <rFont val="ＭＳ Ｐゴシック"/>
        <family val="3"/>
        <charset val="128"/>
      </rPr>
      <t>円</t>
    </r>
    <phoneticPr fontId="4"/>
  </si>
  <si>
    <t>KYL-23402-1</t>
    <phoneticPr fontId="4"/>
  </si>
  <si>
    <r>
      <t xml:space="preserve">112 </t>
    </r>
    <r>
      <rPr>
        <sz val="12"/>
        <rFont val="ＭＳ Ｐゴシック"/>
        <family val="3"/>
        <charset val="128"/>
      </rPr>
      <t>円</t>
    </r>
    <phoneticPr fontId="4"/>
  </si>
  <si>
    <t>KYL-23402</t>
  </si>
  <si>
    <t>在庫状況・納期</t>
    <rPh sb="0" eb="2">
      <t>ザイコ</t>
    </rPh>
    <rPh sb="2" eb="4">
      <t>ジョウキョウ</t>
    </rPh>
    <rPh sb="5" eb="7">
      <t>ノウキ</t>
    </rPh>
    <phoneticPr fontId="4"/>
  </si>
  <si>
    <t xml:space="preserve">Qty Adjustment  </t>
    <phoneticPr fontId="4"/>
  </si>
  <si>
    <t>2100</t>
    <phoneticPr fontId="4"/>
  </si>
  <si>
    <t>7 rolls ( 95.9m ) or 8 rolls ( 109.6m ) ??</t>
    <phoneticPr fontId="4"/>
  </si>
  <si>
    <t xml:space="preserve">205.5m should be fine </t>
    <phoneticPr fontId="4"/>
  </si>
  <si>
    <t xml:space="preserve">54.8m should be fine </t>
    <phoneticPr fontId="4"/>
  </si>
  <si>
    <t>18 rolls ( 246.6m ) or 19 rolls ( 260.3m ) ??</t>
    <phoneticPr fontId="4"/>
  </si>
  <si>
    <t xml:space="preserve">301.4m should be fine </t>
    <phoneticPr fontId="4"/>
  </si>
  <si>
    <t xml:space="preserve">68.5m should be fine </t>
    <phoneticPr fontId="4"/>
  </si>
  <si>
    <t xml:space="preserve">REF # </t>
    <phoneticPr fontId="4"/>
  </si>
  <si>
    <t>abt 300m in stock &amp; abt 2 weeks for dyeing,
the shortage will be ready at the end of May - Beg. of June</t>
    <phoneticPr fontId="4"/>
  </si>
  <si>
    <t>No stock, ready at the end of May - Beg. of June</t>
    <phoneticPr fontId="4"/>
  </si>
  <si>
    <t xml:space="preserve">in stock, abt 2 weeks for dyeing </t>
    <phoneticPr fontId="4"/>
  </si>
  <si>
    <t>Art</t>
    <phoneticPr fontId="4"/>
  </si>
  <si>
    <t xml:space="preserve">In stock as of today  </t>
    <phoneticPr fontId="4"/>
  </si>
  <si>
    <r>
      <rPr>
        <sz val="12"/>
        <color indexed="14"/>
        <rFont val="Arial"/>
        <family val="2"/>
      </rPr>
      <t>Add</t>
    </r>
    <r>
      <rPr>
        <sz val="12"/>
        <color indexed="30"/>
        <rFont val="Arial"/>
        <family val="2"/>
      </rPr>
      <t xml:space="preserve"> </t>
    </r>
    <r>
      <rPr>
        <sz val="12"/>
        <rFont val="Arial"/>
        <family val="2"/>
      </rPr>
      <t>11700</t>
    </r>
    <phoneticPr fontId="4"/>
  </si>
  <si>
    <r>
      <rPr>
        <sz val="12"/>
        <color indexed="14"/>
        <rFont val="Arial"/>
        <family val="2"/>
      </rPr>
      <t>Add</t>
    </r>
    <r>
      <rPr>
        <sz val="12"/>
        <color indexed="30"/>
        <rFont val="Arial"/>
        <family val="2"/>
      </rPr>
      <t xml:space="preserve"> </t>
    </r>
    <r>
      <rPr>
        <sz val="12"/>
        <rFont val="Arial"/>
        <family val="2"/>
      </rPr>
      <t>11700</t>
    </r>
  </si>
  <si>
    <r>
      <rPr>
        <sz val="12"/>
        <color indexed="14"/>
        <rFont val="Arial"/>
        <family val="2"/>
      </rPr>
      <t>Add</t>
    </r>
    <r>
      <rPr>
        <sz val="12"/>
        <color indexed="10"/>
        <rFont val="Arial"/>
        <family val="2"/>
      </rPr>
      <t xml:space="preserve"> </t>
    </r>
    <r>
      <rPr>
        <sz val="12"/>
        <rFont val="Arial"/>
        <family val="2"/>
      </rPr>
      <t>12701</t>
    </r>
    <phoneticPr fontId="4"/>
  </si>
  <si>
    <r>
      <rPr>
        <sz val="12"/>
        <color indexed="14"/>
        <rFont val="Arial"/>
        <family val="2"/>
      </rPr>
      <t>Cancel</t>
    </r>
    <r>
      <rPr>
        <sz val="12"/>
        <rFont val="Arial"/>
        <family val="2"/>
      </rPr>
      <t xml:space="preserve"> 3705</t>
    </r>
    <phoneticPr fontId="4"/>
  </si>
  <si>
    <t xml:space="preserve">     Cancel, right ? </t>
    <phoneticPr fontId="4"/>
  </si>
  <si>
    <r>
      <t>158</t>
    </r>
    <r>
      <rPr>
        <sz val="12"/>
        <rFont val="ＭＳ Ｐゴシック"/>
        <family val="3"/>
        <charset val="128"/>
      </rPr>
      <t>円</t>
    </r>
    <rPh sb="3" eb="4">
      <t>エン</t>
    </rPh>
    <phoneticPr fontId="4"/>
  </si>
  <si>
    <t xml:space="preserve">around July 20th </t>
    <phoneticPr fontId="4"/>
  </si>
  <si>
    <t>FWL-23430</t>
    <phoneticPr fontId="4"/>
  </si>
  <si>
    <t>For Stephanie</t>
    <phoneticPr fontId="4"/>
  </si>
  <si>
    <t xml:space="preserve">For Audrey </t>
    <phoneticPr fontId="4"/>
  </si>
  <si>
    <t xml:space="preserve">EXW (JAPAN) /m
for Mill's Off White </t>
    <phoneticPr fontId="4"/>
  </si>
  <si>
    <t xml:space="preserve">FWL-71089 ?? </t>
    <phoneticPr fontId="4"/>
  </si>
  <si>
    <t xml:space="preserve">Please advise the correct article number </t>
    <phoneticPr fontId="4"/>
  </si>
  <si>
    <t>header sample</t>
    <phoneticPr fontId="4"/>
  </si>
  <si>
    <t>KYL-87066SL19 ??</t>
    <phoneticPr fontId="4"/>
  </si>
  <si>
    <t>KYL-87066SL17 ??</t>
    <phoneticPr fontId="4"/>
  </si>
  <si>
    <t>DISCONTINUED</t>
    <phoneticPr fontId="4"/>
  </si>
  <si>
    <t xml:space="preserve">TRL-247605 </t>
    <phoneticPr fontId="4"/>
  </si>
  <si>
    <t xml:space="preserve">items on the photos below </t>
    <phoneticPr fontId="4"/>
  </si>
  <si>
    <t xml:space="preserve">3m each </t>
    <phoneticPr fontId="4"/>
  </si>
  <si>
    <t>FWL-78051</t>
    <phoneticPr fontId="4"/>
  </si>
  <si>
    <t xml:space="preserve">no need </t>
    <phoneticPr fontId="4"/>
  </si>
  <si>
    <t>FWL-78055</t>
    <phoneticPr fontId="4"/>
  </si>
  <si>
    <t>FWL-22553</t>
    <phoneticPr fontId="4"/>
  </si>
  <si>
    <t>KYL-23382-1</t>
    <phoneticPr fontId="4"/>
  </si>
  <si>
    <t>OL-354470-1</t>
    <phoneticPr fontId="4"/>
  </si>
  <si>
    <t>OL-62626</t>
    <phoneticPr fontId="4"/>
  </si>
  <si>
    <t>OL-8258-1</t>
    <phoneticPr fontId="4"/>
  </si>
  <si>
    <t>TRL-2911883</t>
    <phoneticPr fontId="4"/>
  </si>
  <si>
    <t>TRL-10893RC</t>
    <phoneticPr fontId="4"/>
  </si>
  <si>
    <t>サンプルオーダー</t>
    <phoneticPr fontId="4"/>
  </si>
  <si>
    <t>サンプルスワッチ</t>
    <phoneticPr fontId="4"/>
  </si>
  <si>
    <t xml:space="preserve">単価 ( 円 ) /m </t>
    <rPh sb="0" eb="2">
      <t>タンカ</t>
    </rPh>
    <rPh sb="5" eb="6">
      <t>エン</t>
    </rPh>
    <phoneticPr fontId="4"/>
  </si>
  <si>
    <t>30cm</t>
    <phoneticPr fontId="4"/>
  </si>
  <si>
    <t>30cm</t>
  </si>
  <si>
    <t>不要</t>
    <rPh sb="0" eb="2">
      <t>フヨウ</t>
    </rPh>
    <phoneticPr fontId="4"/>
  </si>
  <si>
    <t xml:space="preserve">EXW (JAPAN) /m
for Mill's Color  </t>
    <phoneticPr fontId="4"/>
  </si>
  <si>
    <t xml:space="preserve">No need </t>
    <phoneticPr fontId="4"/>
  </si>
  <si>
    <r>
      <t xml:space="preserve">8 sets ( </t>
    </r>
    <r>
      <rPr>
        <sz val="11"/>
        <rFont val="ＭＳ Ｐゴシック"/>
        <family val="3"/>
        <charset val="128"/>
      </rPr>
      <t>€</t>
    </r>
    <r>
      <rPr>
        <sz val="11"/>
        <rFont val="Arial"/>
        <family val="2"/>
      </rPr>
      <t xml:space="preserve"> 25/art) </t>
    </r>
    <phoneticPr fontId="4"/>
  </si>
  <si>
    <t xml:space="preserve">No Need </t>
    <phoneticPr fontId="4"/>
  </si>
  <si>
    <t xml:space="preserve">2192 </t>
    <phoneticPr fontId="4"/>
  </si>
  <si>
    <t xml:space="preserve">Stay the same </t>
    <phoneticPr fontId="4"/>
  </si>
  <si>
    <t xml:space="preserve">EXW (JAPAN) /pc </t>
    <phoneticPr fontId="4"/>
  </si>
  <si>
    <r>
      <t>2 sets (</t>
    </r>
    <r>
      <rPr>
        <sz val="12"/>
        <rFont val="ＭＳ Ｐゴシック"/>
        <family val="3"/>
        <charset val="128"/>
      </rPr>
      <t>€</t>
    </r>
    <r>
      <rPr>
        <sz val="12"/>
        <rFont val="Arial"/>
        <family val="2"/>
      </rPr>
      <t xml:space="preserve"> 125 x 2 colors )</t>
    </r>
    <phoneticPr fontId="4"/>
  </si>
  <si>
    <t xml:space="preserve">Ready mid - late Feb. </t>
    <phoneticPr fontId="4"/>
  </si>
  <si>
    <t xml:space="preserve">2205 </t>
    <phoneticPr fontId="4"/>
  </si>
  <si>
    <t xml:space="preserve">2215 </t>
    <phoneticPr fontId="4"/>
  </si>
  <si>
    <t>1 roll ( 20m /roll )</t>
    <phoneticPr fontId="4"/>
  </si>
  <si>
    <t xml:space="preserve">Dye min ( custom color) </t>
    <phoneticPr fontId="4"/>
  </si>
  <si>
    <t>40 rolls/col ( 800m /col )</t>
    <phoneticPr fontId="4"/>
  </si>
  <si>
    <t xml:space="preserve">abt 30 - 40days </t>
    <phoneticPr fontId="4"/>
  </si>
  <si>
    <t>32 rolls/col ( 640m /col )</t>
    <phoneticPr fontId="4"/>
  </si>
  <si>
    <t xml:space="preserve">Lab-dip fee </t>
    <phoneticPr fontId="4"/>
  </si>
  <si>
    <r>
      <t>63</t>
    </r>
    <r>
      <rPr>
        <sz val="12"/>
        <rFont val="ＭＳ Ｐゴシック"/>
        <family val="3"/>
        <charset val="128"/>
      </rPr>
      <t>円</t>
    </r>
    <r>
      <rPr>
        <sz val="12"/>
        <rFont val="Arial"/>
        <family val="2"/>
      </rPr>
      <t>/m</t>
    </r>
    <phoneticPr fontId="4"/>
  </si>
  <si>
    <r>
      <t>80</t>
    </r>
    <r>
      <rPr>
        <sz val="12"/>
        <rFont val="ＭＳ Ｐゴシック"/>
        <family val="3"/>
        <charset val="128"/>
      </rPr>
      <t>円</t>
    </r>
    <r>
      <rPr>
        <sz val="12"/>
        <rFont val="Arial"/>
        <family val="2"/>
      </rPr>
      <t>/m</t>
    </r>
    <phoneticPr fontId="4"/>
  </si>
  <si>
    <r>
      <t>3280</t>
    </r>
    <r>
      <rPr>
        <sz val="12"/>
        <rFont val="ＭＳ Ｐゴシック"/>
        <family val="3"/>
        <charset val="128"/>
      </rPr>
      <t>円</t>
    </r>
    <r>
      <rPr>
        <sz val="12"/>
        <rFont val="Arial"/>
        <family val="2"/>
      </rPr>
      <t>/m</t>
    </r>
    <phoneticPr fontId="4"/>
  </si>
  <si>
    <t>反数</t>
    <rPh sb="0" eb="1">
      <t>タン</t>
    </rPh>
    <rPh sb="1" eb="2">
      <t>スウ</t>
    </rPh>
    <phoneticPr fontId="4"/>
  </si>
  <si>
    <r>
      <t xml:space="preserve">1966 ( </t>
    </r>
    <r>
      <rPr>
        <sz val="11"/>
        <rFont val="ＭＳ Ｐゴシック"/>
        <family val="3"/>
        <charset val="128"/>
      </rPr>
      <t>貴社品番</t>
    </r>
    <r>
      <rPr>
        <sz val="11"/>
        <rFont val="Arial"/>
        <family val="2"/>
      </rPr>
      <t>0174)</t>
    </r>
    <rPh sb="7" eb="9">
      <t>キシャ</t>
    </rPh>
    <rPh sb="9" eb="11">
      <t>ヒンバン</t>
    </rPh>
    <phoneticPr fontId="4"/>
  </si>
  <si>
    <t>NN007-SP</t>
    <phoneticPr fontId="4"/>
  </si>
  <si>
    <t>4446</t>
    <phoneticPr fontId="4"/>
  </si>
  <si>
    <t>Any qty</t>
    <phoneticPr fontId="4"/>
  </si>
  <si>
    <t>6158-GS</t>
    <phoneticPr fontId="4"/>
  </si>
  <si>
    <t>450m/color</t>
    <phoneticPr fontId="4"/>
  </si>
  <si>
    <t>6158</t>
    <phoneticPr fontId="4"/>
  </si>
  <si>
    <t>MFW</t>
    <phoneticPr fontId="4"/>
  </si>
  <si>
    <r>
      <t>POLYESTER 88</t>
    </r>
    <r>
      <rPr>
        <sz val="8"/>
        <rFont val="ＭＳ Ｐゴシック"/>
        <family val="3"/>
        <charset val="128"/>
      </rPr>
      <t>％</t>
    </r>
  </si>
  <si>
    <t>2040CB</t>
    <phoneticPr fontId="4"/>
  </si>
  <si>
    <t>5570N</t>
    <phoneticPr fontId="4"/>
  </si>
  <si>
    <r>
      <t>NYLON 60</t>
    </r>
    <r>
      <rPr>
        <sz val="8"/>
        <rFont val="ＭＳ Ｐゴシック"/>
        <family val="3"/>
        <charset val="128"/>
      </rPr>
      <t>％</t>
    </r>
    <r>
      <rPr>
        <sz val="8"/>
        <rFont val="Arial  "/>
        <family val="2"/>
      </rPr>
      <t xml:space="preserve"> POLYESTER 40</t>
    </r>
    <r>
      <rPr>
        <sz val="8"/>
        <rFont val="ＭＳ Ｐゴシック"/>
        <family val="3"/>
        <charset val="128"/>
      </rPr>
      <t>％</t>
    </r>
    <phoneticPr fontId="4"/>
  </si>
  <si>
    <t>3071</t>
    <phoneticPr fontId="4"/>
  </si>
  <si>
    <r>
      <t>POLYESTER 100</t>
    </r>
    <r>
      <rPr>
        <sz val="8"/>
        <rFont val="ＭＳ Ｐゴシック"/>
        <family val="3"/>
        <charset val="128"/>
      </rPr>
      <t>％</t>
    </r>
    <phoneticPr fontId="4"/>
  </si>
  <si>
    <t>1,000m/color</t>
    <phoneticPr fontId="4"/>
  </si>
  <si>
    <t>2600</t>
    <phoneticPr fontId="4"/>
  </si>
  <si>
    <t>5580</t>
    <phoneticPr fontId="4"/>
  </si>
  <si>
    <t>5580-2</t>
    <phoneticPr fontId="4"/>
  </si>
  <si>
    <t>OG1021-FT</t>
    <phoneticPr fontId="4"/>
  </si>
  <si>
    <t>5590</t>
    <phoneticPr fontId="4"/>
  </si>
  <si>
    <t>6000TN</t>
    <phoneticPr fontId="4"/>
  </si>
  <si>
    <t xml:space="preserve">PR-NN007 ( D/# A / stock design ) </t>
    <phoneticPr fontId="4"/>
  </si>
  <si>
    <r>
      <t>5</t>
    </r>
    <r>
      <rPr>
        <sz val="9"/>
        <rFont val="Arial  "/>
        <family val="2"/>
      </rPr>
      <t xml:space="preserve"> m</t>
    </r>
    <phoneticPr fontId="4"/>
  </si>
  <si>
    <t xml:space="preserve">The price will go down for 1 roll( 50m -)  </t>
    <phoneticPr fontId="4"/>
  </si>
  <si>
    <t>Strike Off ( set-up fee)</t>
    <phoneticPr fontId="4"/>
  </si>
  <si>
    <t>EXW JAPAN /m
for 1 - 10m/design</t>
    <phoneticPr fontId="4"/>
  </si>
  <si>
    <t>EXW JAPAN /m
for 11 - 50m/design</t>
    <phoneticPr fontId="4"/>
  </si>
  <si>
    <t xml:space="preserve">PR-NN007 in custom design </t>
    <phoneticPr fontId="4"/>
  </si>
  <si>
    <r>
      <t>U</t>
    </r>
    <r>
      <rPr>
        <sz val="9"/>
        <rFont val="Arial  "/>
        <family val="2"/>
      </rPr>
      <t xml:space="preserve">S$ 90 / design </t>
    </r>
    <phoneticPr fontId="4"/>
  </si>
  <si>
    <t xml:space="preserve">The price will go down for 2 rolls( 100m -)  </t>
    <phoneticPr fontId="4"/>
  </si>
  <si>
    <t xml:space="preserve">EXW (JAPAN) / pc </t>
    <phoneticPr fontId="4"/>
  </si>
  <si>
    <t>EXW (JAPAN) / pair</t>
    <phoneticPr fontId="4"/>
  </si>
  <si>
    <t>100m / col ( *Dye fee € 105/col for under MCQ )</t>
    <phoneticPr fontId="4"/>
  </si>
  <si>
    <t>FWL-69026s</t>
    <phoneticPr fontId="4"/>
  </si>
  <si>
    <t>10m (in Mill's Greige)</t>
    <phoneticPr fontId="4"/>
  </si>
  <si>
    <t xml:space="preserve">400m / col ( *set-up fee € 70/col for under MCQ )&gt;&gt;&gt;select yarn color from yarn CC </t>
    <phoneticPr fontId="4"/>
  </si>
  <si>
    <t>KYL-T23417-1</t>
  </si>
  <si>
    <t>FWL-21991</t>
  </si>
  <si>
    <t>DS-746</t>
  </si>
  <si>
    <t>DS-2836</t>
  </si>
  <si>
    <t>FWL-22017</t>
  </si>
  <si>
    <t xml:space="preserve">DS-30095A </t>
  </si>
  <si>
    <t>FWL-21720</t>
  </si>
  <si>
    <t>OL-356139</t>
  </si>
  <si>
    <t>OL-356144-1</t>
  </si>
  <si>
    <t>FWL-21916</t>
  </si>
  <si>
    <t xml:space="preserve">Stock ( Mill's Off White) as of the 22nd April </t>
    <phoneticPr fontId="4"/>
  </si>
  <si>
    <t>100m / col ( *Dye fee € 105/col for under MCQ )</t>
  </si>
  <si>
    <t xml:space="preserve">abt 30m </t>
    <phoneticPr fontId="4"/>
  </si>
  <si>
    <t>単価（円/m）</t>
    <rPh sb="0" eb="2">
      <t>タンカ</t>
    </rPh>
    <rPh sb="3" eb="4">
      <t>エン</t>
    </rPh>
    <phoneticPr fontId="4"/>
  </si>
  <si>
    <t>EXW JAPAN /m for Custom Colors / MCQ</t>
    <phoneticPr fontId="4"/>
  </si>
  <si>
    <t xml:space="preserve">Stock in Mill's Off White as of the 27th April </t>
    <phoneticPr fontId="4"/>
  </si>
  <si>
    <t>染色代（円/m）</t>
    <rPh sb="0" eb="2">
      <t>センショク</t>
    </rPh>
    <rPh sb="2" eb="3">
      <t>ダイ</t>
    </rPh>
    <rPh sb="4" eb="5">
      <t>エン</t>
    </rPh>
    <phoneticPr fontId="4"/>
  </si>
  <si>
    <t>染色代込単価</t>
    <rPh sb="0" eb="2">
      <t>センショク</t>
    </rPh>
    <rPh sb="2" eb="3">
      <t>ダイ</t>
    </rPh>
    <rPh sb="3" eb="4">
      <t>コ</t>
    </rPh>
    <rPh sb="4" eb="6">
      <t>タンカ</t>
    </rPh>
    <phoneticPr fontId="4"/>
  </si>
  <si>
    <t>USD / M</t>
    <phoneticPr fontId="4"/>
  </si>
  <si>
    <t>USD / M(式無し）</t>
    <rPh sb="8" eb="9">
      <t>シキ</t>
    </rPh>
    <rPh sb="9" eb="10">
      <t>ナ</t>
    </rPh>
    <phoneticPr fontId="4"/>
  </si>
  <si>
    <t>生産ロット</t>
    <rPh sb="0" eb="2">
      <t>セイサン</t>
    </rPh>
    <phoneticPr fontId="4"/>
  </si>
  <si>
    <t>19.8m / roll</t>
    <phoneticPr fontId="4"/>
  </si>
  <si>
    <t>KYL-873033C</t>
    <phoneticPr fontId="4"/>
  </si>
  <si>
    <t>13.7m/ roll</t>
    <phoneticPr fontId="4"/>
  </si>
  <si>
    <t>26m -</t>
    <phoneticPr fontId="4"/>
  </si>
  <si>
    <t>KYL-873015C</t>
    <phoneticPr fontId="4"/>
  </si>
  <si>
    <t>113m -</t>
    <phoneticPr fontId="4"/>
  </si>
  <si>
    <t>KYL-T23473-1</t>
    <phoneticPr fontId="4"/>
  </si>
  <si>
    <t>14m/ roll</t>
    <phoneticPr fontId="4"/>
  </si>
  <si>
    <t>only sample qty, 300m will be replenished early June</t>
    <phoneticPr fontId="4"/>
  </si>
  <si>
    <t>only sample qty, 190m will be replenished mid May</t>
    <phoneticPr fontId="4"/>
  </si>
  <si>
    <t>KYL-23382-1</t>
  </si>
  <si>
    <r>
      <t>1</t>
    </r>
    <r>
      <rPr>
        <sz val="11"/>
        <rFont val="Arial  "/>
        <family val="2"/>
      </rPr>
      <t>4m/ roll</t>
    </r>
    <phoneticPr fontId="4"/>
  </si>
  <si>
    <t xml:space="preserve">only sample qty  </t>
    <phoneticPr fontId="4"/>
  </si>
  <si>
    <t>257m -</t>
    <phoneticPr fontId="4"/>
  </si>
  <si>
    <t>KYL-23713-1</t>
    <phoneticPr fontId="4"/>
  </si>
  <si>
    <t>KYL-873031C</t>
    <phoneticPr fontId="4"/>
  </si>
  <si>
    <r>
      <t>880</t>
    </r>
    <r>
      <rPr>
        <sz val="12"/>
        <rFont val="ＭＳ Ｐゴシック"/>
        <family val="3"/>
        <charset val="128"/>
      </rPr>
      <t>円</t>
    </r>
    <r>
      <rPr>
        <sz val="12"/>
        <rFont val="Arial"/>
        <family val="2"/>
      </rPr>
      <t>/m</t>
    </r>
    <rPh sb="3" eb="4">
      <t>エン</t>
    </rPh>
    <phoneticPr fontId="4"/>
  </si>
  <si>
    <t>Stock in Mill's Off White as of the 7th May</t>
    <phoneticPr fontId="4"/>
  </si>
  <si>
    <t>KYL-H-102</t>
    <phoneticPr fontId="4"/>
  </si>
  <si>
    <r>
      <t>1</t>
    </r>
    <r>
      <rPr>
        <sz val="11"/>
        <rFont val="Arial  "/>
        <family val="2"/>
      </rPr>
      <t>3.7</t>
    </r>
    <r>
      <rPr>
        <sz val="11"/>
        <rFont val="Arial  "/>
        <family val="2"/>
      </rPr>
      <t>m / roll</t>
    </r>
    <phoneticPr fontId="4"/>
  </si>
  <si>
    <t>abt 54.8m in Mill's Off White ( abt 164m in Greige)</t>
    <phoneticPr fontId="4"/>
  </si>
  <si>
    <t xml:space="preserve">Lead Time </t>
    <phoneticPr fontId="4"/>
  </si>
  <si>
    <t xml:space="preserve">abt 2 - 3 weeks </t>
    <phoneticPr fontId="4"/>
  </si>
  <si>
    <t>MRK  20210510</t>
    <phoneticPr fontId="4"/>
  </si>
  <si>
    <t>Stock in Mill's Off White as of the 10th May</t>
    <phoneticPr fontId="4"/>
  </si>
  <si>
    <t>FLR-85038</t>
    <phoneticPr fontId="4"/>
  </si>
  <si>
    <r>
      <t>1</t>
    </r>
    <r>
      <rPr>
        <sz val="11"/>
        <rFont val="Arial  "/>
        <family val="2"/>
      </rPr>
      <t>3.7</t>
    </r>
    <r>
      <rPr>
        <sz val="11"/>
        <rFont val="Arial  "/>
        <family val="2"/>
      </rPr>
      <t xml:space="preserve">m </t>
    </r>
    <r>
      <rPr>
        <sz val="11"/>
        <rFont val="Arial  "/>
        <family val="2"/>
      </rPr>
      <t xml:space="preserve">x 2 rolls </t>
    </r>
    <phoneticPr fontId="4"/>
  </si>
  <si>
    <t xml:space="preserve">1 m in Mill's Off White </t>
    <phoneticPr fontId="4"/>
  </si>
  <si>
    <t xml:space="preserve">5 m in Mill's Off White </t>
    <phoneticPr fontId="4"/>
  </si>
  <si>
    <t xml:space="preserve">abt 80m in Mill's Optic White, abt 100m in Mill's Off White </t>
    <phoneticPr fontId="4"/>
  </si>
  <si>
    <t>SG-9113</t>
    <phoneticPr fontId="4"/>
  </si>
  <si>
    <t>abt 20m in Mill's Opric White,  no stock in Mill's Off White</t>
    <phoneticPr fontId="4"/>
  </si>
  <si>
    <t xml:space="preserve">abt 40m in Mill's Optic White, abt 40m in Mill's Off White </t>
    <phoneticPr fontId="4"/>
  </si>
  <si>
    <t>SG-9044</t>
    <phoneticPr fontId="4"/>
  </si>
  <si>
    <t xml:space="preserve">abt 80m in Mill's Optic White, abt 80m in Mill's Off White </t>
    <phoneticPr fontId="4"/>
  </si>
  <si>
    <t>SG-9119</t>
    <phoneticPr fontId="4"/>
  </si>
  <si>
    <t xml:space="preserve">No Stock </t>
    <phoneticPr fontId="4"/>
  </si>
  <si>
    <t>SG-9027</t>
  </si>
  <si>
    <t>Ready</t>
  </si>
  <si>
    <t>KYL-23631</t>
  </si>
  <si>
    <t xml:space="preserve">In Stock </t>
  </si>
  <si>
    <t xml:space="preserve">KYL-23396 </t>
  </si>
  <si>
    <t xml:space="preserve">KYL-23398 </t>
  </si>
  <si>
    <t xml:space="preserve">will be replenished Early June </t>
    <phoneticPr fontId="4"/>
  </si>
  <si>
    <t xml:space="preserve">KYL-23703 </t>
  </si>
  <si>
    <t xml:space="preserve">OL-89034 </t>
  </si>
  <si>
    <t>OL-574166 -1</t>
  </si>
  <si>
    <t xml:space="preserve">OL-62636 </t>
  </si>
  <si>
    <t xml:space="preserve">OL-68000 </t>
  </si>
  <si>
    <t xml:space="preserve">OL-62535-1 </t>
  </si>
  <si>
    <r>
      <t>O</t>
    </r>
    <r>
      <rPr>
        <sz val="11"/>
        <rFont val="Arial  "/>
        <family val="2"/>
      </rPr>
      <t>L-572023</t>
    </r>
    <phoneticPr fontId="4"/>
  </si>
  <si>
    <t xml:space="preserve">OL-232005 </t>
  </si>
  <si>
    <t>No Stock, L/T : abt  1.5 months</t>
    <phoneticPr fontId="4"/>
  </si>
  <si>
    <t>KYL-23350</t>
  </si>
  <si>
    <r>
      <rPr>
        <b/>
        <sz val="11"/>
        <rFont val="ＭＳ Ｐゴシック"/>
        <family val="3"/>
        <charset val="128"/>
      </rPr>
      <t>単価（円</t>
    </r>
    <r>
      <rPr>
        <b/>
        <sz val="11"/>
        <rFont val="Arial  "/>
        <family val="2"/>
      </rPr>
      <t>/m</t>
    </r>
    <r>
      <rPr>
        <b/>
        <sz val="11"/>
        <rFont val="ＭＳ Ｐゴシック"/>
        <family val="3"/>
        <charset val="128"/>
      </rPr>
      <t>）</t>
    </r>
    <rPh sb="0" eb="2">
      <t>タンカ</t>
    </rPh>
    <rPh sb="3" eb="4">
      <t>エン</t>
    </rPh>
    <phoneticPr fontId="4"/>
  </si>
  <si>
    <r>
      <rPr>
        <b/>
        <sz val="11"/>
        <rFont val="ＭＳ Ｐゴシック"/>
        <family val="3"/>
        <charset val="128"/>
      </rPr>
      <t>出荷日</t>
    </r>
    <rPh sb="0" eb="2">
      <t>シュッカ</t>
    </rPh>
    <rPh sb="2" eb="3">
      <t>ヒ</t>
    </rPh>
    <phoneticPr fontId="4"/>
  </si>
  <si>
    <r>
      <rPr>
        <sz val="11"/>
        <rFont val="ＭＳ Ｐゴシック"/>
        <family val="3"/>
        <charset val="128"/>
      </rPr>
      <t>本日出荷</t>
    </r>
  </si>
  <si>
    <r>
      <rPr>
        <sz val="11"/>
        <rFont val="ＭＳ Ｐゴシック"/>
        <family val="3"/>
        <charset val="128"/>
      </rPr>
      <t>本日出荷</t>
    </r>
    <rPh sb="0" eb="2">
      <t>ホンジツ</t>
    </rPh>
    <rPh sb="2" eb="4">
      <t>シュッカ</t>
    </rPh>
    <phoneticPr fontId="4"/>
  </si>
  <si>
    <t xml:space="preserve">KYL-23398-1 </t>
  </si>
  <si>
    <r>
      <t>6</t>
    </r>
    <r>
      <rPr>
        <sz val="11"/>
        <rFont val="ＭＳ Ｐゴシック"/>
        <family val="3"/>
        <charset val="128"/>
      </rPr>
      <t>月入荷分よりキープお願いします。</t>
    </r>
    <rPh sb="1" eb="2">
      <t>ガツ</t>
    </rPh>
    <rPh sb="2" eb="4">
      <t>ニュウカ</t>
    </rPh>
    <rPh sb="4" eb="5">
      <t>ブン</t>
    </rPh>
    <rPh sb="11" eb="12">
      <t>ネガ</t>
    </rPh>
    <phoneticPr fontId="4"/>
  </si>
  <si>
    <t>KYL-23703-1</t>
  </si>
  <si>
    <t>KYL-25418</t>
  </si>
  <si>
    <t>OL-572023</t>
  </si>
  <si>
    <r>
      <rPr>
        <sz val="11"/>
        <rFont val="ＭＳ Ｐゴシック"/>
        <family val="3"/>
        <charset val="128"/>
      </rPr>
      <t>最短納期のご連絡お願いします。</t>
    </r>
    <rPh sb="0" eb="2">
      <t>サイタン</t>
    </rPh>
    <rPh sb="2" eb="4">
      <t>ノウキ</t>
    </rPh>
    <rPh sb="6" eb="8">
      <t>レンラク</t>
    </rPh>
    <rPh sb="9" eb="10">
      <t>ネガ</t>
    </rPh>
    <phoneticPr fontId="4"/>
  </si>
  <si>
    <t>Availablility</t>
    <phoneticPr fontId="4"/>
  </si>
  <si>
    <t>NO STOCK</t>
    <phoneticPr fontId="4"/>
  </si>
  <si>
    <t>95.9m or 109.6m</t>
    <phoneticPr fontId="4"/>
  </si>
  <si>
    <r>
      <t xml:space="preserve">2227 </t>
    </r>
    <r>
      <rPr>
        <sz val="12"/>
        <color indexed="30"/>
        <rFont val="Arial"/>
        <family val="2"/>
      </rPr>
      <t>Ship to Thailand</t>
    </r>
  </si>
  <si>
    <t xml:space="preserve">End of July </t>
    <phoneticPr fontId="4"/>
  </si>
  <si>
    <r>
      <rPr>
        <sz val="12"/>
        <rFont val="ＭＳ Ｐゴシック"/>
        <family val="3"/>
        <charset val="128"/>
      </rPr>
      <t>€</t>
    </r>
    <r>
      <rPr>
        <sz val="12"/>
        <rFont val="Arial"/>
        <family val="2"/>
      </rPr>
      <t xml:space="preserve"> 1.81 ( or USD 2.21)</t>
    </r>
    <phoneticPr fontId="4"/>
  </si>
  <si>
    <t>Marie laporte 20210728</t>
    <phoneticPr fontId="4"/>
  </si>
  <si>
    <t xml:space="preserve">only 41.1m in stock,    L/T for Shortage: checking  </t>
    <phoneticPr fontId="4"/>
  </si>
  <si>
    <r>
      <t>P</t>
    </r>
    <r>
      <rPr>
        <b/>
        <sz val="11"/>
        <rFont val="Arial  "/>
        <family val="2"/>
      </rPr>
      <t xml:space="preserve">O# </t>
    </r>
    <phoneticPr fontId="4"/>
  </si>
  <si>
    <r>
      <t>Q</t>
    </r>
    <r>
      <rPr>
        <b/>
        <sz val="11"/>
        <rFont val="Arial  "/>
        <family val="2"/>
      </rPr>
      <t>ty</t>
    </r>
    <phoneticPr fontId="4"/>
  </si>
  <si>
    <r>
      <t xml:space="preserve">2287 </t>
    </r>
    <r>
      <rPr>
        <sz val="12"/>
        <color indexed="30"/>
        <rFont val="Arial"/>
        <family val="2"/>
      </rPr>
      <t>Ship to Thailand</t>
    </r>
  </si>
  <si>
    <r>
      <t xml:space="preserve">2296 </t>
    </r>
    <r>
      <rPr>
        <sz val="12"/>
        <color indexed="30"/>
        <rFont val="Arial"/>
        <family val="2"/>
      </rPr>
      <t>Ship to Thailand</t>
    </r>
    <phoneticPr fontId="4"/>
  </si>
  <si>
    <t xml:space="preserve">Ready mid September </t>
    <phoneticPr fontId="4"/>
  </si>
  <si>
    <t>20210805 Veronique Leroy</t>
    <phoneticPr fontId="4"/>
  </si>
  <si>
    <t>EXW JAPAN 
€/m</t>
    <phoneticPr fontId="4"/>
  </si>
  <si>
    <t>1 roll / Colors on CC</t>
    <phoneticPr fontId="4"/>
  </si>
  <si>
    <t>1 roll / Colors on CC</t>
  </si>
  <si>
    <r>
      <t>S</t>
    </r>
    <r>
      <rPr>
        <b/>
        <sz val="11"/>
        <rFont val="Arial  "/>
        <family val="2"/>
      </rPr>
      <t xml:space="preserve">tock as of today </t>
    </r>
    <phoneticPr fontId="4"/>
  </si>
  <si>
    <t xml:space="preserve">1050m/col once the current stock runs out </t>
    <phoneticPr fontId="4"/>
  </si>
  <si>
    <r>
      <t xml:space="preserve">Col. # 1 </t>
    </r>
    <r>
      <rPr>
        <sz val="12"/>
        <color indexed="30"/>
        <rFont val="Arial"/>
        <family val="2"/>
      </rPr>
      <t xml:space="preserve">&gt;&gt;&gt; abt 900m in stock as of today </t>
    </r>
    <phoneticPr fontId="4"/>
  </si>
  <si>
    <r>
      <t xml:space="preserve">Col. # 2 </t>
    </r>
    <r>
      <rPr>
        <sz val="12"/>
        <color indexed="30"/>
        <rFont val="Arial"/>
        <family val="2"/>
      </rPr>
      <t xml:space="preserve">&gt;&gt;&gt; No stock </t>
    </r>
    <phoneticPr fontId="4"/>
  </si>
  <si>
    <r>
      <t xml:space="preserve">Col. # 4 </t>
    </r>
    <r>
      <rPr>
        <sz val="12"/>
        <color indexed="30"/>
        <rFont val="Arial"/>
        <family val="2"/>
      </rPr>
      <t>&gt;&gt;&gt;abt 300m in stock as of today</t>
    </r>
    <r>
      <rPr>
        <sz val="12"/>
        <rFont val="Arial"/>
        <family val="2"/>
      </rPr>
      <t xml:space="preserve"> </t>
    </r>
    <phoneticPr fontId="4"/>
  </si>
  <si>
    <r>
      <t xml:space="preserve"> Col. # 5 </t>
    </r>
    <r>
      <rPr>
        <sz val="12"/>
        <color indexed="30"/>
        <rFont val="Arial"/>
        <family val="2"/>
      </rPr>
      <t xml:space="preserve">&gt;&gt;&gt;abt 300m in stock as of today </t>
    </r>
    <phoneticPr fontId="4"/>
  </si>
  <si>
    <r>
      <t>Col. # 6</t>
    </r>
    <r>
      <rPr>
        <sz val="12"/>
        <color indexed="30"/>
        <rFont val="Arial"/>
        <family val="2"/>
      </rPr>
      <t xml:space="preserve">&gt;&gt;&gt;abt 750m in stock as of today </t>
    </r>
    <phoneticPr fontId="4"/>
  </si>
  <si>
    <r>
      <t>Col. # 15</t>
    </r>
    <r>
      <rPr>
        <sz val="12"/>
        <color indexed="30"/>
        <rFont val="Arial"/>
        <family val="2"/>
      </rPr>
      <t xml:space="preserve">&gt;&gt;&gt;abt 600m in stock as of today </t>
    </r>
    <phoneticPr fontId="4"/>
  </si>
  <si>
    <t>Quote 20210827</t>
    <phoneticPr fontId="4"/>
  </si>
  <si>
    <r>
      <t>CIF China price / m</t>
    </r>
    <r>
      <rPr>
        <b/>
        <sz val="12"/>
        <rFont val="ＭＳ Ｐゴシック"/>
        <family val="3"/>
        <charset val="128"/>
      </rPr>
      <t>　</t>
    </r>
    <r>
      <rPr>
        <b/>
        <sz val="12"/>
        <rFont val="Arial"/>
        <family val="2"/>
      </rPr>
      <t>for 15,200m</t>
    </r>
    <phoneticPr fontId="4"/>
  </si>
  <si>
    <t xml:space="preserve">20210907 Maje </t>
    <phoneticPr fontId="4"/>
  </si>
  <si>
    <t>DS-30244-S</t>
    <phoneticPr fontId="4"/>
  </si>
  <si>
    <t xml:space="preserve">no stock </t>
    <phoneticPr fontId="4"/>
  </si>
  <si>
    <t>FWL-81792</t>
    <phoneticPr fontId="4"/>
  </si>
  <si>
    <t xml:space="preserve">FWL-24058 </t>
    <phoneticPr fontId="4"/>
  </si>
  <si>
    <t>FLR-56854</t>
    <phoneticPr fontId="4"/>
  </si>
  <si>
    <t xml:space="preserve">Discon </t>
    <phoneticPr fontId="4"/>
  </si>
  <si>
    <t>FLR-56801</t>
    <phoneticPr fontId="4"/>
  </si>
  <si>
    <t>FLR-55268</t>
    <phoneticPr fontId="4"/>
  </si>
  <si>
    <r>
      <t>in stock,</t>
    </r>
    <r>
      <rPr>
        <sz val="11"/>
        <color indexed="10"/>
        <rFont val="Arial  "/>
        <family val="2"/>
      </rPr>
      <t xml:space="preserve"> Future quality may be slightly different due to the machine change  </t>
    </r>
  </si>
  <si>
    <t>only a small swatch available, Dye Min. 300m/col-</t>
    <phoneticPr fontId="4"/>
  </si>
  <si>
    <r>
      <t xml:space="preserve">2315 </t>
    </r>
    <r>
      <rPr>
        <sz val="12"/>
        <color indexed="30"/>
        <rFont val="Arial"/>
        <family val="2"/>
      </rPr>
      <t>Thailand</t>
    </r>
  </si>
  <si>
    <t xml:space="preserve">INV &amp; PI  # </t>
    <phoneticPr fontId="4"/>
  </si>
  <si>
    <t>3421</t>
    <phoneticPr fontId="4"/>
  </si>
  <si>
    <t>3509</t>
    <phoneticPr fontId="4"/>
  </si>
  <si>
    <t>PI. 3527</t>
    <phoneticPr fontId="4"/>
  </si>
  <si>
    <r>
      <t xml:space="preserve">2325 </t>
    </r>
    <r>
      <rPr>
        <sz val="12"/>
        <color indexed="30"/>
        <rFont val="Arial"/>
        <family val="2"/>
      </rPr>
      <t>Thailand</t>
    </r>
  </si>
  <si>
    <r>
      <t xml:space="preserve">EXW JAPAN </t>
    </r>
    <r>
      <rPr>
        <b/>
        <sz val="12"/>
        <rFont val="ＭＳ Ｐゴシック"/>
        <family val="3"/>
        <charset val="128"/>
      </rPr>
      <t>€</t>
    </r>
    <r>
      <rPr>
        <b/>
        <sz val="12"/>
        <rFont val="Arial   "/>
        <family val="2"/>
      </rPr>
      <t xml:space="preserve"> /m</t>
    </r>
    <phoneticPr fontId="4"/>
  </si>
  <si>
    <t>5635</t>
  </si>
  <si>
    <t>Polyester Cords</t>
  </si>
  <si>
    <t>Polyester-100%</t>
  </si>
  <si>
    <t>5634</t>
  </si>
  <si>
    <t>CO-CCF-01A</t>
    <phoneticPr fontId="4"/>
  </si>
  <si>
    <t>Cotton Cord</t>
  </si>
  <si>
    <t>CO-CCF-01B</t>
    <phoneticPr fontId="4"/>
  </si>
  <si>
    <t xml:space="preserve">20211019  Y/Project </t>
    <phoneticPr fontId="4"/>
  </si>
  <si>
    <r>
      <t>M</t>
    </r>
    <r>
      <rPr>
        <b/>
        <sz val="11"/>
        <rFont val="Arial  "/>
        <family val="2"/>
      </rPr>
      <t xml:space="preserve">ill's Standard Colors </t>
    </r>
    <phoneticPr fontId="4"/>
  </si>
  <si>
    <t>KYL-762375</t>
    <phoneticPr fontId="4"/>
  </si>
  <si>
    <t xml:space="preserve">1 roll ( abt 60m ) </t>
    <phoneticPr fontId="4"/>
  </si>
  <si>
    <t>KYL-762003</t>
    <phoneticPr fontId="4"/>
  </si>
  <si>
    <t xml:space="preserve">20211019  Zapa </t>
    <phoneticPr fontId="4"/>
  </si>
  <si>
    <r>
      <t xml:space="preserve">100m / col ( *Dye fee </t>
    </r>
    <r>
      <rPr>
        <sz val="12"/>
        <rFont val="Arial  "/>
        <family val="2"/>
      </rPr>
      <t>€ 115/col for under MCQ )</t>
    </r>
    <phoneticPr fontId="4"/>
  </si>
  <si>
    <r>
      <rPr>
        <b/>
        <sz val="11"/>
        <color indexed="8"/>
        <rFont val="ＭＳ Ｐゴシック"/>
        <family val="3"/>
        <charset val="128"/>
      </rPr>
      <t>染色単価</t>
    </r>
    <r>
      <rPr>
        <b/>
        <sz val="11"/>
        <color indexed="8"/>
        <rFont val="Arial  "/>
        <family val="2"/>
      </rPr>
      <t>/m</t>
    </r>
    <rPh sb="0" eb="2">
      <t>センショク</t>
    </rPh>
    <rPh sb="2" eb="4">
      <t>タンカ</t>
    </rPh>
    <phoneticPr fontId="4"/>
  </si>
  <si>
    <r>
      <rPr>
        <b/>
        <sz val="11"/>
        <color indexed="8"/>
        <rFont val="ＭＳ Ｐゴシック"/>
        <family val="3"/>
        <charset val="128"/>
      </rPr>
      <t>染色ﾐﾆﾏﾑ（ｍ）</t>
    </r>
    <rPh sb="0" eb="2">
      <t>センショク</t>
    </rPh>
    <phoneticPr fontId="4"/>
  </si>
  <si>
    <r>
      <t>100</t>
    </r>
    <r>
      <rPr>
        <sz val="14"/>
        <color indexed="8"/>
        <rFont val="ＭＳ Ｐゴシック"/>
        <family val="3"/>
        <charset val="128"/>
      </rPr>
      <t>円</t>
    </r>
    <rPh sb="3" eb="4">
      <t>エン</t>
    </rPh>
    <phoneticPr fontId="4"/>
  </si>
  <si>
    <t xml:space="preserve">100m </t>
    <phoneticPr fontId="4"/>
  </si>
  <si>
    <t xml:space="preserve">20211020  Y/Project </t>
    <phoneticPr fontId="4"/>
  </si>
  <si>
    <r>
      <t>M</t>
    </r>
    <r>
      <rPr>
        <b/>
        <sz val="12"/>
        <rFont val="Arial   "/>
        <family val="2"/>
      </rPr>
      <t>OQ</t>
    </r>
    <phoneticPr fontId="4"/>
  </si>
  <si>
    <t xml:space="preserve">1 roll (30m /roll ) </t>
    <phoneticPr fontId="4"/>
  </si>
  <si>
    <t xml:space="preserve">1 roll (60m /roll ) </t>
    <phoneticPr fontId="4"/>
  </si>
  <si>
    <t>PI. 3527-REV</t>
    <phoneticPr fontId="4"/>
  </si>
  <si>
    <r>
      <t>145</t>
    </r>
    <r>
      <rPr>
        <sz val="12"/>
        <color indexed="8"/>
        <rFont val="ＭＳ Ｐゴシック"/>
        <family val="3"/>
        <charset val="128"/>
      </rPr>
      <t>円</t>
    </r>
    <rPh sb="3" eb="4">
      <t>エン</t>
    </rPh>
    <phoneticPr fontId="4"/>
  </si>
  <si>
    <r>
      <t xml:space="preserve">2342 </t>
    </r>
    <r>
      <rPr>
        <sz val="12"/>
        <color indexed="30"/>
        <rFont val="Arial"/>
        <family val="2"/>
      </rPr>
      <t>Thailand</t>
    </r>
  </si>
  <si>
    <t xml:space="preserve">20211108  Zapa </t>
    <phoneticPr fontId="4"/>
  </si>
  <si>
    <r>
      <t xml:space="preserve">100m / col ( *Dye fee </t>
    </r>
    <r>
      <rPr>
        <sz val="12"/>
        <rFont val="Arial  "/>
        <family val="2"/>
      </rPr>
      <t>€ 105/col for under MCQ )</t>
    </r>
    <phoneticPr fontId="4"/>
  </si>
  <si>
    <t>Paco Rabanne 20211112 ( 20% / 110)</t>
    <phoneticPr fontId="4"/>
  </si>
  <si>
    <t xml:space="preserve">Sample cut
 ( 1 - 5 m )
EXW JAPAN  / m </t>
    <phoneticPr fontId="4"/>
  </si>
  <si>
    <t xml:space="preserve">meter qty
 ( 6 m- )
EXW JAPAN  / m </t>
    <phoneticPr fontId="4"/>
  </si>
  <si>
    <t xml:space="preserve">Dye Min. </t>
    <phoneticPr fontId="4"/>
  </si>
  <si>
    <t>300m/col</t>
    <phoneticPr fontId="4"/>
  </si>
  <si>
    <t xml:space="preserve">20211124  Y/Project </t>
    <phoneticPr fontId="4"/>
  </si>
  <si>
    <t>CO-CCR-02 (M)</t>
    <phoneticPr fontId="4"/>
  </si>
  <si>
    <t xml:space="preserve">1 roll (50m /roll ) </t>
    <phoneticPr fontId="4"/>
  </si>
  <si>
    <r>
      <t xml:space="preserve">2344 </t>
    </r>
    <r>
      <rPr>
        <sz val="12"/>
        <color indexed="30"/>
        <rFont val="Arial"/>
        <family val="2"/>
      </rPr>
      <t>Ship to Thailand</t>
    </r>
  </si>
  <si>
    <t xml:space="preserve">20211129  Y/Project </t>
    <phoneticPr fontId="4"/>
  </si>
  <si>
    <t>FWL-22801</t>
    <phoneticPr fontId="4"/>
  </si>
  <si>
    <r>
      <t>60</t>
    </r>
    <r>
      <rPr>
        <sz val="11"/>
        <rFont val="ＭＳ Ｐゴシック"/>
        <family val="3"/>
        <charset val="128"/>
      </rPr>
      <t>円</t>
    </r>
    <r>
      <rPr>
        <sz val="11"/>
        <rFont val="Arial"/>
        <family val="2"/>
      </rPr>
      <t xml:space="preserve">/m </t>
    </r>
    <rPh sb="2" eb="3">
      <t>エン</t>
    </rPh>
    <phoneticPr fontId="4"/>
  </si>
  <si>
    <t xml:space="preserve">Ready Date </t>
  </si>
  <si>
    <r>
      <t xml:space="preserve">2356 </t>
    </r>
    <r>
      <rPr>
        <sz val="12"/>
        <color indexed="30"/>
        <rFont val="Arial"/>
        <family val="2"/>
      </rPr>
      <t>Ship to Thailand</t>
    </r>
  </si>
  <si>
    <t xml:space="preserve">Ship out on the 7th - 8th December </t>
    <phoneticPr fontId="4"/>
  </si>
  <si>
    <t>No Stock, Will be ready middle of January, 2021</t>
    <phoneticPr fontId="4"/>
  </si>
  <si>
    <t xml:space="preserve">20211202 Y/Project </t>
    <phoneticPr fontId="4"/>
  </si>
  <si>
    <t xml:space="preserve">Mill's Standard Colors </t>
    <phoneticPr fontId="4"/>
  </si>
  <si>
    <r>
      <t>160</t>
    </r>
    <r>
      <rPr>
        <sz val="12"/>
        <color indexed="8"/>
        <rFont val="ＭＳ Ｐゴシック"/>
        <family val="3"/>
        <charset val="128"/>
      </rPr>
      <t>円</t>
    </r>
    <r>
      <rPr>
        <sz val="12"/>
        <color indexed="8"/>
        <rFont val="Arial  "/>
        <family val="2"/>
      </rPr>
      <t xml:space="preserve">/m </t>
    </r>
    <rPh sb="3" eb="4">
      <t>エン</t>
    </rPh>
    <phoneticPr fontId="4"/>
  </si>
  <si>
    <t xml:space="preserve">20211208 elise garreau </t>
    <phoneticPr fontId="4"/>
  </si>
  <si>
    <t xml:space="preserve">MOQ for Mill's Off White / Mill's Standard color </t>
    <phoneticPr fontId="4"/>
  </si>
  <si>
    <r>
      <rPr>
        <b/>
        <sz val="11"/>
        <color indexed="8"/>
        <rFont val="ＭＳ Ｐゴシック"/>
        <family val="3"/>
        <charset val="128"/>
      </rPr>
      <t>新単価</t>
    </r>
    <rPh sb="0" eb="3">
      <t>シンタンカ</t>
    </rPh>
    <phoneticPr fontId="4"/>
  </si>
  <si>
    <t>EXW JAPAN /m for Mill's Off White / Mill's Standard color</t>
    <phoneticPr fontId="4"/>
  </si>
  <si>
    <t>FWL-81792(Black x AW201 Off)</t>
  </si>
  <si>
    <t>FWL-81793(Clear x AW201 Off)</t>
  </si>
  <si>
    <t>FWL-81793(Black x AW201 Off)</t>
  </si>
  <si>
    <t>80</t>
  </si>
  <si>
    <t>100m / col ( *Dye fee € 95/col for under MCQ )</t>
    <phoneticPr fontId="4"/>
  </si>
  <si>
    <t>100</t>
  </si>
  <si>
    <t>100m / col ( *Dye fee € 115/col for under MCQ )</t>
    <phoneticPr fontId="4"/>
  </si>
  <si>
    <t xml:space="preserve">FWL-24144  Black </t>
  </si>
  <si>
    <t xml:space="preserve">FWL-24144  Black x Off White </t>
  </si>
  <si>
    <t>DS-30095 / A</t>
  </si>
  <si>
    <t>DS-30088 / B</t>
    <phoneticPr fontId="4"/>
  </si>
  <si>
    <t>DS-30084 / C</t>
    <phoneticPr fontId="4"/>
  </si>
  <si>
    <t>DS-70076 / B</t>
    <phoneticPr fontId="4"/>
  </si>
  <si>
    <t xml:space="preserve">Mill's Standard color </t>
    <phoneticPr fontId="4"/>
  </si>
  <si>
    <r>
      <rPr>
        <sz val="10"/>
        <color indexed="8"/>
        <rFont val="ＭＳ Ｐゴシック"/>
        <family val="3"/>
        <charset val="128"/>
      </rPr>
      <t>単価（円</t>
    </r>
    <r>
      <rPr>
        <sz val="10"/>
        <color indexed="8"/>
        <rFont val="Arial   "/>
        <family val="2"/>
      </rPr>
      <t>/m</t>
    </r>
    <r>
      <rPr>
        <sz val="10"/>
        <color indexed="8"/>
        <rFont val="ＭＳ Ｐゴシック"/>
        <family val="3"/>
        <charset val="128"/>
      </rPr>
      <t>）</t>
    </r>
    <rPh sb="0" eb="2">
      <t>タンカ</t>
    </rPh>
    <rPh sb="3" eb="4">
      <t>エン</t>
    </rPh>
    <phoneticPr fontId="4"/>
  </si>
  <si>
    <t>EXW JAPAN /m for Mill's Off White &amp;Mill's Standard color</t>
    <phoneticPr fontId="4"/>
  </si>
  <si>
    <r>
      <rPr>
        <sz val="10"/>
        <color indexed="8"/>
        <rFont val="ＭＳ Ｐゴシック"/>
        <family val="3"/>
        <charset val="128"/>
      </rPr>
      <t>染色代（円</t>
    </r>
    <r>
      <rPr>
        <sz val="10"/>
        <color indexed="8"/>
        <rFont val="Arial   "/>
        <family val="2"/>
      </rPr>
      <t>/m</t>
    </r>
    <r>
      <rPr>
        <sz val="10"/>
        <color indexed="8"/>
        <rFont val="ＭＳ Ｐゴシック"/>
        <family val="3"/>
        <charset val="128"/>
      </rPr>
      <t>）</t>
    </r>
    <rPh sb="0" eb="2">
      <t>センショク</t>
    </rPh>
    <rPh sb="2" eb="3">
      <t>ダイ</t>
    </rPh>
    <rPh sb="4" eb="5">
      <t>エン</t>
    </rPh>
    <phoneticPr fontId="4"/>
  </si>
  <si>
    <r>
      <rPr>
        <sz val="10"/>
        <color indexed="8"/>
        <rFont val="ＭＳ Ｐゴシック"/>
        <family val="3"/>
        <charset val="128"/>
      </rPr>
      <t>染色代込単価</t>
    </r>
    <rPh sb="0" eb="2">
      <t>センショク</t>
    </rPh>
    <rPh sb="2" eb="3">
      <t>ダイ</t>
    </rPh>
    <rPh sb="3" eb="4">
      <t>コ</t>
    </rPh>
    <rPh sb="4" eb="6">
      <t>タンカ</t>
    </rPh>
    <phoneticPr fontId="4"/>
  </si>
  <si>
    <r>
      <rPr>
        <sz val="11"/>
        <color indexed="8"/>
        <rFont val="ＭＳ Ｐゴシック"/>
        <family val="3"/>
        <charset val="128"/>
      </rPr>
      <t>染色ロット</t>
    </r>
    <rPh sb="0" eb="2">
      <t>センショク</t>
    </rPh>
    <phoneticPr fontId="4"/>
  </si>
  <si>
    <r>
      <t>1</t>
    </r>
    <r>
      <rPr>
        <sz val="11"/>
        <color indexed="8"/>
        <rFont val="ＭＳ Ｐゴシック"/>
        <family val="3"/>
        <charset val="128"/>
      </rPr>
      <t>釜代
（染色ロット未満）</t>
    </r>
    <rPh sb="1" eb="2">
      <t>カマ</t>
    </rPh>
    <rPh sb="2" eb="3">
      <t>ダイ</t>
    </rPh>
    <rPh sb="5" eb="7">
      <t>センショク</t>
    </rPh>
    <rPh sb="10" eb="12">
      <t>ミマン</t>
    </rPh>
    <phoneticPr fontId="4"/>
  </si>
  <si>
    <t>KYL-25596</t>
  </si>
  <si>
    <t>13.7m</t>
  </si>
  <si>
    <t>301m / col ( *Dye fee € 105/col for under MCQ )</t>
    <phoneticPr fontId="4"/>
  </si>
  <si>
    <t>300m -</t>
  </si>
  <si>
    <t>KYL-25595</t>
  </si>
  <si>
    <t>KYL-875004GL19</t>
  </si>
  <si>
    <t>Gold x Black</t>
  </si>
  <si>
    <t>KYL-875004GL1</t>
  </si>
  <si>
    <t>Gold x Beige</t>
  </si>
  <si>
    <t>KYL-2432-1</t>
  </si>
  <si>
    <t>14m</t>
  </si>
  <si>
    <t>KYL-25577</t>
  </si>
  <si>
    <t>KYL-3383-1</t>
  </si>
  <si>
    <t>KYL-25561-21</t>
  </si>
  <si>
    <t>Ecru x Black</t>
  </si>
  <si>
    <t xml:space="preserve">20220203 Piret Kartus  ( 40%, レート110 ) </t>
    <phoneticPr fontId="4"/>
  </si>
  <si>
    <t>11706</t>
    <phoneticPr fontId="4"/>
  </si>
  <si>
    <t>Cotton-85%/Nylon-15%</t>
    <phoneticPr fontId="4"/>
  </si>
  <si>
    <t>20220208 Courreges</t>
    <phoneticPr fontId="4"/>
  </si>
  <si>
    <r>
      <t xml:space="preserve">2374 </t>
    </r>
    <r>
      <rPr>
        <sz val="12"/>
        <color indexed="30"/>
        <rFont val="Arial"/>
        <family val="2"/>
      </rPr>
      <t>ship to T</t>
    </r>
    <r>
      <rPr>
        <sz val="12"/>
        <color indexed="30"/>
        <rFont val="Arial"/>
        <family val="2"/>
      </rPr>
      <t>hailand</t>
    </r>
    <phoneticPr fontId="4"/>
  </si>
  <si>
    <t>Will be ready at the end of March</t>
    <phoneticPr fontId="4"/>
  </si>
  <si>
    <t xml:space="preserve">20220215 Veronique Leroy </t>
    <phoneticPr fontId="4"/>
  </si>
  <si>
    <r>
      <t xml:space="preserve">EXW JAPAN 
</t>
    </r>
    <r>
      <rPr>
        <b/>
        <sz val="12"/>
        <rFont val="ＭＳ Ｐゴシック"/>
        <family val="3"/>
        <charset val="128"/>
      </rPr>
      <t>€</t>
    </r>
    <r>
      <rPr>
        <b/>
        <sz val="12"/>
        <rFont val="Arial   "/>
        <family val="2"/>
      </rPr>
      <t>/m</t>
    </r>
    <phoneticPr fontId="4"/>
  </si>
  <si>
    <t>3709</t>
    <phoneticPr fontId="4"/>
  </si>
  <si>
    <t>Cotton-100%</t>
    <phoneticPr fontId="4"/>
  </si>
  <si>
    <t>Polyester-80%/Polyurethane-20%</t>
    <phoneticPr fontId="4"/>
  </si>
  <si>
    <t xml:space="preserve">20220218 Veronique Leroy </t>
    <phoneticPr fontId="4"/>
  </si>
  <si>
    <t>MOQ / Put-up</t>
    <phoneticPr fontId="4"/>
  </si>
  <si>
    <t>20220308 Courreges</t>
    <phoneticPr fontId="4"/>
  </si>
  <si>
    <r>
      <t xml:space="preserve">EXW JAPAN </t>
    </r>
    <r>
      <rPr>
        <b/>
        <sz val="10"/>
        <rFont val="ＭＳ Ｐゴシック"/>
        <family val="3"/>
        <charset val="128"/>
      </rPr>
      <t>€</t>
    </r>
    <r>
      <rPr>
        <b/>
        <sz val="10"/>
        <rFont val="Arial   "/>
        <family val="2"/>
      </rPr>
      <t xml:space="preserve"> /m</t>
    </r>
    <phoneticPr fontId="4"/>
  </si>
  <si>
    <t xml:space="preserve">Mill's Standard Black (C/# 84NT) </t>
    <phoneticPr fontId="4"/>
  </si>
  <si>
    <t>1 roll (50m ) /col</t>
    <phoneticPr fontId="4"/>
  </si>
  <si>
    <t>Mill's Standard Colors  (Other colors except for C/# 84NT)</t>
    <phoneticPr fontId="4"/>
  </si>
  <si>
    <t xml:space="preserve">4 rolls (200m)/col </t>
    <phoneticPr fontId="4"/>
  </si>
  <si>
    <t>Bemberg Grosgrain Ribbons</t>
  </si>
  <si>
    <t>色番</t>
    <rPh sb="0" eb="2">
      <t>イロバン</t>
    </rPh>
    <phoneticPr fontId="4"/>
  </si>
  <si>
    <r>
      <rPr>
        <sz val="12"/>
        <color indexed="8"/>
        <rFont val="Arial  "/>
        <family val="2"/>
      </rPr>
      <t>82</t>
    </r>
    <r>
      <rPr>
        <sz val="12"/>
        <color indexed="8"/>
        <rFont val="ＭＳ Ｐゴシック"/>
        <family val="3"/>
        <charset val="128"/>
      </rPr>
      <t>円</t>
    </r>
    <r>
      <rPr>
        <sz val="12"/>
        <color indexed="8"/>
        <rFont val="Arial  "/>
        <family val="2"/>
      </rPr>
      <t xml:space="preserve">/m </t>
    </r>
    <rPh sb="2" eb="3">
      <t>エン</t>
    </rPh>
    <phoneticPr fontId="4"/>
  </si>
  <si>
    <t xml:space="preserve">I/F charge in Japan </t>
    <phoneticPr fontId="4"/>
  </si>
  <si>
    <t>00121</t>
    <phoneticPr fontId="4"/>
  </si>
  <si>
    <t xml:space="preserve">20220401～Casablanca Paris </t>
    <phoneticPr fontId="4"/>
  </si>
  <si>
    <t xml:space="preserve">20220330 Courrege  </t>
    <phoneticPr fontId="4"/>
  </si>
  <si>
    <t>EXW JAPAN / pc</t>
    <phoneticPr fontId="4"/>
  </si>
  <si>
    <t>ZP-HIG01</t>
    <phoneticPr fontId="4"/>
  </si>
  <si>
    <t>100pcs</t>
    <phoneticPr fontId="4"/>
  </si>
  <si>
    <t>ZP-HIG22</t>
    <phoneticPr fontId="4"/>
  </si>
  <si>
    <r>
      <t xml:space="preserve">2434 </t>
    </r>
    <r>
      <rPr>
        <sz val="10"/>
        <color indexed="30"/>
        <rFont val="Arial"/>
        <family val="2"/>
      </rPr>
      <t>Thailand</t>
    </r>
    <phoneticPr fontId="4"/>
  </si>
  <si>
    <t>20220624 Bonpoint</t>
    <phoneticPr fontId="4"/>
  </si>
  <si>
    <t>EXW JAPAN EURO /m</t>
    <phoneticPr fontId="4"/>
  </si>
  <si>
    <t>20220629 Veronique Leroy</t>
    <phoneticPr fontId="4"/>
  </si>
  <si>
    <t>10 x 10mm</t>
    <phoneticPr fontId="4"/>
  </si>
  <si>
    <t># 193</t>
    <phoneticPr fontId="4"/>
  </si>
  <si>
    <t># 37</t>
    <phoneticPr fontId="4"/>
  </si>
  <si>
    <t>2467 Thailand</t>
    <phoneticPr fontId="4"/>
  </si>
  <si>
    <t>only 10m in stock, ready date for the shortage will be October</t>
    <phoneticPr fontId="4"/>
  </si>
  <si>
    <t>Courreges  47%（max border  ÷0.53) 
レート125</t>
    <phoneticPr fontId="4"/>
  </si>
  <si>
    <r>
      <t xml:space="preserve">EXW JAPAN 
</t>
    </r>
    <r>
      <rPr>
        <b/>
        <sz val="10"/>
        <rFont val="ＭＳ Ｐゴシック"/>
        <family val="3"/>
        <charset val="128"/>
      </rPr>
      <t>€</t>
    </r>
    <r>
      <rPr>
        <b/>
        <sz val="10"/>
        <rFont val="Arial   "/>
        <family val="2"/>
      </rPr>
      <t>/m</t>
    </r>
    <phoneticPr fontId="4"/>
  </si>
  <si>
    <r>
      <t xml:space="preserve">2467 </t>
    </r>
    <r>
      <rPr>
        <sz val="10"/>
        <color indexed="30"/>
        <rFont val="Arial"/>
        <family val="2"/>
      </rPr>
      <t>Thailand</t>
    </r>
  </si>
  <si>
    <t>No Stock, will be ready in the middle of October</t>
    <phoneticPr fontId="4"/>
  </si>
  <si>
    <r>
      <t xml:space="preserve">2482 </t>
    </r>
    <r>
      <rPr>
        <sz val="10"/>
        <color indexed="30"/>
        <rFont val="Arial"/>
        <family val="2"/>
      </rPr>
      <t>Thailand</t>
    </r>
    <phoneticPr fontId="4"/>
  </si>
  <si>
    <t>No Stock, will be ready at the end of October</t>
    <phoneticPr fontId="4"/>
  </si>
  <si>
    <r>
      <t xml:space="preserve">Blath Ban Limited, 30% </t>
    </r>
    <r>
      <rPr>
        <sz val="10"/>
        <rFont val="ＭＳ Ｐゴシック"/>
        <family val="3"/>
        <charset val="128"/>
      </rPr>
      <t>レート</t>
    </r>
    <r>
      <rPr>
        <sz val="10"/>
        <rFont val="Arial"/>
        <family val="2"/>
      </rPr>
      <t xml:space="preserve"> 125</t>
    </r>
    <r>
      <rPr>
        <sz val="10"/>
        <rFont val="ＭＳ Ｐゴシック"/>
        <family val="3"/>
        <charset val="128"/>
      </rPr>
      <t>円</t>
    </r>
    <r>
      <rPr>
        <sz val="10"/>
        <rFont val="Arial"/>
        <family val="2"/>
      </rPr>
      <t xml:space="preserve">   20220823</t>
    </r>
    <rPh sb="30" eb="31">
      <t>エン</t>
    </rPh>
    <phoneticPr fontId="4"/>
  </si>
  <si>
    <t>Length/ roll</t>
    <phoneticPr fontId="4"/>
  </si>
  <si>
    <t>MOQ in Mill's Off White</t>
    <phoneticPr fontId="4"/>
  </si>
  <si>
    <t xml:space="preserve">Stock  as of 23rd Aug,2022 </t>
    <phoneticPr fontId="4"/>
  </si>
  <si>
    <t>KYL-873022N</t>
    <phoneticPr fontId="4"/>
  </si>
  <si>
    <t>Base:100% Nylon, Front &amp; Back yarn: 100% Cotton</t>
    <phoneticPr fontId="4"/>
  </si>
  <si>
    <t>1 roll ( 13.7m), sample cut available</t>
    <phoneticPr fontId="4"/>
  </si>
  <si>
    <t>27.4m in Mill's Off White</t>
    <phoneticPr fontId="4"/>
  </si>
  <si>
    <t>35m -</t>
    <phoneticPr fontId="4"/>
  </si>
  <si>
    <t>KYL-873022C</t>
    <phoneticPr fontId="4"/>
  </si>
  <si>
    <t>41.1m in Mill's Off White</t>
    <phoneticPr fontId="4"/>
  </si>
  <si>
    <t>36m -</t>
    <phoneticPr fontId="4"/>
  </si>
  <si>
    <t>KYL-873023N</t>
    <phoneticPr fontId="4"/>
  </si>
  <si>
    <t>KYL-873023C</t>
    <phoneticPr fontId="4"/>
  </si>
  <si>
    <t>54.8m in Mill's Off White</t>
    <phoneticPr fontId="4"/>
  </si>
  <si>
    <t>KYL-873031N</t>
    <phoneticPr fontId="4"/>
  </si>
  <si>
    <t>13.7m in Mill's Off White</t>
    <phoneticPr fontId="4"/>
  </si>
  <si>
    <t>25m -</t>
    <phoneticPr fontId="4"/>
  </si>
  <si>
    <t xml:space="preserve">only sample qty available </t>
    <phoneticPr fontId="4"/>
  </si>
  <si>
    <t>KYL-873033N</t>
    <phoneticPr fontId="4"/>
  </si>
  <si>
    <t>FLR-85022</t>
    <phoneticPr fontId="4"/>
  </si>
  <si>
    <t>2 rolls (27.4m), made to order</t>
    <phoneticPr fontId="4"/>
  </si>
  <si>
    <t xml:space="preserve">Made to order </t>
    <phoneticPr fontId="4"/>
  </si>
  <si>
    <t xml:space="preserve">NINA RICCI 20220914 </t>
    <phoneticPr fontId="4"/>
  </si>
  <si>
    <t>EXW (JAPAN) / m
sample price</t>
    <phoneticPr fontId="4"/>
  </si>
  <si>
    <t xml:space="preserve">Sample MOQ </t>
    <phoneticPr fontId="4"/>
  </si>
  <si>
    <t>EXW (JAPAN) / m
Bulk price</t>
    <phoneticPr fontId="4"/>
  </si>
  <si>
    <t>FLR-03842 ( 1300VV )</t>
    <phoneticPr fontId="4"/>
  </si>
  <si>
    <t>27.4m</t>
    <phoneticPr fontId="4"/>
  </si>
  <si>
    <t>Color : # Black x # 5138BK Gold ( Alpure)</t>
    <phoneticPr fontId="4"/>
  </si>
  <si>
    <t>20220915 Courreges</t>
    <phoneticPr fontId="4"/>
  </si>
  <si>
    <t xml:space="preserve">20220922  Nina Ricci  ( 20% レート 125) </t>
    <phoneticPr fontId="4"/>
  </si>
  <si>
    <t>EXW JAPAN for purchase by roll</t>
    <phoneticPr fontId="4"/>
  </si>
  <si>
    <t>EXW JAPAN for purchase by meter</t>
    <phoneticPr fontId="4"/>
  </si>
  <si>
    <r>
      <rPr>
        <sz val="10"/>
        <rFont val="ＭＳ Ｐゴシック"/>
        <family val="3"/>
        <charset val="128"/>
      </rPr>
      <t>カット代</t>
    </r>
    <r>
      <rPr>
        <sz val="10"/>
        <rFont val="Arial  "/>
        <family val="2"/>
      </rPr>
      <t xml:space="preserve"> /m  </t>
    </r>
    <rPh sb="3" eb="4">
      <t>ダイ</t>
    </rPh>
    <phoneticPr fontId="4"/>
  </si>
  <si>
    <t>SAG7500</t>
    <phoneticPr fontId="4"/>
  </si>
  <si>
    <t xml:space="preserve">20221006  Nina Ricci  ( 20% レート 125) </t>
    <phoneticPr fontId="4"/>
  </si>
  <si>
    <r>
      <t>The term of validity: Above prices are applied</t>
    </r>
    <r>
      <rPr>
        <sz val="11"/>
        <rFont val="Arial  "/>
        <family val="2"/>
      </rPr>
      <t xml:space="preserve"> to orders </t>
    </r>
    <r>
      <rPr>
        <sz val="11"/>
        <rFont val="Arial  "/>
        <family val="2"/>
      </rPr>
      <t>deliv</t>
    </r>
    <r>
      <rPr>
        <sz val="11"/>
        <rFont val="Arial  "/>
        <family val="2"/>
      </rPr>
      <t>ered</t>
    </r>
    <r>
      <rPr>
        <sz val="11"/>
        <rFont val="Arial  "/>
        <family val="2"/>
      </rPr>
      <t xml:space="preserve"> by the end of March, 2023 </t>
    </r>
    <phoneticPr fontId="4"/>
  </si>
  <si>
    <t>20221007   NINA RICCI  47%  125円 for 999m,  40% 125円 for 1000m</t>
    <rPh sb="31" eb="32">
      <t>エン</t>
    </rPh>
    <rPh sb="51" eb="52">
      <t>エン</t>
    </rPh>
    <phoneticPr fontId="4"/>
  </si>
  <si>
    <t>EXW JAPAN 
EURO/m for -999m</t>
    <phoneticPr fontId="4"/>
  </si>
  <si>
    <t xml:space="preserve">EXW JAPAN 
EURO/m for 1,000m - </t>
    <phoneticPr fontId="4"/>
  </si>
  <si>
    <t>12720</t>
    <phoneticPr fontId="4"/>
  </si>
  <si>
    <t>Cotton-62%/Nylon-38%</t>
    <phoneticPr fontId="4"/>
  </si>
  <si>
    <t>12740</t>
    <phoneticPr fontId="4"/>
  </si>
  <si>
    <t>Metallic Velvet Ribbon</t>
    <phoneticPr fontId="4"/>
  </si>
  <si>
    <t>Knit Velvet Cords</t>
    <phoneticPr fontId="4"/>
  </si>
  <si>
    <r>
      <t>PE</t>
    </r>
    <r>
      <rPr>
        <sz val="12"/>
        <rFont val="ＭＳ Ｐゴシック"/>
        <family val="3"/>
        <charset val="128"/>
      </rPr>
      <t>：</t>
    </r>
    <r>
      <rPr>
        <sz val="12"/>
        <rFont val="Arial  "/>
        <family val="2"/>
      </rPr>
      <t>100%</t>
    </r>
    <phoneticPr fontId="4"/>
  </si>
  <si>
    <t>Moose Velvet Piping tape</t>
    <phoneticPr fontId="4"/>
  </si>
  <si>
    <t>Reversible Satin Velvet Ribbon</t>
    <phoneticPr fontId="4"/>
  </si>
  <si>
    <t>Rayon-55%/Polyester-45%</t>
    <phoneticPr fontId="4"/>
  </si>
  <si>
    <t>TI-3000N</t>
  </si>
  <si>
    <t>Stretch Velvet Ribbon</t>
  </si>
  <si>
    <t>Nylon-93%/Polyurethane-7%</t>
  </si>
  <si>
    <t>Nylon-91.5%/Polyurethane-8.5%</t>
  </si>
  <si>
    <t>Nylon-93.5%/Polyurethane-6.5%</t>
  </si>
  <si>
    <t>Custom Col. Pink</t>
    <phoneticPr fontId="4"/>
  </si>
  <si>
    <t>Custom Col. Yellow</t>
    <phoneticPr fontId="4"/>
  </si>
  <si>
    <t>Custom Col. White</t>
    <phoneticPr fontId="4"/>
  </si>
  <si>
    <t>Order number</t>
    <phoneticPr fontId="4"/>
  </si>
  <si>
    <t>Custom Col. Pink</t>
  </si>
  <si>
    <t>Custom Col. Yellow</t>
  </si>
  <si>
    <t>Custom Col. White</t>
  </si>
  <si>
    <t xml:space="preserve">20221019   Rouje 20%  125円 </t>
    <rPh sb="25" eb="26">
      <t>エン</t>
    </rPh>
    <phoneticPr fontId="4"/>
  </si>
  <si>
    <t>EXW JAPAN 
EURO/m for - 499m/col</t>
    <phoneticPr fontId="4"/>
  </si>
  <si>
    <t xml:space="preserve">EXW JAPAN 
EURO/m for 500m/col - </t>
    <phoneticPr fontId="4"/>
  </si>
  <si>
    <t>abt 46m /roll</t>
    <phoneticPr fontId="4"/>
  </si>
  <si>
    <t>Nylon dyed Taffeta</t>
    <phoneticPr fontId="4"/>
  </si>
  <si>
    <t>100% Nylon</t>
    <phoneticPr fontId="4"/>
  </si>
  <si>
    <t>20221019  Casablanca paris　33-36%  120円 for 499m (旧単価据え置き）, 25%  120円 for 500m</t>
    <rPh sb="38" eb="39">
      <t>エン</t>
    </rPh>
    <rPh sb="50" eb="53">
      <t>キュウタンカ</t>
    </rPh>
    <rPh sb="53" eb="54">
      <t>ス</t>
    </rPh>
    <rPh sb="55" eb="56">
      <t>オ</t>
    </rPh>
    <rPh sb="68" eb="69">
      <t>エン</t>
    </rPh>
    <phoneticPr fontId="4"/>
  </si>
  <si>
    <t>EXW JAPAN /m 
- 499m/col</t>
    <phoneticPr fontId="4"/>
  </si>
  <si>
    <t xml:space="preserve">EXW JAPAN /m 
500m/col - </t>
    <phoneticPr fontId="4"/>
  </si>
  <si>
    <t xml:space="preserve">1 - any meter </t>
    <phoneticPr fontId="4"/>
  </si>
  <si>
    <t xml:space="preserve">Up to 20m </t>
    <phoneticPr fontId="4"/>
  </si>
  <si>
    <t>20221027   NINA RICCI  47%  125円 for 999m,  40% 125円 for 1000m</t>
    <rPh sb="31" eb="32">
      <t>エン</t>
    </rPh>
    <rPh sb="51" eb="52">
      <t>エン</t>
    </rPh>
    <phoneticPr fontId="4"/>
  </si>
  <si>
    <t>20 rolls /col (200m/col)</t>
    <phoneticPr fontId="4"/>
  </si>
  <si>
    <t>11700-75㎜の件ですが、1反　￥5121（10ｍ）です。 ロットは別注色も同じで20反です。</t>
    <phoneticPr fontId="4"/>
  </si>
  <si>
    <r>
      <t xml:space="preserve">2510 </t>
    </r>
    <r>
      <rPr>
        <sz val="10"/>
        <color indexed="30"/>
        <rFont val="Arial"/>
        <family val="2"/>
      </rPr>
      <t>Thailand</t>
    </r>
    <phoneticPr fontId="4"/>
  </si>
  <si>
    <t>1 roll in stock (13.4m this time as there's a small spot and 30cm is deducted )</t>
    <phoneticPr fontId="4"/>
  </si>
  <si>
    <t>No stock, will be ready at the end of Dec. - early January 2023</t>
    <phoneticPr fontId="4"/>
  </si>
  <si>
    <r>
      <t>I</t>
    </r>
    <r>
      <rPr>
        <sz val="10"/>
        <rFont val="Arial  "/>
        <family val="2"/>
      </rPr>
      <t xml:space="preserve">n stock, abt 1 week for packing </t>
    </r>
    <phoneticPr fontId="4"/>
  </si>
  <si>
    <t>only 120m in stock, and L/T for the shortate is abt 4 - 5 weeks based on working days in Japan</t>
    <phoneticPr fontId="4"/>
  </si>
  <si>
    <t># 90 BLACK</t>
    <phoneticPr fontId="4"/>
  </si>
  <si>
    <t xml:space="preserve">Col. # 90 is not black, is the correct C/# 30 ?? </t>
    <phoneticPr fontId="4"/>
  </si>
  <si>
    <t>Casablanca Paris 20221118   20%  120円</t>
    <rPh sb="36" eb="37">
      <t>エン</t>
    </rPh>
    <phoneticPr fontId="4"/>
  </si>
  <si>
    <t># T2023 / Col. KW -  Print order confitions (2022.November 18th )</t>
    <phoneticPr fontId="4"/>
  </si>
  <si>
    <t>1 roll/design *3m - available with cut fee (when in stock)</t>
    <phoneticPr fontId="4"/>
  </si>
  <si>
    <t xml:space="preserve">2 rolls /design - </t>
    <phoneticPr fontId="4"/>
  </si>
  <si>
    <t>L/T for strike off</t>
    <phoneticPr fontId="4"/>
  </si>
  <si>
    <t>abt 10 days</t>
    <phoneticPr fontId="4"/>
  </si>
  <si>
    <t>L/T for sample roll</t>
    <phoneticPr fontId="4"/>
  </si>
  <si>
    <t>abt 2 weeks when PFP is in stock</t>
    <phoneticPr fontId="4"/>
  </si>
  <si>
    <t>abt 4-5 weeks when PFP is in stock</t>
    <phoneticPr fontId="4"/>
  </si>
  <si>
    <t xml:space="preserve">Strike Off fee </t>
    <phoneticPr fontId="4"/>
  </si>
  <si>
    <t>US$105/design</t>
    <phoneticPr fontId="4"/>
  </si>
  <si>
    <t xml:space="preserve">Sample Price for 1 roll/design </t>
    <phoneticPr fontId="4"/>
  </si>
  <si>
    <t>Bulk Price for 2 - 10rolls/design</t>
    <phoneticPr fontId="4"/>
  </si>
  <si>
    <t>Bulk Price for 11 rolls/design</t>
    <phoneticPr fontId="4"/>
  </si>
  <si>
    <t xml:space="preserve">All the L/T is based on working days in Japan </t>
    <phoneticPr fontId="4"/>
  </si>
  <si>
    <t>Price is EXW JAPAN</t>
    <phoneticPr fontId="4"/>
  </si>
  <si>
    <t xml:space="preserve">1 roll = abt 50m </t>
    <phoneticPr fontId="4"/>
  </si>
  <si>
    <t>20221122 Casablanca Paris</t>
    <phoneticPr fontId="4"/>
  </si>
  <si>
    <t>Article number</t>
    <phoneticPr fontId="4"/>
  </si>
  <si>
    <t>Pattern</t>
    <phoneticPr fontId="4"/>
  </si>
  <si>
    <t>EXW (JAPAN)</t>
    <phoneticPr fontId="4"/>
  </si>
  <si>
    <t xml:space="preserve">Custom Print: Check Tile </t>
    <phoneticPr fontId="4"/>
  </si>
  <si>
    <t>Strike Off 1 set</t>
    <phoneticPr fontId="4"/>
  </si>
  <si>
    <t>Handling Fee(I/F Charge in Japan)</t>
    <phoneticPr fontId="4"/>
  </si>
  <si>
    <t>abt 44m</t>
    <phoneticPr fontId="4"/>
  </si>
  <si>
    <t>Stock position / Lead time</t>
    <phoneticPr fontId="4"/>
  </si>
  <si>
    <r>
      <t xml:space="preserve">2523 </t>
    </r>
    <r>
      <rPr>
        <sz val="10"/>
        <color indexed="30"/>
        <rFont val="Arial"/>
        <family val="2"/>
      </rPr>
      <t>Thailand</t>
    </r>
    <phoneticPr fontId="4"/>
  </si>
  <si>
    <t xml:space="preserve">In stock, but need abt 15 days to inspect </t>
    <phoneticPr fontId="4"/>
  </si>
  <si>
    <t>No stock, ready late January,2023</t>
    <phoneticPr fontId="4"/>
  </si>
  <si>
    <r>
      <rPr>
        <b/>
        <sz val="10"/>
        <rFont val="ＭＳ Ｐゴシック"/>
        <family val="3"/>
        <charset val="128"/>
      </rPr>
      <t>単価</t>
    </r>
    <r>
      <rPr>
        <b/>
        <sz val="10"/>
        <rFont val="Arial"/>
        <family val="2"/>
      </rPr>
      <t>/m(1000</t>
    </r>
    <r>
      <rPr>
        <b/>
        <sz val="10"/>
        <rFont val="ＭＳ Ｐゴシック"/>
        <family val="3"/>
        <charset val="128"/>
      </rPr>
      <t>以上特価）</t>
    </r>
    <rPh sb="0" eb="2">
      <t>タンカ</t>
    </rPh>
    <rPh sb="9" eb="11">
      <t>イジョウ</t>
    </rPh>
    <rPh sb="11" eb="13">
      <t>トッカ</t>
    </rPh>
    <phoneticPr fontId="4"/>
  </si>
  <si>
    <r>
      <t>1,650</t>
    </r>
    <r>
      <rPr>
        <sz val="10"/>
        <rFont val="ＭＳ Ｐゴシック"/>
        <family val="3"/>
        <charset val="128"/>
      </rPr>
      <t>円</t>
    </r>
    <rPh sb="5" eb="6">
      <t>エン</t>
    </rPh>
    <phoneticPr fontId="4"/>
  </si>
  <si>
    <t>EXW (JAPAN) / m *Bulk price for 1,000m/col</t>
    <phoneticPr fontId="4"/>
  </si>
  <si>
    <t>Availability</t>
    <phoneticPr fontId="4"/>
  </si>
  <si>
    <t>in stock, same lot as PO # 08094</t>
    <phoneticPr fontId="4"/>
  </si>
  <si>
    <r>
      <rPr>
        <b/>
        <sz val="10"/>
        <rFont val="Arial"/>
        <family val="2"/>
      </rPr>
      <t>400m</t>
    </r>
    <r>
      <rPr>
        <sz val="10"/>
        <rFont val="ＭＳ Ｐゴシック"/>
        <family val="3"/>
        <charset val="128"/>
      </rPr>
      <t>→</t>
    </r>
    <r>
      <rPr>
        <sz val="10"/>
        <rFont val="Arial"/>
        <family val="2"/>
      </rPr>
      <t xml:space="preserve">in stock, same lot as PO # 08094, 
</t>
    </r>
    <r>
      <rPr>
        <b/>
        <sz val="10"/>
        <rFont val="Arial"/>
        <family val="2"/>
      </rPr>
      <t>120m</t>
    </r>
    <r>
      <rPr>
        <sz val="10"/>
        <rFont val="ＭＳ Ｐゴシック"/>
        <family val="3"/>
        <charset val="128"/>
      </rPr>
      <t>→</t>
    </r>
    <r>
      <rPr>
        <sz val="10"/>
        <rFont val="Arial"/>
        <family val="2"/>
      </rPr>
      <t xml:space="preserve">in stock,  another lot
</t>
    </r>
    <r>
      <rPr>
        <b/>
        <sz val="10"/>
        <rFont val="Arial"/>
        <family val="2"/>
      </rPr>
      <t>80m</t>
    </r>
    <r>
      <rPr>
        <sz val="10"/>
        <rFont val="ＭＳ Ｐゴシック"/>
        <family val="3"/>
        <charset val="128"/>
      </rPr>
      <t>→</t>
    </r>
    <r>
      <rPr>
        <sz val="10"/>
        <rFont val="Arial"/>
        <family val="2"/>
      </rPr>
      <t>no stock, L/T 4-5 working weeks</t>
    </r>
    <phoneticPr fontId="4"/>
  </si>
  <si>
    <t>no stock, L/T 4-5 working weeks</t>
    <phoneticPr fontId="4"/>
  </si>
  <si>
    <t xml:space="preserve">In stock  </t>
    <phoneticPr fontId="4"/>
  </si>
  <si>
    <t>備考欄</t>
    <rPh sb="0" eb="3">
      <t>ビコウラン</t>
    </rPh>
    <phoneticPr fontId="4"/>
  </si>
  <si>
    <t xml:space="preserve">FWL-69229 # Black x Greige </t>
  </si>
  <si>
    <t xml:space="preserve">FWL-69231 # Black x Greige </t>
  </si>
  <si>
    <t>FWL-81944 # Greige x Silver x E72</t>
  </si>
  <si>
    <t>FWL-92539  ( Off x Light Brown)</t>
  </si>
  <si>
    <r>
      <t xml:space="preserve">MOQ 200m ( </t>
    </r>
    <r>
      <rPr>
        <sz val="10"/>
        <color indexed="8"/>
        <rFont val="ＭＳ Ｐゴシック"/>
        <family val="3"/>
        <charset val="128"/>
      </rPr>
      <t>小口代</t>
    </r>
    <r>
      <rPr>
        <sz val="10"/>
        <color indexed="8"/>
        <rFont val="Arial"/>
        <family val="2"/>
      </rPr>
      <t xml:space="preserve"> 5,000</t>
    </r>
    <r>
      <rPr>
        <sz val="10"/>
        <color indexed="8"/>
        <rFont val="ＭＳ Ｐゴシック"/>
        <family val="3"/>
        <charset val="128"/>
      </rPr>
      <t>円）</t>
    </r>
    <r>
      <rPr>
        <sz val="10"/>
        <color indexed="8"/>
        <rFont val="Arial"/>
        <family val="2"/>
      </rPr>
      <t xml:space="preserve"> </t>
    </r>
  </si>
  <si>
    <t>FWL-92535  ( Off x Light Brown )</t>
  </si>
  <si>
    <t>FWL-92527  ( Off x Light Brown)</t>
  </si>
  <si>
    <t>シート名1</t>
    <rPh sb="3" eb="4">
      <t>メイ</t>
    </rPh>
    <phoneticPr fontId="4"/>
  </si>
  <si>
    <t>シート名2</t>
    <rPh sb="3" eb="4">
      <t>メイ</t>
    </rPh>
    <phoneticPr fontId="4"/>
  </si>
  <si>
    <t>BackOrder</t>
    <phoneticPr fontId="4"/>
  </si>
  <si>
    <t>シート名</t>
    <rPh sb="3" eb="4">
      <t>メイ</t>
    </rPh>
    <phoneticPr fontId="4"/>
  </si>
  <si>
    <t xml:space="preserve">      FRANCE</t>
    <phoneticPr fontId="4"/>
  </si>
  <si>
    <t xml:space="preserve">      OTHER</t>
    <phoneticPr fontId="4"/>
  </si>
  <si>
    <t>Osaka, Japan</t>
    <phoneticPr fontId="4"/>
  </si>
  <si>
    <t xml:space="preserve">40 rue François 1er, </t>
    <phoneticPr fontId="4"/>
  </si>
  <si>
    <t>Payment Due</t>
    <phoneticPr fontId="4"/>
  </si>
  <si>
    <t>①入力してください</t>
    <rPh sb="1" eb="3">
      <t>ニュウリョク</t>
    </rPh>
    <phoneticPr fontId="4"/>
  </si>
  <si>
    <t>②選択してください</t>
    <rPh sb="1" eb="3">
      <t>センタク</t>
    </rPh>
    <phoneticPr fontId="4"/>
  </si>
  <si>
    <t>③選択してください</t>
    <rPh sb="1" eb="3">
      <t>センタク</t>
    </rPh>
    <phoneticPr fontId="4"/>
  </si>
  <si>
    <t>④入力してください</t>
    <rPh sb="1" eb="3">
      <t>ニュウリョク</t>
    </rPh>
    <phoneticPr fontId="4"/>
  </si>
  <si>
    <t>⑤入力してください</t>
    <rPh sb="1" eb="3">
      <t>ニュウリョク</t>
    </rPh>
    <phoneticPr fontId="4"/>
  </si>
  <si>
    <t>⑥入力してください</t>
    <rPh sb="1" eb="3">
      <t>ニュウリョク</t>
    </rPh>
    <phoneticPr fontId="4"/>
  </si>
  <si>
    <t>Courier Account#</t>
    <phoneticPr fontId="4"/>
  </si>
  <si>
    <t>-</t>
    <phoneticPr fontId="4"/>
  </si>
  <si>
    <t>改行位置検出</t>
    <rPh sb="0" eb="2">
      <t>カイギョウ</t>
    </rPh>
    <rPh sb="2" eb="4">
      <t>イチ</t>
    </rPh>
    <rPh sb="4" eb="6">
      <t>ケンシュツ</t>
    </rPh>
    <phoneticPr fontId="4"/>
  </si>
  <si>
    <t>作業中ユーザー</t>
    <rPh sb="0" eb="3">
      <t>サギョウチュウ</t>
    </rPh>
    <phoneticPr fontId="4"/>
  </si>
  <si>
    <t>↓データ開始/終了行の参考用です</t>
    <rPh sb="4" eb="6">
      <t>カイシ</t>
    </rPh>
    <rPh sb="7" eb="10">
      <t>シュウリョウギョウ</t>
    </rPh>
    <rPh sb="11" eb="14">
      <t>サンコウヨウ</t>
    </rPh>
    <phoneticPr fontId="4"/>
  </si>
  <si>
    <t>↓⑧データ入力が完了したら、下のボタンからファイルを保存して下さい：</t>
    <rPh sb="5" eb="7">
      <t>ニュウリョク</t>
    </rPh>
    <rPh sb="8" eb="10">
      <t>カンリョウ</t>
    </rPh>
    <rPh sb="14" eb="15">
      <t>シタ</t>
    </rPh>
    <rPh sb="26" eb="28">
      <t>ホゾン</t>
    </rPh>
    <rPh sb="30" eb="31">
      <t>クダ</t>
    </rPh>
    <phoneticPr fontId="4"/>
  </si>
  <si>
    <t>←標準は今日の日付です</t>
    <rPh sb="1" eb="3">
      <t>ヒョウジュン</t>
    </rPh>
    <rPh sb="4" eb="6">
      <t>キョウ</t>
    </rPh>
    <rPh sb="7" eb="9">
      <t>ヒヅケ</t>
    </rPh>
    <phoneticPr fontId="4"/>
  </si>
  <si>
    <t>←クーリエ情報などはここに</t>
    <rPh sb="5" eb="7">
      <t>ジョウホウ</t>
    </rPh>
    <phoneticPr fontId="4"/>
  </si>
  <si>
    <t>←取引先マスタのAccount#を呼び出し</t>
    <rPh sb="1" eb="4">
      <t>トリヒキサキ</t>
    </rPh>
    <rPh sb="17" eb="18">
      <t>ヨ</t>
    </rPh>
    <rPh sb="19" eb="20">
      <t>ダ</t>
    </rPh>
    <phoneticPr fontId="4"/>
  </si>
  <si>
    <t>保存フォルダ</t>
    <rPh sb="0" eb="2">
      <t>ホゾン</t>
    </rPh>
    <phoneticPr fontId="4"/>
  </si>
  <si>
    <t>：水色のセルは全て入力して下さい</t>
    <rPh sb="1" eb="3">
      <t>ミズイロ</t>
    </rPh>
    <rPh sb="7" eb="8">
      <t>スベ</t>
    </rPh>
    <rPh sb="9" eb="11">
      <t>ニュウリョク</t>
    </rPh>
    <rPh sb="13" eb="14">
      <t>クダ</t>
    </rPh>
    <phoneticPr fontId="4"/>
  </si>
  <si>
    <t>↓⑦指定したデータ範囲をBackOrderから明細にコピー</t>
    <rPh sb="2" eb="4">
      <t>シテイ</t>
    </rPh>
    <rPh sb="9" eb="11">
      <t>ハンイ</t>
    </rPh>
    <rPh sb="23" eb="25">
      <t>メイサイ</t>
    </rPh>
    <phoneticPr fontId="4"/>
  </si>
  <si>
    <t>マクロ設定用
(変更しないで)</t>
    <rPh sb="3" eb="6">
      <t>セッテイヨウ</t>
    </rPh>
    <rPh sb="8" eb="10">
      <t>ヘンコウ</t>
    </rPh>
    <phoneticPr fontId="4"/>
  </si>
  <si>
    <t>③入力してください</t>
    <rPh sb="1" eb="3">
      <t>ニュウリョク</t>
    </rPh>
    <phoneticPr fontId="4"/>
  </si>
  <si>
    <t>改行位置検出</t>
    <rPh sb="0" eb="4">
      <t>カイギョウイチ</t>
    </rPh>
    <rPh sb="4" eb="6">
      <t>ケンシュツ</t>
    </rPh>
    <phoneticPr fontId="4"/>
  </si>
  <si>
    <t>予備項目(1)</t>
    <rPh sb="0" eb="4">
      <t>ヨビコウモク</t>
    </rPh>
    <phoneticPr fontId="4"/>
  </si>
  <si>
    <t>予備項目(2)</t>
    <rPh sb="0" eb="4">
      <t>ヨビコウモク</t>
    </rPh>
    <phoneticPr fontId="4"/>
  </si>
  <si>
    <t>↓⑥指定したデータ範囲をBackOrderから明細にコピー</t>
    <rPh sb="2" eb="4">
      <t>シテイ</t>
    </rPh>
    <rPh sb="9" eb="11">
      <t>ハンイ</t>
    </rPh>
    <rPh sb="23" eb="25">
      <t>メイサイ</t>
    </rPh>
    <phoneticPr fontId="4"/>
  </si>
  <si>
    <t>↓⑦データ入力が完了したら、下のボタンからファイルを保存して下さい：</t>
    <rPh sb="5" eb="7">
      <t>ニュウリョク</t>
    </rPh>
    <rPh sb="8" eb="10">
      <t>カンリョウ</t>
    </rPh>
    <rPh sb="14" eb="15">
      <t>シタ</t>
    </rPh>
    <rPh sb="26" eb="28">
      <t>ホゾン</t>
    </rPh>
    <rPh sb="30" eb="31">
      <t>クダ</t>
    </rPh>
    <phoneticPr fontId="4"/>
  </si>
  <si>
    <t>改行位置判定</t>
    <rPh sb="0" eb="4">
      <t>カイギョウイチ</t>
    </rPh>
    <rPh sb="4" eb="6">
      <t>ハンテイ</t>
    </rPh>
    <phoneticPr fontId="4"/>
  </si>
  <si>
    <r>
      <rPr>
        <b/>
        <sz val="12"/>
        <rFont val="Times New Roman"/>
        <family val="1"/>
      </rPr>
      <t>SUN FASHION CORP.</t>
    </r>
    <r>
      <rPr>
        <sz val="10"/>
        <rFont val="Times New Roman"/>
        <family val="1"/>
      </rPr>
      <t xml:space="preserve">
21-10 Fukushima 8 Chome, Fukushima-Ku
Osaka, OSAKA 553-0003, JAPAN
TEL: +81 6-6455-7580/ 2850
FAX: +81 6-6452-1641</t>
    </r>
    <phoneticPr fontId="4"/>
  </si>
  <si>
    <t>改行位置判定(69行目）</t>
    <rPh sb="0" eb="6">
      <t>カイギョウイチハンテイ</t>
    </rPh>
    <rPh sb="9" eb="11">
      <t>ギョウメ</t>
    </rPh>
    <phoneticPr fontId="4"/>
  </si>
  <si>
    <t>7000688636</t>
  </si>
  <si>
    <t>7000688636</t>
    <phoneticPr fontId="4"/>
  </si>
  <si>
    <t>SAG7500 (Less-water repellency)</t>
    <phoneticPr fontId="4"/>
  </si>
  <si>
    <t>Nina Ricci</t>
    <phoneticPr fontId="4"/>
  </si>
  <si>
    <t>Jessica Bertolucci</t>
    <phoneticPr fontId="4"/>
  </si>
  <si>
    <t>17 rue François 1er</t>
    <phoneticPr fontId="4"/>
  </si>
  <si>
    <t>Tel:+33183977201</t>
    <phoneticPr fontId="4"/>
  </si>
  <si>
    <t>NET 30days</t>
  </si>
  <si>
    <t>7000688636</t>
    <phoneticPr fontId="4"/>
  </si>
  <si>
    <t>Osaka Profit</t>
    <phoneticPr fontId="4"/>
  </si>
  <si>
    <t>数量</t>
    <rPh sb="0" eb="2">
      <t>スウリョウ</t>
    </rPh>
    <phoneticPr fontId="4"/>
  </si>
  <si>
    <t>Total Profit ( Osaka+JM)</t>
    <phoneticPr fontId="4"/>
  </si>
  <si>
    <t xml:space="preserve">JM (  5% ) </t>
    <phoneticPr fontId="4"/>
  </si>
  <si>
    <t>2反減</t>
    <rPh sb="1" eb="2">
      <t>タン</t>
    </rPh>
    <rPh sb="2" eb="3">
      <t>ゲン</t>
    </rPh>
    <phoneticPr fontId="4"/>
  </si>
  <si>
    <t>4反減</t>
    <rPh sb="1" eb="2">
      <t>タン</t>
    </rPh>
    <rPh sb="2" eb="3">
      <t>ゲン</t>
    </rPh>
    <phoneticPr fontId="4"/>
  </si>
  <si>
    <t>3反減</t>
    <rPh sb="1" eb="2">
      <t>タン</t>
    </rPh>
    <rPh sb="2" eb="3">
      <t>ゲン</t>
    </rPh>
    <phoneticPr fontId="4"/>
  </si>
  <si>
    <t>減反数</t>
    <rPh sb="0" eb="1">
      <t>ゲン</t>
    </rPh>
    <rPh sb="1" eb="3">
      <t>タンスウ</t>
    </rPh>
    <phoneticPr fontId="4"/>
  </si>
  <si>
    <t xml:space="preserve">end user Total amount </t>
    <phoneticPr fontId="4"/>
  </si>
  <si>
    <t xml:space="preserve">仕入金額 ( 全量引き取り) </t>
    <rPh sb="0" eb="4">
      <t>シイレキンガク</t>
    </rPh>
    <rPh sb="7" eb="9">
      <t>ゼンリョウ</t>
    </rPh>
    <rPh sb="9" eb="10">
      <t>ヒ</t>
    </rPh>
    <rPh sb="11" eb="12">
      <t>ト</t>
    </rPh>
    <phoneticPr fontId="4"/>
  </si>
  <si>
    <r>
      <t>end user Total amount
JPY ( 125</t>
    </r>
    <r>
      <rPr>
        <b/>
        <sz val="10"/>
        <rFont val="ＭＳ Ｐゴシック"/>
        <family val="3"/>
        <charset val="128"/>
      </rPr>
      <t>円</t>
    </r>
    <r>
      <rPr>
        <b/>
        <sz val="10"/>
        <rFont val="Arial  "/>
        <family val="2"/>
      </rPr>
      <t>/</t>
    </r>
    <r>
      <rPr>
        <b/>
        <sz val="10"/>
        <rFont val="ＭＳ Ｐゴシック"/>
        <family val="3"/>
        <charset val="128"/>
      </rPr>
      <t>€</t>
    </r>
    <r>
      <rPr>
        <b/>
        <sz val="10"/>
        <rFont val="Arial  "/>
        <family val="2"/>
      </rPr>
      <t xml:space="preserve"> ) </t>
    </r>
    <rPh sb="31" eb="32">
      <t>エン</t>
    </rPh>
    <phoneticPr fontId="4"/>
  </si>
  <si>
    <t>先方全量引き取り</t>
    <rPh sb="0" eb="2">
      <t>センポウ</t>
    </rPh>
    <rPh sb="2" eb="4">
      <t>ゼンリョウ</t>
    </rPh>
    <rPh sb="4" eb="5">
      <t>ヒ</t>
    </rPh>
    <rPh sb="6" eb="7">
      <t>ト</t>
    </rPh>
    <phoneticPr fontId="4"/>
  </si>
  <si>
    <r>
      <t xml:space="preserve">Osaka Profit ( JM commission </t>
    </r>
    <r>
      <rPr>
        <b/>
        <sz val="10"/>
        <rFont val="ＭＳ Ｐゴシック"/>
        <family val="3"/>
        <charset val="128"/>
      </rPr>
      <t>分除く</t>
    </r>
    <r>
      <rPr>
        <b/>
        <sz val="10"/>
        <rFont val="Arial  "/>
        <family val="2"/>
      </rPr>
      <t xml:space="preserve">) </t>
    </r>
    <rPh sb="29" eb="30">
      <t>ブン</t>
    </rPh>
    <rPh sb="30" eb="31">
      <t>ノゾ</t>
    </rPh>
    <phoneticPr fontId="4"/>
  </si>
  <si>
    <t>合計金額</t>
    <rPh sb="0" eb="4">
      <t>ゴウケイキンガク</t>
    </rPh>
    <phoneticPr fontId="4"/>
  </si>
  <si>
    <t>②入力してください</t>
    <rPh sb="1" eb="3">
      <t>ニュウリョク</t>
    </rPh>
    <phoneticPr fontId="4"/>
  </si>
  <si>
    <t>FWL-22186</t>
    <phoneticPr fontId="4"/>
  </si>
  <si>
    <t>CYM-230203 France</t>
    <phoneticPr fontId="4"/>
  </si>
  <si>
    <t>Avon, France</t>
  </si>
  <si>
    <t>Avon, France</t>
    <phoneticPr fontId="4"/>
  </si>
  <si>
    <t>Tel: 33 1 64 78 56 51</t>
    <phoneticPr fontId="4"/>
  </si>
  <si>
    <t xml:space="preserve">Lucrece </t>
    <phoneticPr fontId="4"/>
  </si>
  <si>
    <t>SHIP VIA DHL A/C : 955665439</t>
  </si>
  <si>
    <t>PK-230207</t>
    <phoneticPr fontId="4"/>
  </si>
  <si>
    <t>Piret Kartus</t>
    <phoneticPr fontId="4"/>
  </si>
  <si>
    <t># 22 red</t>
    <phoneticPr fontId="4"/>
  </si>
  <si>
    <t># 17 purple</t>
    <phoneticPr fontId="4"/>
  </si>
  <si>
    <t># 78 royal blue</t>
    <phoneticPr fontId="4"/>
  </si>
  <si>
    <t xml:space="preserve"># 3 Grey  </t>
    <phoneticPr fontId="4"/>
  </si>
  <si>
    <t>Double Faced Velveteen Ribbon  Cotton-85%/Nylon-15%</t>
    <phoneticPr fontId="4"/>
  </si>
  <si>
    <t># 17 Rose</t>
    <phoneticPr fontId="4"/>
  </si>
  <si>
    <t># 26 Orange</t>
    <phoneticPr fontId="4"/>
  </si>
  <si>
    <t># 22 Orange</t>
    <phoneticPr fontId="4"/>
  </si>
  <si>
    <t># 53 Green</t>
    <phoneticPr fontId="4"/>
  </si>
  <si>
    <t># 49 green</t>
    <phoneticPr fontId="4"/>
  </si>
  <si>
    <t># 64 G/b</t>
    <phoneticPr fontId="4"/>
  </si>
  <si>
    <t># 69 teal</t>
    <phoneticPr fontId="4"/>
  </si>
  <si>
    <t># 77 blueish</t>
    <phoneticPr fontId="4"/>
  </si>
  <si>
    <t># 38 beige</t>
    <phoneticPr fontId="4"/>
  </si>
  <si>
    <t>??</t>
    <phoneticPr fontId="4"/>
  </si>
  <si>
    <t>Piret Kartus 20230209</t>
    <phoneticPr fontId="4"/>
  </si>
  <si>
    <t>in stock</t>
  </si>
  <si>
    <t xml:space="preserve">Availability </t>
    <phoneticPr fontId="4"/>
  </si>
  <si>
    <t>no stock, ready Mid March</t>
    <phoneticPr fontId="4"/>
  </si>
  <si>
    <t>no stock, ready late March</t>
    <phoneticPr fontId="4"/>
  </si>
  <si>
    <t>CYM-230214 France</t>
    <phoneticPr fontId="4"/>
  </si>
  <si>
    <r>
      <rPr>
        <sz val="11"/>
        <rFont val="MS UI Gothic"/>
        <family val="3"/>
        <charset val="128"/>
      </rPr>
      <t>大阪府大阪市中央区本町</t>
    </r>
    <r>
      <rPr>
        <sz val="11"/>
        <rFont val="Times New Roman"/>
        <family val="1"/>
      </rPr>
      <t>2</t>
    </r>
    <r>
      <rPr>
        <sz val="11"/>
        <rFont val="MS UI Gothic"/>
        <family val="3"/>
        <charset val="128"/>
      </rPr>
      <t>丁目</t>
    </r>
    <r>
      <rPr>
        <sz val="11"/>
        <rFont val="Times New Roman"/>
        <family val="1"/>
      </rPr>
      <t>1-6</t>
    </r>
    <phoneticPr fontId="4"/>
  </si>
  <si>
    <t>サンコロナ小田　株式会社</t>
    <rPh sb="5" eb="7">
      <t>オダ</t>
    </rPh>
    <rPh sb="8" eb="12">
      <t>カブシキカイシャ</t>
    </rPh>
    <phoneticPr fontId="4"/>
  </si>
  <si>
    <r>
      <t xml:space="preserve">2556 </t>
    </r>
    <r>
      <rPr>
        <sz val="12"/>
        <color indexed="30"/>
        <rFont val="Arial"/>
        <family val="2"/>
      </rPr>
      <t>Thailand</t>
    </r>
    <phoneticPr fontId="4"/>
  </si>
  <si>
    <t>2556 Thailand</t>
    <phoneticPr fontId="4"/>
  </si>
  <si>
    <t xml:space="preserve">Checking </t>
    <phoneticPr fontId="4"/>
  </si>
  <si>
    <t>単価</t>
    <rPh sb="0" eb="2">
      <t>タンカ</t>
    </rPh>
    <phoneticPr fontId="4"/>
  </si>
  <si>
    <r>
      <t>290</t>
    </r>
    <r>
      <rPr>
        <sz val="10"/>
        <rFont val="ＭＳ Ｐゴシック"/>
        <family val="3"/>
        <charset val="128"/>
      </rPr>
      <t>円</t>
    </r>
    <rPh sb="3" eb="4">
      <t>エン</t>
    </rPh>
    <phoneticPr fontId="4"/>
  </si>
  <si>
    <t>018025</t>
    <phoneticPr fontId="4"/>
  </si>
  <si>
    <t xml:space="preserve">Total amont (EXW JAPAN ) </t>
    <phoneticPr fontId="4"/>
  </si>
  <si>
    <t xml:space="preserve">017990 ( Original order ) </t>
    <phoneticPr fontId="4"/>
  </si>
  <si>
    <t xml:space="preserve">018025 ( Additional order) </t>
    <phoneticPr fontId="4"/>
  </si>
  <si>
    <t xml:space="preserve">Ready date of Shipping sample </t>
    <phoneticPr fontId="4"/>
  </si>
  <si>
    <t>ship out 24th Feb</t>
    <phoneticPr fontId="4"/>
  </si>
  <si>
    <t>ship out End of March</t>
    <phoneticPr fontId="4"/>
  </si>
  <si>
    <t xml:space="preserve">Art Description </t>
    <phoneticPr fontId="4"/>
  </si>
  <si>
    <t>Air Fabric</t>
  </si>
  <si>
    <t>Up to 20m</t>
    <phoneticPr fontId="194"/>
  </si>
  <si>
    <t>Glass Organza</t>
  </si>
  <si>
    <t>Soft Tulle</t>
  </si>
  <si>
    <t>Up to 25m</t>
    <phoneticPr fontId="194"/>
  </si>
  <si>
    <t>Cymbeline 20230218 ( 3月より値上げ単価）40% 125円</t>
    <rPh sb="22" eb="23">
      <t>ガツ</t>
    </rPh>
    <rPh sb="25" eb="27">
      <t>ネア</t>
    </rPh>
    <rPh sb="28" eb="30">
      <t>タンカ</t>
    </rPh>
    <rPh sb="38" eb="39">
      <t>エン</t>
    </rPh>
    <phoneticPr fontId="4"/>
  </si>
  <si>
    <t xml:space="preserve">KFUT5116 D#F-3407 </t>
    <phoneticPr fontId="4"/>
  </si>
  <si>
    <t>116/118cm × abt 58m</t>
    <phoneticPr fontId="4"/>
  </si>
  <si>
    <t>EXW JAPAN /m</t>
    <phoneticPr fontId="4"/>
  </si>
  <si>
    <t xml:space="preserve">Sample Cut
( cut fee €12/cut) </t>
    <phoneticPr fontId="4"/>
  </si>
  <si>
    <r>
      <t>POLYESTER 100</t>
    </r>
    <r>
      <rPr>
        <sz val="10"/>
        <color rgb="FF000000"/>
        <rFont val="ＭＳ Ｐゴシック"/>
        <family val="3"/>
        <charset val="128"/>
      </rPr>
      <t>％</t>
    </r>
  </si>
  <si>
    <r>
      <t>NYLON 100</t>
    </r>
    <r>
      <rPr>
        <sz val="10"/>
        <color rgb="FF000000"/>
        <rFont val="ＭＳ Ｐゴシック"/>
        <family val="3"/>
        <charset val="128"/>
      </rPr>
      <t>％</t>
    </r>
  </si>
  <si>
    <r>
      <t xml:space="preserve">SIZE
</t>
    </r>
    <r>
      <rPr>
        <b/>
        <sz val="10"/>
        <rFont val="ＭＳ Ｐゴシック"/>
        <family val="3"/>
        <charset val="128"/>
      </rPr>
      <t>（</t>
    </r>
    <r>
      <rPr>
        <b/>
        <sz val="10"/>
        <rFont val="Arial  "/>
        <family val="2"/>
      </rPr>
      <t>cm×m</t>
    </r>
    <r>
      <rPr>
        <b/>
        <sz val="10"/>
        <rFont val="ＭＳ Ｐゴシック"/>
        <family val="3"/>
        <charset val="128"/>
      </rPr>
      <t>）</t>
    </r>
    <phoneticPr fontId="4"/>
  </si>
  <si>
    <r>
      <rPr>
        <b/>
        <sz val="10"/>
        <rFont val="ＭＳ Ｐゴシック"/>
        <family val="3"/>
        <charset val="128"/>
      </rPr>
      <t>単価</t>
    </r>
    <rPh sb="0" eb="2">
      <t>タンカ</t>
    </rPh>
    <phoneticPr fontId="4"/>
  </si>
  <si>
    <r>
      <t xml:space="preserve">Made in China, </t>
    </r>
    <r>
      <rPr>
        <b/>
        <sz val="10"/>
        <color rgb="FFFF0000"/>
        <rFont val="ＭＳ Ｐゴシック"/>
        <family val="3"/>
        <charset val="128"/>
      </rPr>
      <t>色番頭</t>
    </r>
    <r>
      <rPr>
        <b/>
        <sz val="10"/>
        <color rgb="FFFF0000"/>
        <rFont val="Arial  "/>
        <family val="2"/>
      </rPr>
      <t>Y:</t>
    </r>
    <r>
      <rPr>
        <b/>
        <sz val="10"/>
        <color rgb="FFFF0000"/>
        <rFont val="ＭＳ Ｐゴシック"/>
        <family val="3"/>
        <charset val="128"/>
      </rPr>
      <t>キバタ中国生産・染色日本</t>
    </r>
    <phoneticPr fontId="4"/>
  </si>
  <si>
    <r>
      <t>Cymbeline 20230218    25% 125</t>
    </r>
    <r>
      <rPr>
        <sz val="10"/>
        <rFont val="ＭＳ Ｐゴシック"/>
        <family val="3"/>
        <charset val="128"/>
      </rPr>
      <t>円</t>
    </r>
    <rPh sb="29" eb="30">
      <t>エン</t>
    </rPh>
    <phoneticPr fontId="4"/>
  </si>
  <si>
    <t xml:space="preserve">EXW JAPAN /m 
in sample cut
(1~2.9m : cut fee € 15/cut) </t>
    <phoneticPr fontId="4"/>
  </si>
  <si>
    <t xml:space="preserve">017990-1st </t>
    <phoneticPr fontId="4"/>
  </si>
  <si>
    <t>Monique Lhuillier Inc.</t>
    <phoneticPr fontId="4"/>
  </si>
  <si>
    <r>
      <t>PO</t>
    </r>
    <r>
      <rPr>
        <sz val="24"/>
        <color indexed="8"/>
        <rFont val="ＭＳ Ｐゴシック"/>
        <family val="3"/>
        <charset val="128"/>
      </rPr>
      <t>　</t>
    </r>
    <r>
      <rPr>
        <sz val="24"/>
        <color indexed="8"/>
        <rFont val="Arial"/>
        <family val="2"/>
      </rPr>
      <t>No.</t>
    </r>
    <phoneticPr fontId="4"/>
  </si>
  <si>
    <t>Article No. :</t>
  </si>
  <si>
    <t>Carton NO. 1</t>
    <phoneticPr fontId="4"/>
  </si>
  <si>
    <t>228701 LA</t>
    <phoneticPr fontId="4"/>
  </si>
  <si>
    <t>Country of Origin : Japan</t>
    <phoneticPr fontId="4"/>
  </si>
  <si>
    <t>Carton NO. 2</t>
    <phoneticPr fontId="4"/>
  </si>
  <si>
    <t>Country of Origin : JAPAN</t>
    <phoneticPr fontId="4"/>
  </si>
  <si>
    <t>Flock Printed Organza  Base fabric : 100% Polyester    Flock: 50% Nylon 50% Rayon</t>
    <phoneticPr fontId="4"/>
  </si>
  <si>
    <t>KFUT5116  D/#F-3407</t>
    <phoneticPr fontId="4"/>
  </si>
  <si>
    <t>116/118cm</t>
    <phoneticPr fontId="4"/>
  </si>
  <si>
    <t>CYM-230224 France</t>
    <phoneticPr fontId="4"/>
  </si>
  <si>
    <t xml:space="preserve">  # 6OW (Ivory)</t>
    <phoneticPr fontId="4"/>
  </si>
  <si>
    <t>09041</t>
    <phoneticPr fontId="4"/>
  </si>
  <si>
    <t># 0 BLANC</t>
    <phoneticPr fontId="4"/>
  </si>
  <si>
    <t># 74 COFFEE</t>
    <phoneticPr fontId="4"/>
  </si>
  <si>
    <t># 10 GROSEILLE FONCE</t>
    <phoneticPr fontId="4"/>
  </si>
  <si>
    <t># 157 POWDER PINK</t>
    <phoneticPr fontId="4"/>
  </si>
  <si>
    <t># 211 CANDY PINK</t>
    <phoneticPr fontId="4"/>
  </si>
  <si>
    <t>Maestro Knitting(courreges)</t>
    <phoneticPr fontId="4"/>
  </si>
  <si>
    <t># 0000 BLANC OPTIQUE</t>
    <phoneticPr fontId="4"/>
  </si>
  <si>
    <t># 5018 CANDY PINK</t>
    <phoneticPr fontId="4"/>
  </si>
  <si>
    <t># 6025 PLUM</t>
  </si>
  <si>
    <t># 01 HERITAGE WHITE</t>
    <phoneticPr fontId="4"/>
  </si>
  <si>
    <t>CAS-230228</t>
    <phoneticPr fontId="4"/>
  </si>
  <si>
    <t># 1 HERITAGE WHITE</t>
  </si>
  <si>
    <t># 1 BLANC OPTIQUE</t>
  </si>
  <si>
    <t># 1 BLANC OPTIQUE</t>
    <phoneticPr fontId="4"/>
  </si>
  <si>
    <t># 211 CANDY PINK</t>
  </si>
  <si>
    <t># 87 PLUM</t>
  </si>
  <si>
    <t># 87 PLUM</t>
    <phoneticPr fontId="4"/>
  </si>
  <si>
    <t># 24 BLACK</t>
  </si>
  <si>
    <t>キープ依頼</t>
    <rPh sb="3" eb="5">
      <t>イライ</t>
    </rPh>
    <phoneticPr fontId="4"/>
  </si>
  <si>
    <t>↑と同ロットでキープお願いします</t>
    <rPh sb="2" eb="3">
      <t>ドウ</t>
    </rPh>
    <rPh sb="11" eb="12">
      <t>ネガ</t>
    </rPh>
    <phoneticPr fontId="4"/>
  </si>
  <si>
    <t>キープお願いします</t>
    <rPh sb="4" eb="5">
      <t>ネガ</t>
    </rPh>
    <phoneticPr fontId="4"/>
  </si>
  <si>
    <t>2/28キープ済</t>
    <rPh sb="7" eb="8">
      <t>スミ</t>
    </rPh>
    <phoneticPr fontId="4"/>
  </si>
  <si>
    <t>3/1keep</t>
    <phoneticPr fontId="4"/>
  </si>
  <si>
    <t>2/28keep</t>
    <phoneticPr fontId="4"/>
  </si>
  <si>
    <t>Availability</t>
  </si>
  <si>
    <r>
      <rPr>
        <sz val="10"/>
        <rFont val="Arial"/>
        <family val="2"/>
      </rPr>
      <t xml:space="preserve">360m in stock / shortage 120m </t>
    </r>
    <r>
      <rPr>
        <sz val="10"/>
        <rFont val="ＭＳ Ｐゴシック"/>
        <family val="3"/>
        <charset val="128"/>
      </rPr>
      <t>→</t>
    </r>
    <r>
      <rPr>
        <sz val="10"/>
        <rFont val="Arial"/>
        <family val="2"/>
      </rPr>
      <t>4-5 weeks</t>
    </r>
    <phoneticPr fontId="4"/>
  </si>
  <si>
    <t>Size</t>
  </si>
  <si>
    <t>9 mm</t>
  </si>
  <si>
    <t>20 m</t>
  </si>
  <si>
    <t>12 rolls</t>
  </si>
  <si>
    <t>240 m</t>
  </si>
  <si>
    <t>In stock</t>
  </si>
  <si>
    <t>18 rolls</t>
  </si>
  <si>
    <t>360 m</t>
  </si>
  <si>
    <t>24 rolls</t>
  </si>
  <si>
    <t>480 m</t>
  </si>
  <si>
    <r>
      <t xml:space="preserve">360m in stock / shortage 120m </t>
    </r>
    <r>
      <rPr>
        <sz val="10"/>
        <rFont val="ＭＳ Ｐゴシック"/>
        <family val="3"/>
        <charset val="128"/>
      </rPr>
      <t>→</t>
    </r>
    <r>
      <rPr>
        <sz val="10"/>
        <rFont val="Arial"/>
        <family val="2"/>
      </rPr>
      <t>4-5 weeks</t>
    </r>
  </si>
  <si>
    <t>13 rolls</t>
  </si>
  <si>
    <t>260 m</t>
  </si>
  <si>
    <t>64 rolls</t>
  </si>
  <si>
    <t>1,280 m</t>
  </si>
  <si>
    <t>明細</t>
    <rPh sb="0" eb="2">
      <t>メイサイ</t>
    </rPh>
    <phoneticPr fontId="4"/>
  </si>
  <si>
    <t>No. of Package</t>
    <phoneticPr fontId="4"/>
  </si>
  <si>
    <t xml:space="preserve"> packages</t>
    <phoneticPr fontId="4"/>
  </si>
  <si>
    <t>x x cm</t>
    <phoneticPr fontId="4"/>
  </si>
  <si>
    <t>KG</t>
  </si>
  <si>
    <t xml:space="preserve">20230309   NEYRET  40%  125円 </t>
    <rPh sb="27" eb="28">
      <t>エン</t>
    </rPh>
    <phoneticPr fontId="4"/>
  </si>
  <si>
    <t>SIC100</t>
    <phoneticPr fontId="4"/>
  </si>
  <si>
    <t>1 roll (30m)</t>
    <phoneticPr fontId="4"/>
  </si>
  <si>
    <t>Rayon Petersham Ribbons</t>
    <phoneticPr fontId="4"/>
  </si>
  <si>
    <t>Rayon-100%</t>
    <phoneticPr fontId="4"/>
  </si>
  <si>
    <t>PO-MK-BG-00444</t>
    <phoneticPr fontId="4"/>
  </si>
  <si>
    <t>20230314   Y/Project  47%（max border  ÷0.53) 
レート125</t>
    <phoneticPr fontId="4"/>
  </si>
  <si>
    <t>3806</t>
    <phoneticPr fontId="4"/>
  </si>
  <si>
    <t>Polyester Herringborne Tape</t>
    <phoneticPr fontId="4"/>
  </si>
  <si>
    <t>3920</t>
    <phoneticPr fontId="4"/>
  </si>
  <si>
    <t>Cotton Herringborne Tape</t>
    <phoneticPr fontId="4"/>
  </si>
  <si>
    <t xml:space="preserve">20230314   Y/Project  40% レート125 </t>
    <phoneticPr fontId="4"/>
  </si>
  <si>
    <t xml:space="preserve">MOQ / col 
for standard colors </t>
    <phoneticPr fontId="4"/>
  </si>
  <si>
    <r>
      <t>Cotton</t>
    </r>
    <r>
      <rPr>
        <sz val="10"/>
        <rFont val="ＭＳ Ｐゴシック"/>
        <family val="3"/>
        <charset val="128"/>
      </rPr>
      <t>：</t>
    </r>
    <r>
      <rPr>
        <sz val="10"/>
        <rFont val="Arial  "/>
        <family val="2"/>
      </rPr>
      <t>99%</t>
    </r>
    <r>
      <rPr>
        <sz val="10"/>
        <rFont val="ＭＳ Ｐゴシック"/>
        <family val="3"/>
        <charset val="128"/>
      </rPr>
      <t>，</t>
    </r>
    <r>
      <rPr>
        <sz val="10"/>
        <rFont val="Arial  "/>
        <family val="2"/>
      </rPr>
      <t>Cupro</t>
    </r>
    <r>
      <rPr>
        <sz val="10"/>
        <rFont val="ＭＳ Ｐゴシック"/>
        <family val="3"/>
        <charset val="128"/>
      </rPr>
      <t>：</t>
    </r>
    <r>
      <rPr>
        <sz val="10"/>
        <rFont val="Arial  "/>
        <family val="2"/>
      </rPr>
      <t>1%</t>
    </r>
    <phoneticPr fontId="4"/>
  </si>
  <si>
    <t>Production  323 PO NO.01</t>
    <phoneticPr fontId="4"/>
  </si>
  <si>
    <t>UAB PHB GROUP(courreges)</t>
    <phoneticPr fontId="4"/>
  </si>
  <si>
    <t># 84 NOIR</t>
    <phoneticPr fontId="4"/>
  </si>
  <si>
    <t># 74 DIRTY WHITE</t>
    <phoneticPr fontId="4"/>
  </si>
  <si>
    <t># 15 RED</t>
    <phoneticPr fontId="4"/>
  </si>
  <si>
    <t>3533</t>
    <phoneticPr fontId="4"/>
  </si>
  <si>
    <t>Rubber Tapes</t>
    <phoneticPr fontId="4"/>
  </si>
  <si>
    <r>
      <t>Rayon</t>
    </r>
    <r>
      <rPr>
        <sz val="10"/>
        <rFont val="ＭＳ Ｐゴシック"/>
        <family val="3"/>
        <charset val="128"/>
      </rPr>
      <t>：</t>
    </r>
    <r>
      <rPr>
        <sz val="10"/>
        <rFont val="Arial"/>
        <family val="2"/>
      </rPr>
      <t>45%</t>
    </r>
    <r>
      <rPr>
        <sz val="10"/>
        <rFont val="ＭＳ Ｐゴシック"/>
        <family val="3"/>
        <charset val="128"/>
      </rPr>
      <t>，</t>
    </r>
    <r>
      <rPr>
        <sz val="10"/>
        <rFont val="Arial"/>
        <family val="2"/>
      </rPr>
      <t>PL</t>
    </r>
    <r>
      <rPr>
        <sz val="10"/>
        <rFont val="ＭＳ Ｐゴシック"/>
        <family val="3"/>
        <charset val="128"/>
      </rPr>
      <t>：</t>
    </r>
    <r>
      <rPr>
        <sz val="10"/>
        <rFont val="Arial"/>
        <family val="2"/>
      </rPr>
      <t>35%</t>
    </r>
    <r>
      <rPr>
        <sz val="10"/>
        <rFont val="ＭＳ Ｐゴシック"/>
        <family val="3"/>
        <charset val="128"/>
      </rPr>
      <t>，</t>
    </r>
    <r>
      <rPr>
        <sz val="10"/>
        <rFont val="Arial"/>
        <family val="2"/>
      </rPr>
      <t>Rubber</t>
    </r>
    <r>
      <rPr>
        <sz val="10"/>
        <rFont val="ＭＳ Ｐゴシック"/>
        <family val="3"/>
        <charset val="128"/>
      </rPr>
      <t>：</t>
    </r>
    <r>
      <rPr>
        <sz val="10"/>
        <rFont val="Arial"/>
        <family val="2"/>
      </rPr>
      <t>20%</t>
    </r>
    <phoneticPr fontId="4"/>
  </si>
  <si>
    <t xml:space="preserve">20230320 Courreges   47%（max border  ÷0.53) 
レート125
</t>
    <phoneticPr fontId="4"/>
  </si>
  <si>
    <t>PO-MK-BG-00444</t>
    <phoneticPr fontId="4"/>
  </si>
  <si>
    <t xml:space="preserve">20230403 Courreges   47%（max border  ÷0.53) 
レート125
</t>
    <phoneticPr fontId="4"/>
  </si>
  <si>
    <r>
      <t>Rayon</t>
    </r>
    <r>
      <rPr>
        <sz val="10"/>
        <rFont val="ＭＳ Ｐゴシック"/>
        <family val="3"/>
        <charset val="128"/>
      </rPr>
      <t>：</t>
    </r>
    <r>
      <rPr>
        <sz val="10"/>
        <rFont val="Arial"/>
        <family val="2"/>
      </rPr>
      <t>47%</t>
    </r>
    <r>
      <rPr>
        <sz val="10"/>
        <rFont val="ＭＳ Ｐゴシック"/>
        <family val="3"/>
        <charset val="128"/>
      </rPr>
      <t>，</t>
    </r>
    <r>
      <rPr>
        <sz val="10"/>
        <rFont val="Arial"/>
        <family val="2"/>
      </rPr>
      <t>PL</t>
    </r>
    <r>
      <rPr>
        <sz val="10"/>
        <rFont val="ＭＳ Ｐゴシック"/>
        <family val="3"/>
        <charset val="128"/>
      </rPr>
      <t>：</t>
    </r>
    <r>
      <rPr>
        <sz val="10"/>
        <rFont val="Arial"/>
        <family val="2"/>
      </rPr>
      <t>41%</t>
    </r>
    <r>
      <rPr>
        <sz val="10"/>
        <rFont val="ＭＳ Ｐゴシック"/>
        <family val="3"/>
        <charset val="128"/>
      </rPr>
      <t>，</t>
    </r>
    <r>
      <rPr>
        <sz val="10"/>
        <rFont val="Arial"/>
        <family val="2"/>
      </rPr>
      <t>Rubber</t>
    </r>
    <r>
      <rPr>
        <sz val="10"/>
        <rFont val="ＭＳ Ｐゴシック"/>
        <family val="3"/>
        <charset val="128"/>
      </rPr>
      <t>：</t>
    </r>
    <r>
      <rPr>
        <sz val="10"/>
        <rFont val="Arial"/>
        <family val="2"/>
      </rPr>
      <t>12%</t>
    </r>
    <phoneticPr fontId="4"/>
  </si>
  <si>
    <r>
      <t xml:space="preserve">15mm </t>
    </r>
    <r>
      <rPr>
        <sz val="10"/>
        <rFont val="ＭＳ Ｐゴシック"/>
        <family val="3"/>
        <charset val="128"/>
      </rPr>
      <t>→</t>
    </r>
    <r>
      <rPr>
        <sz val="10"/>
        <rFont val="Arila "/>
        <family val="2"/>
      </rPr>
      <t>usually in stock</t>
    </r>
    <phoneticPr fontId="4"/>
  </si>
  <si>
    <t xml:space="preserve">NOTES for  # 3533 ( 15mm - 30mm) </t>
    <phoneticPr fontId="4"/>
  </si>
  <si>
    <r>
      <t xml:space="preserve">20mm-30mm in Col. 36 &amp; 1 </t>
    </r>
    <r>
      <rPr>
        <sz val="10"/>
        <rFont val="ＭＳ Ｐゴシック"/>
        <family val="3"/>
        <charset val="128"/>
      </rPr>
      <t>→</t>
    </r>
    <r>
      <rPr>
        <sz val="10"/>
        <rFont val="Arila "/>
        <family val="2"/>
      </rPr>
      <t>usually in stock</t>
    </r>
    <phoneticPr fontId="4"/>
  </si>
  <si>
    <t>3540</t>
    <phoneticPr fontId="4"/>
  </si>
  <si>
    <r>
      <t>PL</t>
    </r>
    <r>
      <rPr>
        <sz val="10"/>
        <rFont val="ＭＳ Ｐゴシック"/>
        <family val="3"/>
        <charset val="128"/>
      </rPr>
      <t>：</t>
    </r>
    <r>
      <rPr>
        <sz val="10"/>
        <rFont val="Arial"/>
        <family val="2"/>
      </rPr>
      <t>82.8%</t>
    </r>
    <r>
      <rPr>
        <sz val="10"/>
        <rFont val="ＭＳ Ｐゴシック"/>
        <family val="3"/>
        <charset val="128"/>
      </rPr>
      <t>，</t>
    </r>
    <r>
      <rPr>
        <sz val="10"/>
        <rFont val="Arial"/>
        <family val="2"/>
      </rPr>
      <t>Rubber</t>
    </r>
    <r>
      <rPr>
        <sz val="10"/>
        <rFont val="ＭＳ Ｐゴシック"/>
        <family val="3"/>
        <charset val="128"/>
      </rPr>
      <t>：</t>
    </r>
    <r>
      <rPr>
        <sz val="10"/>
        <rFont val="Arial"/>
        <family val="2"/>
      </rPr>
      <t>17.2%</t>
    </r>
    <phoneticPr fontId="4"/>
  </si>
  <si>
    <t>Suspenders Tapes</t>
    <phoneticPr fontId="4"/>
  </si>
  <si>
    <r>
      <t xml:space="preserve">20mm-30mm in other colors except for Col. 36 &amp; 1 </t>
    </r>
    <r>
      <rPr>
        <sz val="10"/>
        <rFont val="ＭＳ Ｐゴシック"/>
        <family val="3"/>
        <charset val="128"/>
      </rPr>
      <t>→</t>
    </r>
    <r>
      <rPr>
        <sz val="10"/>
        <rFont val="Arila "/>
        <family val="2"/>
      </rPr>
      <t>made to order, L/T is abt 1 - 3 weeks based on working days</t>
    </r>
    <phoneticPr fontId="4"/>
  </si>
  <si>
    <r>
      <t>NOTES for  # 3540</t>
    </r>
    <r>
      <rPr>
        <sz val="10"/>
        <rFont val="ＭＳ Ｐゴシック"/>
        <family val="3"/>
        <charset val="128"/>
      </rPr>
      <t>→</t>
    </r>
    <r>
      <rPr>
        <sz val="10"/>
        <rFont val="Arial  "/>
      </rPr>
      <t>made to order, L/T is abt 2- 3 weeks based on working days</t>
    </r>
    <phoneticPr fontId="4"/>
  </si>
  <si>
    <t>CR20230405</t>
  </si>
  <si>
    <t>CR20230405</t>
    <phoneticPr fontId="4"/>
  </si>
  <si>
    <t># 36</t>
    <phoneticPr fontId="4"/>
  </si>
  <si>
    <r>
      <t>Rubber Tapes  R</t>
    </r>
    <r>
      <rPr>
        <sz val="12"/>
        <rFont val="ＭＳ Ｐゴシック"/>
        <family val="3"/>
        <charset val="128"/>
      </rPr>
      <t>：</t>
    </r>
    <r>
      <rPr>
        <sz val="12"/>
        <rFont val="Arial"/>
        <family val="2"/>
      </rPr>
      <t>47%</t>
    </r>
    <r>
      <rPr>
        <sz val="12"/>
        <rFont val="ＭＳ Ｐゴシック"/>
        <family val="3"/>
        <charset val="128"/>
      </rPr>
      <t>，</t>
    </r>
    <r>
      <rPr>
        <sz val="12"/>
        <rFont val="Arial"/>
        <family val="2"/>
      </rPr>
      <t>PL</t>
    </r>
    <r>
      <rPr>
        <sz val="12"/>
        <rFont val="ＭＳ Ｐゴシック"/>
        <family val="3"/>
        <charset val="128"/>
      </rPr>
      <t>：</t>
    </r>
    <r>
      <rPr>
        <sz val="12"/>
        <rFont val="Arial"/>
        <family val="2"/>
      </rPr>
      <t>41%</t>
    </r>
    <r>
      <rPr>
        <sz val="12"/>
        <rFont val="ＭＳ Ｐゴシック"/>
        <family val="3"/>
        <charset val="128"/>
      </rPr>
      <t>，</t>
    </r>
    <r>
      <rPr>
        <sz val="12"/>
        <rFont val="Arial"/>
        <family val="2"/>
      </rPr>
      <t>RU</t>
    </r>
    <r>
      <rPr>
        <sz val="12"/>
        <rFont val="ＭＳ Ｐゴシック"/>
        <family val="3"/>
        <charset val="128"/>
      </rPr>
      <t>：</t>
    </r>
    <r>
      <rPr>
        <sz val="12"/>
        <rFont val="Arial"/>
        <family val="2"/>
      </rPr>
      <t>12%</t>
    </r>
    <phoneticPr fontId="4"/>
  </si>
  <si>
    <r>
      <t>Suspenders Tapes PL</t>
    </r>
    <r>
      <rPr>
        <sz val="12"/>
        <rFont val="ＭＳ Ｐゴシック"/>
        <family val="3"/>
        <charset val="128"/>
      </rPr>
      <t>：</t>
    </r>
    <r>
      <rPr>
        <sz val="12"/>
        <rFont val="Arial"/>
        <family val="2"/>
      </rPr>
      <t>82.8%</t>
    </r>
    <r>
      <rPr>
        <sz val="12"/>
        <rFont val="ＭＳ Ｐゴシック"/>
        <family val="3"/>
        <charset val="128"/>
      </rPr>
      <t>，</t>
    </r>
    <r>
      <rPr>
        <sz val="12"/>
        <rFont val="Arial"/>
        <family val="2"/>
      </rPr>
      <t>Rubber</t>
    </r>
    <r>
      <rPr>
        <sz val="12"/>
        <rFont val="ＭＳ Ｐゴシック"/>
        <family val="3"/>
        <charset val="128"/>
      </rPr>
      <t>：</t>
    </r>
    <r>
      <rPr>
        <sz val="12"/>
        <rFont val="Arial"/>
        <family val="2"/>
      </rPr>
      <t>17.2%</t>
    </r>
    <phoneticPr fontId="4"/>
  </si>
  <si>
    <r>
      <rPr>
        <sz val="12"/>
        <rFont val="ＭＳ Ｐゴシック"/>
        <family val="3"/>
        <charset val="128"/>
      </rPr>
      <t>新単価</t>
    </r>
    <r>
      <rPr>
        <sz val="12"/>
        <rFont val="Arial"/>
        <family val="2"/>
      </rPr>
      <t xml:space="preserve"> + </t>
    </r>
    <r>
      <rPr>
        <sz val="12"/>
        <rFont val="ＭＳ Ｐゴシック"/>
        <family val="3"/>
        <charset val="128"/>
      </rPr>
      <t>カット代</t>
    </r>
    <rPh sb="0" eb="3">
      <t>シンタンカ</t>
    </rPh>
    <rPh sb="9" eb="10">
      <t>ダイ</t>
    </rPh>
    <phoneticPr fontId="4"/>
  </si>
  <si>
    <t>abt 22m</t>
    <phoneticPr fontId="4"/>
  </si>
  <si>
    <r>
      <t xml:space="preserve">EXW (JAPAN) / m *including cut fee </t>
    </r>
    <r>
      <rPr>
        <b/>
        <sz val="10"/>
        <rFont val="ＭＳ Ｐゴシック"/>
        <family val="3"/>
        <charset val="128"/>
      </rPr>
      <t>€</t>
    </r>
    <r>
      <rPr>
        <b/>
        <sz val="10"/>
        <rFont val="Arial"/>
        <family val="2"/>
      </rPr>
      <t xml:space="preserve"> 3/m</t>
    </r>
    <phoneticPr fontId="4"/>
  </si>
  <si>
    <t xml:space="preserve">End user Sub total </t>
    <phoneticPr fontId="4"/>
  </si>
  <si>
    <r>
      <t>End user</t>
    </r>
    <r>
      <rPr>
        <b/>
        <sz val="10"/>
        <rFont val="ＭＳ Ｐゴシック"/>
        <family val="3"/>
        <charset val="128"/>
      </rPr>
      <t>　円転</t>
    </r>
    <r>
      <rPr>
        <b/>
        <sz val="10"/>
        <rFont val="Arial"/>
        <family val="2"/>
      </rPr>
      <t xml:space="preserve"> (  130</t>
    </r>
    <r>
      <rPr>
        <b/>
        <sz val="10"/>
        <rFont val="ＭＳ Ｐゴシック"/>
        <family val="3"/>
        <charset val="128"/>
      </rPr>
      <t>円</t>
    </r>
    <r>
      <rPr>
        <b/>
        <sz val="10"/>
        <rFont val="Arial"/>
        <family val="2"/>
      </rPr>
      <t xml:space="preserve"> /</t>
    </r>
    <r>
      <rPr>
        <b/>
        <sz val="10"/>
        <rFont val="ＭＳ Ｐゴシック"/>
        <family val="3"/>
        <charset val="128"/>
      </rPr>
      <t>€</t>
    </r>
    <r>
      <rPr>
        <b/>
        <sz val="10"/>
        <rFont val="Arial"/>
        <family val="2"/>
      </rPr>
      <t xml:space="preserve"> )</t>
    </r>
    <rPh sb="9" eb="11">
      <t>エンテン</t>
    </rPh>
    <rPh sb="18" eb="19">
      <t>エン</t>
    </rPh>
    <phoneticPr fontId="4"/>
  </si>
  <si>
    <t>仕入合計(仕入新単価 + カット代)</t>
    <rPh sb="0" eb="2">
      <t>シイレ</t>
    </rPh>
    <rPh sb="2" eb="4">
      <t>ゴウケイ</t>
    </rPh>
    <phoneticPr fontId="4"/>
  </si>
  <si>
    <r>
      <t>EXW (JAPAN) / m (</t>
    </r>
    <r>
      <rPr>
        <b/>
        <sz val="10"/>
        <rFont val="ＭＳ Ｐゴシック"/>
        <family val="3"/>
        <charset val="128"/>
      </rPr>
      <t>バルク単価キープ）</t>
    </r>
    <rPh sb="20" eb="22">
      <t>タンカ</t>
    </rPh>
    <phoneticPr fontId="4"/>
  </si>
  <si>
    <t>Profit</t>
    <phoneticPr fontId="4"/>
  </si>
  <si>
    <t>I/F charge in Japan</t>
    <phoneticPr fontId="4"/>
  </si>
  <si>
    <t xml:space="preserve">Total Profit </t>
    <phoneticPr fontId="4"/>
  </si>
  <si>
    <t xml:space="preserve">SAG7500 ( Mill's Standard finish ) </t>
    <phoneticPr fontId="4"/>
  </si>
  <si>
    <t xml:space="preserve">Mill's Standard colors </t>
    <phoneticPr fontId="4"/>
  </si>
  <si>
    <t>MOQ</t>
    <phoneticPr fontId="4"/>
  </si>
  <si>
    <t xml:space="preserve">Width x length </t>
    <phoneticPr fontId="4"/>
  </si>
  <si>
    <t>110/112cm x abt 44m</t>
    <phoneticPr fontId="4"/>
  </si>
  <si>
    <t xml:space="preserve">6 rolls /col </t>
    <phoneticPr fontId="4"/>
  </si>
  <si>
    <t>1 roll/col</t>
    <phoneticPr fontId="4"/>
  </si>
  <si>
    <r>
      <t xml:space="preserve">EXW (JAPAN) / m *cut fee </t>
    </r>
    <r>
      <rPr>
        <b/>
        <sz val="10"/>
        <rFont val="ＭＳ Ｐゴシック"/>
        <family val="3"/>
        <charset val="128"/>
      </rPr>
      <t>→</t>
    </r>
    <r>
      <rPr>
        <b/>
        <sz val="10"/>
        <rFont val="Arial  "/>
        <family val="2"/>
      </rPr>
      <t>€ 3/m will be added</t>
    </r>
    <phoneticPr fontId="4"/>
  </si>
  <si>
    <t>018114</t>
    <phoneticPr fontId="4"/>
  </si>
  <si>
    <t>GALON torchon lace 100% Cotton</t>
    <phoneticPr fontId="4"/>
  </si>
  <si>
    <t>FWL-92656</t>
    <phoneticPr fontId="4"/>
  </si>
  <si>
    <t>Mill's Black ( yarn dyed)</t>
    <phoneticPr fontId="4"/>
  </si>
  <si>
    <t>Mill's Ecru ( yarn dyed)</t>
    <phoneticPr fontId="4"/>
  </si>
  <si>
    <t>BANDE ENTRE DEUX torchon lace 100% Cotton</t>
    <phoneticPr fontId="4"/>
  </si>
  <si>
    <t>FWL-92657</t>
    <phoneticPr fontId="4"/>
  </si>
  <si>
    <t>Surcharge for below MOQ</t>
    <phoneticPr fontId="4"/>
  </si>
  <si>
    <t>Sub total</t>
    <phoneticPr fontId="4"/>
  </si>
  <si>
    <t>20230412 Isabel Marant  47%（max border  ÷0.53) 
レート125</t>
    <phoneticPr fontId="4"/>
  </si>
  <si>
    <t>20230412 Nina Ricci</t>
    <phoneticPr fontId="4"/>
  </si>
  <si>
    <t>Mill's yarn color ( yarn dyed) : MOQ 400m/col &amp; pattern</t>
    <phoneticPr fontId="4"/>
  </si>
  <si>
    <t>Custom dye</t>
    <phoneticPr fontId="4"/>
  </si>
  <si>
    <t>Dye min.</t>
    <phoneticPr fontId="4"/>
  </si>
  <si>
    <t>100m/col</t>
    <phoneticPr fontId="4"/>
  </si>
  <si>
    <t xml:space="preserve">Total Amount </t>
    <phoneticPr fontId="4"/>
  </si>
  <si>
    <t>Mill's Off White ( PFD)</t>
    <phoneticPr fontId="4"/>
  </si>
  <si>
    <t>20230413 Veronique Leroy</t>
    <phoneticPr fontId="4"/>
  </si>
  <si>
    <t>09506</t>
    <phoneticPr fontId="4"/>
  </si>
  <si>
    <t>Blath Ban Limited 20230419 ( 別注柄） 20% 120 $</t>
    <rPh sb="29" eb="32">
      <t>ベッチュウガラ</t>
    </rPh>
    <phoneticPr fontId="4"/>
  </si>
  <si>
    <t xml:space="preserve">abt 135cm x 13.7m </t>
    <phoneticPr fontId="4"/>
  </si>
  <si>
    <t>MOQ</t>
    <phoneticPr fontId="4"/>
  </si>
  <si>
    <t>EXW JAPAN USD /m</t>
    <phoneticPr fontId="4"/>
  </si>
  <si>
    <t>Original design x KKF1428-W x Mill's Off yarn (Cotton)</t>
    <phoneticPr fontId="4"/>
  </si>
  <si>
    <t>Original design x KKF1428-W x Mill's Off yarn (Rayon)</t>
    <phoneticPr fontId="4"/>
  </si>
  <si>
    <t>2 rolls /pattern &amp; color ( order qty should be 2 rolls increments )</t>
    <phoneticPr fontId="4"/>
  </si>
  <si>
    <t>型代10000 - 20000円</t>
    <rPh sb="0" eb="2">
      <t>カタダイ</t>
    </rPh>
    <rPh sb="15" eb="16">
      <t>エン</t>
    </rPh>
    <phoneticPr fontId="4"/>
  </si>
  <si>
    <t>Pattern development fee : abt US$ 110 - 210/pattern</t>
    <phoneticPr fontId="4"/>
  </si>
  <si>
    <t>マス見本 6000円</t>
    <rPh sb="2" eb="4">
      <t>ミホン</t>
    </rPh>
    <rPh sb="9" eb="10">
      <t>エン</t>
    </rPh>
    <phoneticPr fontId="4"/>
  </si>
  <si>
    <t>Strike-off (width abt 30 - 40cm x 1 m per pattern &amp; color ) : US$ 65/pattern &amp; color</t>
    <phoneticPr fontId="4"/>
  </si>
  <si>
    <t>Blath Ban Limited 20230419  20% 120 $</t>
    <phoneticPr fontId="4"/>
  </si>
  <si>
    <t xml:space="preserve">abt 112cm x 13.7m </t>
    <phoneticPr fontId="4"/>
  </si>
  <si>
    <t>FLR-72524 (as is)</t>
    <phoneticPr fontId="4"/>
  </si>
  <si>
    <t>PLM22439</t>
    <phoneticPr fontId="4"/>
  </si>
  <si>
    <t>1 roll/col (50m)</t>
    <phoneticPr fontId="4"/>
  </si>
  <si>
    <t>サンプルミニマム</t>
  </si>
  <si>
    <t>1roll/col (50m)</t>
  </si>
  <si>
    <t>8 rolls/col</t>
    <phoneticPr fontId="4"/>
  </si>
  <si>
    <t>バルクミニマム</t>
  </si>
  <si>
    <t>8rolls/col</t>
  </si>
  <si>
    <t>L/T for Lab-dip</t>
    <phoneticPr fontId="4"/>
  </si>
  <si>
    <t>abt 3 ~ 4 weeks</t>
    <phoneticPr fontId="4"/>
  </si>
  <si>
    <t>ビーカー納期</t>
  </si>
  <si>
    <t>サンプル納期</t>
  </si>
  <si>
    <t>バルク納期</t>
  </si>
  <si>
    <t>Sample Price for 1 roll/col (EXW JAPAN /m)</t>
    <phoneticPr fontId="4"/>
  </si>
  <si>
    <t>サンプル単価</t>
  </si>
  <si>
    <t>Bulk Price for 8 rolls/col (EXW JAPAN /m)</t>
    <phoneticPr fontId="4"/>
  </si>
  <si>
    <t>梱包費用20円+</t>
    <rPh sb="0" eb="2">
      <t>コンポウ</t>
    </rPh>
    <rPh sb="2" eb="4">
      <t>ヒヨウ</t>
    </rPh>
    <rPh sb="6" eb="7">
      <t>エン</t>
    </rPh>
    <phoneticPr fontId="4"/>
  </si>
  <si>
    <t>バルク単価</t>
  </si>
  <si>
    <t>Upcharge for 2 rolls/col (EXW JAPAN /m)</t>
    <phoneticPr fontId="4"/>
  </si>
  <si>
    <t>アップチャージ - 2rolls/col</t>
  </si>
  <si>
    <t>Upcharge for 4 rolls/col (EXW JAPAN /m)</t>
    <phoneticPr fontId="4"/>
  </si>
  <si>
    <t>アップチャージ - 4rolls/col</t>
  </si>
  <si>
    <t>Upcharge for 6 rolls/col (EXW JAPAN /m)</t>
    <phoneticPr fontId="4"/>
  </si>
  <si>
    <t>アップチャージ - 6rolls/col</t>
  </si>
  <si>
    <t>Shayne Oliver  20230509   20%  125円</t>
    <rPh sb="34" eb="35">
      <t>エン</t>
    </rPh>
    <phoneticPr fontId="4"/>
  </si>
  <si>
    <t>FUT0158 D#1  DTM order confitions (2023.May 9th )</t>
    <phoneticPr fontId="4"/>
  </si>
  <si>
    <t>abt 2 weeks</t>
    <phoneticPr fontId="4"/>
  </si>
  <si>
    <t>L/T for Bulk when greige in stock</t>
    <phoneticPr fontId="4"/>
  </si>
  <si>
    <t>L/T for Sample when greige in stock</t>
    <phoneticPr fontId="4"/>
  </si>
  <si>
    <t>FUT0158 D#1  Stock colors order confitions (2023.May 9th )</t>
    <phoneticPr fontId="4"/>
  </si>
  <si>
    <t>FUT0158 D#1  regular price</t>
    <phoneticPr fontId="4"/>
  </si>
  <si>
    <t>FUT0158 D#1 sample cut</t>
    <phoneticPr fontId="4"/>
  </si>
  <si>
    <r>
      <rPr>
        <sz val="11"/>
        <color theme="1"/>
        <rFont val="游ゴシック"/>
        <family val="3"/>
        <charset val="128"/>
      </rPr>
      <t>品番</t>
    </r>
    <rPh sb="0" eb="2">
      <t>ヒンバン</t>
    </rPh>
    <phoneticPr fontId="215"/>
  </si>
  <si>
    <t>素材</t>
    <rPh sb="0" eb="2">
      <t>ソザイ</t>
    </rPh>
    <phoneticPr fontId="4"/>
  </si>
  <si>
    <r>
      <rPr>
        <sz val="11"/>
        <color theme="1"/>
        <rFont val="游ゴシック"/>
        <family val="3"/>
        <charset val="128"/>
      </rPr>
      <t>色</t>
    </r>
    <rPh sb="0" eb="1">
      <t>イロ</t>
    </rPh>
    <phoneticPr fontId="4"/>
  </si>
  <si>
    <r>
      <rPr>
        <sz val="11"/>
        <color theme="1"/>
        <rFont val="游ゴシック"/>
        <family val="3"/>
        <charset val="128"/>
      </rPr>
      <t>仕立</t>
    </r>
    <rPh sb="0" eb="2">
      <t>シタテ</t>
    </rPh>
    <phoneticPr fontId="215"/>
  </si>
  <si>
    <r>
      <rPr>
        <sz val="11"/>
        <color theme="1"/>
        <rFont val="游ゴシック"/>
        <family val="3"/>
        <charset val="128"/>
      </rPr>
      <t>染色代（円</t>
    </r>
    <r>
      <rPr>
        <sz val="11"/>
        <color theme="1"/>
        <rFont val="Arial  "/>
        <family val="2"/>
      </rPr>
      <t>/m</t>
    </r>
    <r>
      <rPr>
        <sz val="11"/>
        <color theme="1"/>
        <rFont val="游ゴシック"/>
        <family val="3"/>
        <charset val="128"/>
      </rPr>
      <t>）</t>
    </r>
    <phoneticPr fontId="215"/>
  </si>
  <si>
    <r>
      <rPr>
        <sz val="11"/>
        <color theme="1"/>
        <rFont val="游ゴシック"/>
        <family val="3"/>
        <charset val="128"/>
      </rPr>
      <t>染色ロット</t>
    </r>
    <rPh sb="0" eb="2">
      <t>センショク</t>
    </rPh>
    <phoneticPr fontId="4"/>
  </si>
  <si>
    <r>
      <t>1</t>
    </r>
    <r>
      <rPr>
        <sz val="11"/>
        <color theme="1"/>
        <rFont val="游ゴシック"/>
        <family val="3"/>
        <charset val="128"/>
      </rPr>
      <t>釜代
（染色ロット未満）</t>
    </r>
    <rPh sb="1" eb="2">
      <t>カマ</t>
    </rPh>
    <rPh sb="2" eb="3">
      <t>ダイ</t>
    </rPh>
    <rPh sb="5" eb="7">
      <t>センショク</t>
    </rPh>
    <rPh sb="10" eb="12">
      <t>ミマン</t>
    </rPh>
    <phoneticPr fontId="4"/>
  </si>
  <si>
    <t>356112-1</t>
    <phoneticPr fontId="215"/>
  </si>
  <si>
    <r>
      <rPr>
        <sz val="11"/>
        <rFont val="游ゴシック"/>
        <family val="3"/>
        <charset val="128"/>
      </rPr>
      <t>綿　</t>
    </r>
    <r>
      <rPr>
        <sz val="11"/>
        <rFont val="Arial  "/>
        <family val="2"/>
      </rPr>
      <t>100</t>
    </r>
    <r>
      <rPr>
        <sz val="11"/>
        <rFont val="游ゴシック"/>
        <family val="3"/>
        <charset val="128"/>
      </rPr>
      <t>％</t>
    </r>
    <rPh sb="0" eb="1">
      <t>メン</t>
    </rPh>
    <phoneticPr fontId="4"/>
  </si>
  <si>
    <t>13.7m</t>
    <phoneticPr fontId="215"/>
  </si>
  <si>
    <t>315m-</t>
    <phoneticPr fontId="215"/>
  </si>
  <si>
    <t>15p</t>
    <phoneticPr fontId="215"/>
  </si>
  <si>
    <t>572019</t>
    <phoneticPr fontId="215"/>
  </si>
  <si>
    <t>19p</t>
    <phoneticPr fontId="215"/>
  </si>
  <si>
    <t>8258-1</t>
    <phoneticPr fontId="215"/>
  </si>
  <si>
    <t>14m</t>
    <phoneticPr fontId="215"/>
  </si>
  <si>
    <t>367m-</t>
    <phoneticPr fontId="215"/>
  </si>
  <si>
    <t>2p</t>
    <phoneticPr fontId="215"/>
  </si>
  <si>
    <t>71571-1</t>
    <phoneticPr fontId="215"/>
  </si>
  <si>
    <t>7p</t>
    <phoneticPr fontId="215"/>
  </si>
  <si>
    <t>354433-1</t>
    <phoneticPr fontId="215"/>
  </si>
  <si>
    <t>cotton100%</t>
  </si>
  <si>
    <t xml:space="preserve">Off White </t>
  </si>
  <si>
    <r>
      <rPr>
        <sz val="11"/>
        <color rgb="FF000000"/>
        <rFont val="ＭＳ Ｐゴシック"/>
        <family val="3"/>
        <charset val="128"/>
      </rPr>
      <t>　</t>
    </r>
    <r>
      <rPr>
        <sz val="11"/>
        <color rgb="FF000000"/>
        <rFont val="Arial  "/>
        <family val="2"/>
      </rPr>
      <t>Rayon, Cotton</t>
    </r>
  </si>
  <si>
    <t>354160-1</t>
    <phoneticPr fontId="215"/>
  </si>
  <si>
    <t>197m-</t>
    <phoneticPr fontId="215"/>
  </si>
  <si>
    <t>KYL-875004S</t>
  </si>
  <si>
    <t>Silver</t>
  </si>
  <si>
    <t>KYL-875004SL1</t>
  </si>
  <si>
    <t>Silver x Beige</t>
  </si>
  <si>
    <t>KYL-875004SL4</t>
  </si>
  <si>
    <t>Silver x Pink</t>
  </si>
  <si>
    <t>KYL-875004SL5</t>
  </si>
  <si>
    <t>Silver x Blue</t>
  </si>
  <si>
    <t>KYL-875004SL6</t>
  </si>
  <si>
    <t>Silver x Gray</t>
  </si>
  <si>
    <t>KYL-875004SL7</t>
  </si>
  <si>
    <t>Silver x Wine</t>
  </si>
  <si>
    <t>KYL-875004SL17</t>
  </si>
  <si>
    <t>Silver x Navy</t>
  </si>
  <si>
    <t>KYL-875004SL19</t>
  </si>
  <si>
    <t>Silver x Black</t>
  </si>
  <si>
    <t>362569-1</t>
    <phoneticPr fontId="4"/>
  </si>
  <si>
    <t>1pc</t>
    <phoneticPr fontId="4"/>
  </si>
  <si>
    <r>
      <rPr>
        <sz val="11"/>
        <color theme="1"/>
        <rFont val="游ゴシック"/>
        <family val="3"/>
        <charset val="128"/>
      </rPr>
      <t>オフ白単価（円</t>
    </r>
    <r>
      <rPr>
        <sz val="11"/>
        <color theme="1"/>
        <rFont val="Arial  "/>
        <family val="2"/>
      </rPr>
      <t>/m or pc</t>
    </r>
    <r>
      <rPr>
        <sz val="11"/>
        <color theme="1"/>
        <rFont val="游ゴシック"/>
        <family val="3"/>
        <charset val="128"/>
      </rPr>
      <t>）</t>
    </r>
    <rPh sb="2" eb="3">
      <t>シロ</t>
    </rPh>
    <rPh sb="3" eb="5">
      <t>タンカ</t>
    </rPh>
    <rPh sb="6" eb="7">
      <t>エン</t>
    </rPh>
    <phoneticPr fontId="4"/>
  </si>
  <si>
    <t>Front 64% Rayon 36% PL, Back 100% Cotton</t>
  </si>
  <si>
    <t>KYL-25579</t>
  </si>
  <si>
    <t>KYL-25578</t>
  </si>
  <si>
    <t>KYL-25539</t>
  </si>
  <si>
    <t>KYL-25540</t>
  </si>
  <si>
    <t>KYL-25541</t>
  </si>
  <si>
    <r>
      <t>20230510 Lanvin   40% 125</t>
    </r>
    <r>
      <rPr>
        <sz val="10"/>
        <color rgb="FF000000"/>
        <rFont val="ＭＳ Ｐゴシック"/>
        <family val="3"/>
        <charset val="128"/>
      </rPr>
      <t>円</t>
    </r>
    <rPh sb="25" eb="26">
      <t>エン</t>
    </rPh>
    <phoneticPr fontId="4"/>
  </si>
  <si>
    <t>Mill's Standard Color</t>
    <phoneticPr fontId="4"/>
  </si>
  <si>
    <t>EXW JAPAN /m Mill's Off White</t>
    <phoneticPr fontId="4"/>
  </si>
  <si>
    <t>Dye minimum /color</t>
    <phoneticPr fontId="4"/>
  </si>
  <si>
    <t>MOQ for Mill's Standard Color</t>
    <phoneticPr fontId="4"/>
  </si>
  <si>
    <t>Dye fee if below Dye min./col</t>
    <phoneticPr fontId="4"/>
  </si>
  <si>
    <t>EXW JAPAN /m Mill's Standard Color</t>
    <phoneticPr fontId="4"/>
  </si>
  <si>
    <t>200m/col -</t>
    <phoneticPr fontId="4"/>
  </si>
  <si>
    <t>250m/col -</t>
    <phoneticPr fontId="4"/>
  </si>
  <si>
    <r>
      <t xml:space="preserve">2605 </t>
    </r>
    <r>
      <rPr>
        <sz val="12"/>
        <color indexed="30"/>
        <rFont val="Arial"/>
        <family val="2"/>
      </rPr>
      <t>Thailand</t>
    </r>
    <phoneticPr fontId="4"/>
  </si>
  <si>
    <t>FWL-24338</t>
    <phoneticPr fontId="4"/>
  </si>
  <si>
    <t>FWL-71109</t>
    <phoneticPr fontId="4"/>
  </si>
  <si>
    <t>only 10m in stock, L/T abt 1.5 months</t>
    <phoneticPr fontId="4"/>
  </si>
  <si>
    <t>Stock / Lead time</t>
    <phoneticPr fontId="4"/>
  </si>
  <si>
    <r>
      <t>Front Rayon100%,Back Cotton 100%</t>
    </r>
    <r>
      <rPr>
        <sz val="10"/>
        <color rgb="FF000000"/>
        <rFont val="游ゴシック"/>
        <family val="3"/>
        <charset val="128"/>
      </rPr>
      <t>　</t>
    </r>
  </si>
  <si>
    <t>1pc</t>
  </si>
  <si>
    <t>200pc-</t>
  </si>
  <si>
    <t>312m-</t>
  </si>
  <si>
    <t>400m-</t>
  </si>
  <si>
    <t>226m-</t>
  </si>
  <si>
    <r>
      <t>cotton100%</t>
    </r>
    <r>
      <rPr>
        <sz val="10"/>
        <color rgb="FF000000"/>
        <rFont val="ＭＳ Ｐゴシック"/>
        <family val="3"/>
        <charset val="128"/>
      </rPr>
      <t>　</t>
    </r>
    <phoneticPr fontId="4"/>
  </si>
  <si>
    <r>
      <rPr>
        <sz val="10"/>
        <color rgb="FF000000"/>
        <rFont val="游ゴシック"/>
        <family val="3"/>
        <charset val="128"/>
      </rPr>
      <t>染色ロット</t>
    </r>
  </si>
  <si>
    <r>
      <rPr>
        <sz val="10"/>
        <color rgb="FF000000"/>
        <rFont val="游ゴシック"/>
        <family val="3"/>
        <charset val="128"/>
      </rPr>
      <t>オフ白単価（円</t>
    </r>
    <r>
      <rPr>
        <sz val="10"/>
        <color rgb="FF000000"/>
        <rFont val="Arial  "/>
        <family val="2"/>
      </rPr>
      <t>/m or pc</t>
    </r>
    <r>
      <rPr>
        <sz val="10"/>
        <color rgb="FF000000"/>
        <rFont val="游ゴシック"/>
        <family val="3"/>
        <charset val="128"/>
      </rPr>
      <t>）</t>
    </r>
  </si>
  <si>
    <r>
      <rPr>
        <sz val="10"/>
        <color rgb="FF000000"/>
        <rFont val="游ゴシック"/>
        <family val="3"/>
        <charset val="128"/>
      </rPr>
      <t>染色代（円</t>
    </r>
    <r>
      <rPr>
        <sz val="10"/>
        <color rgb="FF000000"/>
        <rFont val="Arial  "/>
        <family val="2"/>
      </rPr>
      <t>/m</t>
    </r>
    <r>
      <rPr>
        <sz val="10"/>
        <color rgb="FF000000"/>
        <rFont val="游ゴシック"/>
        <family val="3"/>
        <charset val="128"/>
      </rPr>
      <t>）</t>
    </r>
  </si>
  <si>
    <r>
      <t>1</t>
    </r>
    <r>
      <rPr>
        <sz val="10"/>
        <color rgb="FF000000"/>
        <rFont val="游ゴシック"/>
        <family val="3"/>
        <charset val="128"/>
      </rPr>
      <t>釜代</t>
    </r>
  </si>
  <si>
    <r>
      <t>Front Rayon100%,Back Cotton 100%</t>
    </r>
    <r>
      <rPr>
        <sz val="10"/>
        <color rgb="FF000000"/>
        <rFont val="ＭＳ Ｐゴシック"/>
        <family val="3"/>
        <charset val="128"/>
      </rPr>
      <t>　</t>
    </r>
  </si>
  <si>
    <t>200pc/col-</t>
    <phoneticPr fontId="4"/>
  </si>
  <si>
    <t>312m/col-</t>
    <phoneticPr fontId="4"/>
  </si>
  <si>
    <t>400m/col-</t>
    <phoneticPr fontId="4"/>
  </si>
  <si>
    <t>226m/col-</t>
    <phoneticPr fontId="4"/>
  </si>
  <si>
    <t>OL-8258-1</t>
    <phoneticPr fontId="4"/>
  </si>
  <si>
    <t>OL-365110</t>
    <phoneticPr fontId="4"/>
  </si>
  <si>
    <t>OL-362569-1</t>
    <phoneticPr fontId="4"/>
  </si>
  <si>
    <t>OL-356112-1</t>
    <phoneticPr fontId="4"/>
  </si>
  <si>
    <t>OL-572019</t>
    <phoneticPr fontId="4"/>
  </si>
  <si>
    <t>OL-71571-1</t>
    <phoneticPr fontId="4"/>
  </si>
  <si>
    <t>OL-354433-1</t>
    <phoneticPr fontId="4"/>
  </si>
  <si>
    <t>OL-34533</t>
    <phoneticPr fontId="4"/>
  </si>
  <si>
    <t>OL-354160-1</t>
    <phoneticPr fontId="4"/>
  </si>
  <si>
    <t>OL-62570</t>
    <phoneticPr fontId="4"/>
  </si>
  <si>
    <t>OL-67003</t>
    <phoneticPr fontId="4"/>
  </si>
  <si>
    <t>09612</t>
    <phoneticPr fontId="4"/>
  </si>
  <si>
    <t>FLR-53739 / Mill's Off White</t>
    <phoneticPr fontId="4"/>
  </si>
  <si>
    <r>
      <t xml:space="preserve">2625 </t>
    </r>
    <r>
      <rPr>
        <sz val="12"/>
        <color indexed="30"/>
        <rFont val="Arial"/>
        <family val="2"/>
      </rPr>
      <t>France</t>
    </r>
    <phoneticPr fontId="4"/>
  </si>
  <si>
    <t xml:space="preserve"> </t>
    <phoneticPr fontId="4"/>
  </si>
  <si>
    <t>PO-MK-BG-00444-addition</t>
    <phoneticPr fontId="4"/>
  </si>
  <si>
    <t>2628 France</t>
    <phoneticPr fontId="4"/>
  </si>
  <si>
    <t xml:space="preserve">  # 118OW (White)</t>
    <phoneticPr fontId="4"/>
  </si>
  <si>
    <r>
      <t>20230526 Lanvin   40% 125</t>
    </r>
    <r>
      <rPr>
        <sz val="10"/>
        <color rgb="FF000000"/>
        <rFont val="ＭＳ Ｐゴシック"/>
        <family val="3"/>
        <charset val="128"/>
      </rPr>
      <t>円</t>
    </r>
    <rPh sb="25" eb="26">
      <t>エン</t>
    </rPh>
    <phoneticPr fontId="4"/>
  </si>
  <si>
    <t>KYL-25190</t>
    <phoneticPr fontId="4"/>
  </si>
  <si>
    <t>Front 100% Rayon, Back 100% Cotton</t>
    <phoneticPr fontId="4"/>
  </si>
  <si>
    <t>300m/col -</t>
    <phoneticPr fontId="4"/>
  </si>
  <si>
    <t>FWL-3086</t>
    <phoneticPr fontId="4"/>
  </si>
  <si>
    <t xml:space="preserve">FWL-71626 </t>
    <phoneticPr fontId="4"/>
  </si>
  <si>
    <t>FWL-71627</t>
    <phoneticPr fontId="4"/>
  </si>
  <si>
    <t xml:space="preserve">FWL-21532 </t>
    <phoneticPr fontId="4"/>
  </si>
  <si>
    <t>100% Cotton</t>
    <phoneticPr fontId="4"/>
  </si>
  <si>
    <t>13.7m /roll</t>
    <phoneticPr fontId="4"/>
  </si>
  <si>
    <t>10m</t>
    <phoneticPr fontId="4"/>
  </si>
  <si>
    <t>100m/col -</t>
    <phoneticPr fontId="4"/>
  </si>
  <si>
    <r>
      <t xml:space="preserve">2630 </t>
    </r>
    <r>
      <rPr>
        <sz val="12"/>
        <color indexed="30"/>
        <rFont val="Arial"/>
        <family val="2"/>
      </rPr>
      <t>Thailand</t>
    </r>
    <phoneticPr fontId="4"/>
  </si>
  <si>
    <t>Stock / Ready date</t>
    <phoneticPr fontId="4"/>
  </si>
  <si>
    <t>No stock / End of June</t>
    <phoneticPr fontId="4"/>
  </si>
  <si>
    <t>利益率</t>
    <rPh sb="0" eb="2">
      <t>リエキ</t>
    </rPh>
    <rPh sb="2" eb="3">
      <t>リツ</t>
    </rPh>
    <phoneticPr fontId="4"/>
  </si>
  <si>
    <t xml:space="preserve">20230613  Nina Ricci  ( 30% レート 125) </t>
    <phoneticPr fontId="4"/>
  </si>
  <si>
    <r>
      <t>110/112</t>
    </r>
    <r>
      <rPr>
        <sz val="10"/>
        <rFont val="ＭＳ Ｐゴシック"/>
        <family val="3"/>
        <charset val="128"/>
      </rPr>
      <t>㎝</t>
    </r>
    <r>
      <rPr>
        <sz val="10"/>
        <rFont val="Arial  "/>
        <family val="2"/>
      </rPr>
      <t>×abt.44m</t>
    </r>
    <phoneticPr fontId="4"/>
  </si>
  <si>
    <t>SAG7110 Custom colors</t>
    <phoneticPr fontId="4"/>
  </si>
  <si>
    <t>価格</t>
    <rPh sb="0" eb="2">
      <t>カカク</t>
    </rPh>
    <phoneticPr fontId="4"/>
  </si>
  <si>
    <t xml:space="preserve">SAG7110 Mill's standard colors </t>
    <phoneticPr fontId="4"/>
  </si>
  <si>
    <t>Order condition</t>
    <phoneticPr fontId="4"/>
  </si>
  <si>
    <t>Sample cut</t>
    <phoneticPr fontId="4"/>
  </si>
  <si>
    <t xml:space="preserve">by roll ( abt 44m/roll) </t>
    <phoneticPr fontId="4"/>
  </si>
  <si>
    <t>MOQ : 6 rolls / col</t>
    <phoneticPr fontId="4"/>
  </si>
  <si>
    <t xml:space="preserve">SAG7130 Mill's standard colors </t>
    <phoneticPr fontId="4"/>
  </si>
  <si>
    <t>SAG7130 Custom colors</t>
    <phoneticPr fontId="4"/>
  </si>
  <si>
    <r>
      <t xml:space="preserve">below MOQ </t>
    </r>
    <r>
      <rPr>
        <sz val="10"/>
        <rFont val="ＭＳ Ｐゴシック"/>
        <family val="3"/>
        <charset val="128"/>
      </rPr>
      <t>→</t>
    </r>
    <r>
      <rPr>
        <sz val="10"/>
        <rFont val="Arial  "/>
        <family val="2"/>
      </rPr>
      <t>1 - 5 rolls / col</t>
    </r>
    <phoneticPr fontId="4"/>
  </si>
  <si>
    <r>
      <t xml:space="preserve">end user </t>
    </r>
    <r>
      <rPr>
        <b/>
        <sz val="12"/>
        <rFont val="ＭＳ Ｐゴシック"/>
        <family val="3"/>
        <charset val="128"/>
      </rPr>
      <t>益率</t>
    </r>
    <rPh sb="9" eb="10">
      <t>エキ</t>
    </rPh>
    <rPh sb="10" eb="11">
      <t>リツ</t>
    </rPh>
    <phoneticPr fontId="4"/>
  </si>
  <si>
    <r>
      <t>Velvet Fabric  P:Rayon100</t>
    </r>
    <r>
      <rPr>
        <sz val="12"/>
        <rFont val="ＭＳ Ｐゴシック"/>
        <family val="3"/>
        <charset val="128"/>
      </rPr>
      <t>％</t>
    </r>
    <r>
      <rPr>
        <sz val="12"/>
        <rFont val="Arial"/>
        <family val="2"/>
      </rPr>
      <t xml:space="preserve"> G:Cupro100</t>
    </r>
    <r>
      <rPr>
        <sz val="12"/>
        <rFont val="ＭＳ Ｐゴシック"/>
        <family val="3"/>
        <charset val="128"/>
      </rPr>
      <t>％</t>
    </r>
    <phoneticPr fontId="4"/>
  </si>
  <si>
    <t>SAG-7130</t>
    <phoneticPr fontId="4"/>
  </si>
  <si>
    <t>Col. 512 Black</t>
    <phoneticPr fontId="4"/>
  </si>
  <si>
    <t>NR-230622</t>
    <phoneticPr fontId="4"/>
  </si>
  <si>
    <r>
      <t xml:space="preserve">2630(-230622) </t>
    </r>
    <r>
      <rPr>
        <sz val="12"/>
        <color indexed="30"/>
        <rFont val="Arial"/>
        <family val="2"/>
      </rPr>
      <t>Thailand</t>
    </r>
    <phoneticPr fontId="4"/>
  </si>
  <si>
    <t xml:space="preserve">20230512 Cymbeline  30% 125円 </t>
    <rPh sb="27" eb="28">
      <t>エン</t>
    </rPh>
    <phoneticPr fontId="4"/>
  </si>
  <si>
    <t>EXW JAPAN /m by sample cut</t>
    <phoneticPr fontId="4"/>
  </si>
  <si>
    <t xml:space="preserve">20230628 Courreges   47%（max border  ÷0.53) 
レート125
</t>
    <phoneticPr fontId="4"/>
  </si>
  <si>
    <t>3920</t>
  </si>
  <si>
    <t>Herringbone Tape</t>
    <phoneticPr fontId="4"/>
  </si>
  <si>
    <t>Cotton-99%/Cupra Rayon-1%</t>
    <phoneticPr fontId="4"/>
  </si>
  <si>
    <t>40.80</t>
    <phoneticPr fontId="4"/>
  </si>
  <si>
    <t>3843</t>
  </si>
  <si>
    <t>Herringbone Tape</t>
  </si>
  <si>
    <t>71.7</t>
    <phoneticPr fontId="4"/>
  </si>
  <si>
    <t xml:space="preserve">20230711  Nina Ricci  ( 30% レート 125) </t>
    <phoneticPr fontId="4"/>
  </si>
  <si>
    <t xml:space="preserve">SAG7570 Mill's standard colors </t>
    <phoneticPr fontId="4"/>
  </si>
  <si>
    <t>105/108cm×abt.44m</t>
    <phoneticPr fontId="4"/>
  </si>
  <si>
    <t>SAG7570 Custom colors</t>
    <phoneticPr fontId="4"/>
  </si>
  <si>
    <t>105/108cm×abt.44m</t>
    <phoneticPr fontId="4"/>
  </si>
  <si>
    <r>
      <t>110</t>
    </r>
    <r>
      <rPr>
        <sz val="10"/>
        <rFont val="ＭＳ Ｐゴシック"/>
        <family val="3"/>
        <charset val="128"/>
      </rPr>
      <t>㎝</t>
    </r>
    <r>
      <rPr>
        <sz val="10"/>
        <rFont val="Arial  "/>
        <family val="2"/>
      </rPr>
      <t>×abt.44m</t>
    </r>
    <phoneticPr fontId="4"/>
  </si>
  <si>
    <t xml:space="preserve">MOQ : 6 rolls / col </t>
    <phoneticPr fontId="4"/>
  </si>
  <si>
    <r>
      <t>106/108</t>
    </r>
    <r>
      <rPr>
        <sz val="10"/>
        <rFont val="ＭＳ Ｐゴシック"/>
        <family val="3"/>
        <charset val="128"/>
      </rPr>
      <t>㎝</t>
    </r>
    <r>
      <rPr>
        <sz val="10"/>
        <rFont val="Arial  "/>
        <family val="2"/>
      </rPr>
      <t>×abt.44m</t>
    </r>
    <phoneticPr fontId="4"/>
  </si>
  <si>
    <t xml:space="preserve">SAG-1380-084-D/#97 </t>
    <phoneticPr fontId="4"/>
  </si>
  <si>
    <r>
      <t xml:space="preserve">SAG-1380-084-D/#97 </t>
    </r>
    <r>
      <rPr>
        <sz val="10"/>
        <rFont val="Arial  "/>
        <family val="2"/>
      </rPr>
      <t xml:space="preserve"> </t>
    </r>
    <phoneticPr fontId="4"/>
  </si>
  <si>
    <r>
      <t>SAG4500JS-001</t>
    </r>
    <r>
      <rPr>
        <sz val="10"/>
        <rFont val="ＭＳ Ｐゴシック"/>
        <family val="3"/>
        <charset val="128"/>
      </rPr>
      <t>（</t>
    </r>
    <r>
      <rPr>
        <sz val="10"/>
        <rFont val="Arial  "/>
        <family val="2"/>
      </rPr>
      <t>92</t>
    </r>
    <r>
      <rPr>
        <sz val="10"/>
        <rFont val="ＭＳ Ｐゴシック"/>
        <family val="3"/>
        <charset val="128"/>
      </rPr>
      <t>）</t>
    </r>
    <phoneticPr fontId="4"/>
  </si>
  <si>
    <t>MOQ : 4 rolls / col</t>
    <phoneticPr fontId="4"/>
  </si>
  <si>
    <r>
      <t xml:space="preserve">below MOQ </t>
    </r>
    <r>
      <rPr>
        <sz val="10"/>
        <rFont val="ＭＳ Ｐゴシック"/>
        <family val="3"/>
        <charset val="128"/>
      </rPr>
      <t>→</t>
    </r>
    <r>
      <rPr>
        <sz val="10"/>
        <rFont val="Arial  "/>
        <family val="2"/>
      </rPr>
      <t>1 - 3 rolls / col</t>
    </r>
    <phoneticPr fontId="4"/>
  </si>
  <si>
    <t>10286</t>
    <phoneticPr fontId="4"/>
  </si>
  <si>
    <r>
      <t xml:space="preserve">Cotton Herringbone Tapes  99% Cotton </t>
    </r>
    <r>
      <rPr>
        <sz val="12"/>
        <rFont val="ＭＳ Ｐゴシック"/>
        <family val="3"/>
        <charset val="128"/>
      </rPr>
      <t>，</t>
    </r>
    <r>
      <rPr>
        <sz val="12"/>
        <rFont val="Arial"/>
        <family val="2"/>
      </rPr>
      <t>1% Cupro</t>
    </r>
    <phoneticPr fontId="4"/>
  </si>
  <si>
    <t># 1  Heritage White</t>
    <phoneticPr fontId="4"/>
  </si>
  <si>
    <t># 90 HERITAGE WHITE</t>
    <phoneticPr fontId="4"/>
  </si>
  <si>
    <t>018214</t>
    <phoneticPr fontId="4"/>
  </si>
  <si>
    <t>JAC-230810</t>
    <phoneticPr fontId="4"/>
  </si>
  <si>
    <t xml:space="preserve"> JÁton Couture</t>
    <phoneticPr fontId="4"/>
  </si>
  <si>
    <t>Sample card</t>
    <phoneticPr fontId="4"/>
  </si>
  <si>
    <t>CC of # 2200</t>
    <phoneticPr fontId="4"/>
  </si>
  <si>
    <t>sample card</t>
    <phoneticPr fontId="4"/>
  </si>
  <si>
    <t xml:space="preserve">CC of # ES-174 </t>
    <phoneticPr fontId="4"/>
  </si>
  <si>
    <t>CC of # ES-175</t>
    <phoneticPr fontId="4"/>
  </si>
  <si>
    <t>CC of # ES-177</t>
    <phoneticPr fontId="4"/>
  </si>
  <si>
    <t>CC of # ES-178</t>
    <phoneticPr fontId="4"/>
  </si>
  <si>
    <t>CC of # IM-4308</t>
    <phoneticPr fontId="4"/>
  </si>
  <si>
    <t>CC of # IM-4307</t>
    <phoneticPr fontId="4"/>
  </si>
  <si>
    <t>CC of # IM-4440</t>
    <phoneticPr fontId="4"/>
  </si>
  <si>
    <t>CC of # IM-30000</t>
    <phoneticPr fontId="4"/>
  </si>
  <si>
    <t>CC of # IM-20001</t>
    <phoneticPr fontId="4"/>
  </si>
  <si>
    <t>AUSTRALIA</t>
    <phoneticPr fontId="4"/>
  </si>
  <si>
    <t xml:space="preserve">20230823 Courreges   40%
レート120
</t>
    <phoneticPr fontId="4"/>
  </si>
  <si>
    <t>abt 15m/roll</t>
    <phoneticPr fontId="4"/>
  </si>
  <si>
    <t>Suede cord</t>
    <phoneticPr fontId="4"/>
  </si>
  <si>
    <t xml:space="preserve">M-04 (4-fold stitched loop with ALS) </t>
    <phoneticPr fontId="4"/>
  </si>
  <si>
    <t xml:space="preserve">M-03 (4-fold stitched loop with 70S-11) </t>
    <phoneticPr fontId="4"/>
  </si>
  <si>
    <t xml:space="preserve">M-04 (4-fold stitched loop with 70S-11) </t>
    <phoneticPr fontId="4"/>
  </si>
  <si>
    <t>1 roll (made to order)</t>
    <phoneticPr fontId="4"/>
  </si>
  <si>
    <t>ES-8850</t>
    <phoneticPr fontId="4"/>
  </si>
  <si>
    <t>abt 160m/roll</t>
    <phoneticPr fontId="4"/>
  </si>
  <si>
    <t>1 roll (sample cut x1.5 price, up to 5m)</t>
    <phoneticPr fontId="4"/>
  </si>
  <si>
    <t>Suede tape</t>
    <phoneticPr fontId="4"/>
  </si>
  <si>
    <t>abt 120m/roll</t>
    <phoneticPr fontId="4"/>
  </si>
  <si>
    <t>abt 80m/roll</t>
    <phoneticPr fontId="4"/>
  </si>
  <si>
    <t>4105</t>
    <phoneticPr fontId="4"/>
  </si>
  <si>
    <t>CR-230831</t>
    <phoneticPr fontId="4"/>
  </si>
  <si>
    <t>Knit Velvet Cords   100% Polyester</t>
    <phoneticPr fontId="4"/>
  </si>
  <si>
    <t># 50 Black</t>
    <phoneticPr fontId="4"/>
  </si>
  <si>
    <t>10519</t>
    <phoneticPr fontId="4"/>
  </si>
  <si>
    <t>Art. #</t>
    <phoneticPr fontId="215"/>
  </si>
  <si>
    <t xml:space="preserve">Size </t>
    <phoneticPr fontId="215"/>
  </si>
  <si>
    <t>Qty per roll</t>
    <phoneticPr fontId="215"/>
  </si>
  <si>
    <t>Item Description</t>
    <phoneticPr fontId="215"/>
  </si>
  <si>
    <t>IM-20001</t>
    <phoneticPr fontId="215"/>
  </si>
  <si>
    <t xml:space="preserve">Silk Moire Ribbon / 100% Silk </t>
    <phoneticPr fontId="215"/>
  </si>
  <si>
    <r>
      <rPr>
        <sz val="10"/>
        <rFont val="メイリオ"/>
        <family val="3"/>
        <charset val="128"/>
      </rPr>
      <t>木馬</t>
    </r>
    <r>
      <rPr>
        <sz val="10"/>
        <rFont val="Arial  "/>
        <family val="2"/>
      </rPr>
      <t>/</t>
    </r>
    <r>
      <rPr>
        <sz val="10"/>
        <rFont val="メイリオ"/>
        <family val="3"/>
        <charset val="128"/>
      </rPr>
      <t>アイメックス</t>
    </r>
    <rPh sb="0" eb="2">
      <t>モクバ</t>
    </rPh>
    <phoneticPr fontId="4"/>
  </si>
  <si>
    <t>IM-20001</t>
  </si>
  <si>
    <t>IM-30000</t>
    <phoneticPr fontId="215"/>
  </si>
  <si>
    <t xml:space="preserve">Silk Satin Ribbon / 100% Silk </t>
    <phoneticPr fontId="215"/>
  </si>
  <si>
    <t>IM-4440</t>
    <phoneticPr fontId="215"/>
  </si>
  <si>
    <t>Pleat Silk Ribbon / 100% Silk</t>
    <phoneticPr fontId="215"/>
  </si>
  <si>
    <t>IM-4307</t>
    <phoneticPr fontId="215"/>
  </si>
  <si>
    <t>Silk Ribbon / 100% Silk</t>
    <phoneticPr fontId="215"/>
  </si>
  <si>
    <t>IM-4308</t>
    <phoneticPr fontId="215"/>
  </si>
  <si>
    <t>20230920  JÁton Couture</t>
    <phoneticPr fontId="4"/>
  </si>
  <si>
    <t xml:space="preserve">MOQ / col for standard colors </t>
    <phoneticPr fontId="4"/>
  </si>
  <si>
    <t>1 roll</t>
    <phoneticPr fontId="4"/>
  </si>
  <si>
    <r>
      <rPr>
        <b/>
        <sz val="10"/>
        <rFont val="ＭＳ Ｐゴシック"/>
        <family val="3"/>
        <charset val="128"/>
      </rPr>
      <t>仕入メーター単価</t>
    </r>
    <rPh sb="0" eb="2">
      <t>シイレ</t>
    </rPh>
    <rPh sb="6" eb="8">
      <t>タンカ</t>
    </rPh>
    <phoneticPr fontId="4"/>
  </si>
  <si>
    <t>Silk Thin Satin Ribbon / Silk 100%</t>
    <phoneticPr fontId="4"/>
  </si>
  <si>
    <t>Silk Satin Ribbon / Silk 100%</t>
    <phoneticPr fontId="4"/>
  </si>
  <si>
    <t>Grosgrain Ribbon / 100% Silk</t>
    <phoneticPr fontId="4"/>
  </si>
  <si>
    <t>Petersham Ribbon / 100% Silk</t>
    <phoneticPr fontId="4"/>
  </si>
  <si>
    <t>ES-174</t>
    <phoneticPr fontId="4"/>
  </si>
  <si>
    <t>ES-174</t>
    <phoneticPr fontId="4"/>
  </si>
  <si>
    <t>ES-175</t>
    <phoneticPr fontId="4"/>
  </si>
  <si>
    <t>ES-177</t>
    <phoneticPr fontId="4"/>
  </si>
  <si>
    <t>ES-178</t>
    <phoneticPr fontId="4"/>
  </si>
  <si>
    <t xml:space="preserve">Double Faced Silk Satin Ribbon </t>
    <phoneticPr fontId="215"/>
  </si>
  <si>
    <t xml:space="preserve">20230929  Nina Ricci  ( 30% レート 120) </t>
    <phoneticPr fontId="4"/>
  </si>
  <si>
    <t xml:space="preserve">SAG7500 Mill's standard colors </t>
    <phoneticPr fontId="4"/>
  </si>
  <si>
    <t>110/112cm×abt.44m</t>
    <phoneticPr fontId="4"/>
  </si>
  <si>
    <t>Sample cut (when in stock)</t>
    <phoneticPr fontId="4"/>
  </si>
  <si>
    <r>
      <t xml:space="preserve">below MOQ </t>
    </r>
    <r>
      <rPr>
        <sz val="10"/>
        <rFont val="ＭＳ Ｐゴシック"/>
        <family val="3"/>
        <charset val="128"/>
      </rPr>
      <t>→</t>
    </r>
    <r>
      <rPr>
        <sz val="10"/>
        <rFont val="Arial  "/>
        <family val="2"/>
      </rPr>
      <t>1 - 5 rolls / col</t>
    </r>
    <phoneticPr fontId="4"/>
  </si>
  <si>
    <t>MOQ : 6 rolls /col -</t>
    <phoneticPr fontId="4"/>
  </si>
  <si>
    <t>2684 France</t>
    <phoneticPr fontId="4"/>
  </si>
  <si>
    <t>10645</t>
    <phoneticPr fontId="4"/>
  </si>
  <si>
    <t>EXW JAPAN /m 
Purchase by roll</t>
    <phoneticPr fontId="4"/>
  </si>
  <si>
    <t xml:space="preserve">EXW JAPAN /m 
Purchase by sample cut
(1~2.9m : cut fee € 15/cut) </t>
    <phoneticPr fontId="4"/>
  </si>
  <si>
    <r>
      <t>Cymbeline 20231006    20% 120</t>
    </r>
    <r>
      <rPr>
        <sz val="10"/>
        <rFont val="ＭＳ Ｐゴシック"/>
        <family val="3"/>
        <charset val="128"/>
      </rPr>
      <t>円</t>
    </r>
    <rPh sb="29" eb="30">
      <t>エン</t>
    </rPh>
    <phoneticPr fontId="4"/>
  </si>
  <si>
    <t>単価 (輸出梱包 +30 )</t>
    <rPh sb="0" eb="2">
      <t>タンカ</t>
    </rPh>
    <rPh sb="4" eb="6">
      <t>ユシュツ</t>
    </rPh>
    <rPh sb="6" eb="8">
      <t>コンポウ</t>
    </rPh>
    <phoneticPr fontId="4"/>
  </si>
  <si>
    <t>利益率 (by roll )</t>
    <rPh sb="0" eb="2">
      <t>リエキ</t>
    </rPh>
    <rPh sb="2" eb="3">
      <t>リツ</t>
    </rPh>
    <phoneticPr fontId="4"/>
  </si>
  <si>
    <t>利益率 (sample cut )</t>
    <rPh sb="0" eb="2">
      <t>リエキ</t>
    </rPh>
    <rPh sb="2" eb="3">
      <t>リツ</t>
    </rPh>
    <phoneticPr fontId="4"/>
  </si>
  <si>
    <t>CEHP-231006</t>
  </si>
  <si>
    <t>CEHP-231006</t>
    <phoneticPr fontId="4"/>
  </si>
  <si>
    <t>CEHP</t>
    <phoneticPr fontId="4"/>
  </si>
  <si>
    <t>FWL-24308-11</t>
    <phoneticPr fontId="194"/>
  </si>
  <si>
    <t>KYL-T25285-19</t>
    <phoneticPr fontId="194"/>
  </si>
  <si>
    <t>KYL-T25340-19</t>
    <phoneticPr fontId="194"/>
  </si>
  <si>
    <t xml:space="preserve">FWL-77016
</t>
    <phoneticPr fontId="194"/>
  </si>
  <si>
    <t>Mill's Off White</t>
    <phoneticPr fontId="194"/>
  </si>
  <si>
    <t>Mill's  Black</t>
    <phoneticPr fontId="194"/>
  </si>
  <si>
    <t>Natural (Undyed) - Organic cotton</t>
    <phoneticPr fontId="194"/>
  </si>
  <si>
    <t>Total Amount</t>
    <phoneticPr fontId="4"/>
  </si>
  <si>
    <t># 6OW (Ivory)</t>
    <phoneticPr fontId="4"/>
  </si>
  <si>
    <r>
      <rPr>
        <sz val="12"/>
        <rFont val="ＭＳ Ｐゴシック"/>
        <family val="3"/>
        <charset val="128"/>
      </rPr>
      <t>カット代</t>
    </r>
    <r>
      <rPr>
        <sz val="12"/>
        <rFont val="Arial"/>
        <family val="2"/>
      </rPr>
      <t>+300</t>
    </r>
    <rPh sb="3" eb="4">
      <t>ダイ</t>
    </rPh>
    <phoneticPr fontId="4"/>
  </si>
  <si>
    <t>CR-231010</t>
    <phoneticPr fontId="4"/>
  </si>
  <si>
    <t>4141 Lab-dip</t>
    <phoneticPr fontId="4"/>
  </si>
  <si>
    <t>Custom Col. CAMOUFLAGE GREEN</t>
    <phoneticPr fontId="4"/>
  </si>
  <si>
    <t>(per set)</t>
    <phoneticPr fontId="4"/>
  </si>
  <si>
    <t>Flock Printed Organza  Base fabric : 100% Polyester    Flock: 100% Rayon</t>
    <phoneticPr fontId="4"/>
  </si>
  <si>
    <t xml:space="preserve">PO# </t>
    <phoneticPr fontId="4"/>
  </si>
  <si>
    <t>Width</t>
    <phoneticPr fontId="4"/>
  </si>
  <si>
    <t>Shipping date</t>
    <phoneticPr fontId="4"/>
  </si>
  <si>
    <t>January, 2024</t>
    <phoneticPr fontId="4"/>
  </si>
  <si>
    <r>
      <t xml:space="preserve">2684 </t>
    </r>
    <r>
      <rPr>
        <sz val="10"/>
        <color rgb="FF0070C0"/>
        <rFont val="Arial"/>
        <family val="2"/>
      </rPr>
      <t>ship to France</t>
    </r>
  </si>
  <si>
    <r>
      <rPr>
        <sz val="11"/>
        <rFont val="MS UI Gothic"/>
        <family val="3"/>
        <charset val="128"/>
      </rPr>
      <t>福井県越前市千原町</t>
    </r>
    <r>
      <rPr>
        <sz val="11"/>
        <rFont val="Times New Roman"/>
        <family val="1"/>
      </rPr>
      <t>2-6</t>
    </r>
    <phoneticPr fontId="4"/>
  </si>
  <si>
    <r>
      <t>ALAINPAUL 20231016    20% 120</t>
    </r>
    <r>
      <rPr>
        <sz val="10"/>
        <rFont val="ＭＳ Ｐゴシック"/>
        <family val="3"/>
        <charset val="128"/>
      </rPr>
      <t>円</t>
    </r>
    <rPh sb="29" eb="30">
      <t>エン</t>
    </rPh>
    <phoneticPr fontId="4"/>
  </si>
  <si>
    <t xml:space="preserve">FUT3341 D/#1 </t>
    <phoneticPr fontId="4"/>
  </si>
  <si>
    <t>105/110cm × abt 50m</t>
    <phoneticPr fontId="4"/>
  </si>
  <si>
    <t>FUT9978 D/#1</t>
    <phoneticPr fontId="4"/>
  </si>
  <si>
    <t>112/115cm × abt 50m</t>
    <phoneticPr fontId="4"/>
  </si>
  <si>
    <t>FUT9978 D/#2</t>
    <phoneticPr fontId="4"/>
  </si>
  <si>
    <r>
      <t xml:space="preserve">20231003  </t>
    </r>
    <r>
      <rPr>
        <b/>
        <sz val="11"/>
        <color rgb="FFFF0000"/>
        <rFont val="ＭＳ Ｐゴシック"/>
        <family val="3"/>
        <charset val="128"/>
      </rPr>
      <t xml:space="preserve">REQUOTE </t>
    </r>
    <r>
      <rPr>
        <sz val="11"/>
        <rFont val="ＭＳ Ｐゴシック"/>
        <family val="3"/>
        <charset val="128"/>
      </rPr>
      <t xml:space="preserve">Nina Ricci  ( 23% レート 120) </t>
    </r>
    <phoneticPr fontId="4"/>
  </si>
  <si>
    <t>NR-231018</t>
    <phoneticPr fontId="4"/>
  </si>
  <si>
    <t>DTM Blue(C/#3) / Lab-dip #RB23-361</t>
    <phoneticPr fontId="4"/>
  </si>
  <si>
    <r>
      <rPr>
        <sz val="12"/>
        <rFont val="ＭＳ Ｐゴシック"/>
        <family val="3"/>
        <charset val="128"/>
      </rPr>
      <t>新単価</t>
    </r>
    <r>
      <rPr>
        <sz val="12"/>
        <rFont val="Arial"/>
        <family val="2"/>
      </rPr>
      <t xml:space="preserve"> + </t>
    </r>
    <r>
      <rPr>
        <sz val="12"/>
        <rFont val="ＭＳ Ｐゴシック"/>
        <family val="3"/>
        <charset val="128"/>
      </rPr>
      <t>小口代</t>
    </r>
    <rPh sb="0" eb="3">
      <t>シンタンカ</t>
    </rPh>
    <rPh sb="6" eb="8">
      <t>コグチ</t>
    </rPh>
    <rPh sb="8" eb="9">
      <t>ダイ</t>
    </rPh>
    <phoneticPr fontId="4"/>
  </si>
  <si>
    <t>Width</t>
    <phoneticPr fontId="4"/>
  </si>
  <si>
    <t>EXW JAPAN /m (for below min.)</t>
    <phoneticPr fontId="4"/>
  </si>
  <si>
    <t>MOQ for PFD</t>
    <phoneticPr fontId="4"/>
  </si>
  <si>
    <t>EXW JAPAN /m PFD</t>
    <phoneticPr fontId="4"/>
  </si>
  <si>
    <r>
      <rPr>
        <b/>
        <sz val="10"/>
        <color theme="1"/>
        <rFont val="ＭＳ Ｐゴシック"/>
        <family val="3"/>
        <charset val="128"/>
      </rPr>
      <t>単価</t>
    </r>
    <r>
      <rPr>
        <b/>
        <sz val="10"/>
        <color theme="1"/>
        <rFont val="Arial  "/>
        <family val="2"/>
      </rPr>
      <t xml:space="preserve"> PFD</t>
    </r>
    <rPh sb="0" eb="2">
      <t>タンカ</t>
    </rPh>
    <phoneticPr fontId="4"/>
  </si>
  <si>
    <t>染色小口代</t>
    <rPh sb="0" eb="2">
      <t>センショク</t>
    </rPh>
    <rPh sb="2" eb="4">
      <t>コグチ</t>
    </rPh>
    <rPh sb="4" eb="5">
      <t>ダイ</t>
    </rPh>
    <phoneticPr fontId="4"/>
  </si>
  <si>
    <t>100m/roll</t>
    <phoneticPr fontId="4"/>
  </si>
  <si>
    <t>3,000m/col -</t>
    <phoneticPr fontId="4"/>
  </si>
  <si>
    <t>TI-10-700</t>
    <phoneticPr fontId="4"/>
  </si>
  <si>
    <r>
      <t>20231024 The Kooples  55% 125</t>
    </r>
    <r>
      <rPr>
        <sz val="10"/>
        <color rgb="FF000000"/>
        <rFont val="ＭＳ Ｐゴシック"/>
        <family val="3"/>
        <charset val="128"/>
      </rPr>
      <t>円</t>
    </r>
    <rPh sb="29" eb="30">
      <t>エン</t>
    </rPh>
    <phoneticPr fontId="4"/>
  </si>
  <si>
    <r>
      <t xml:space="preserve">PFD (Prepared for Dyeing)/
( Preventative Yellowing Process is </t>
    </r>
    <r>
      <rPr>
        <b/>
        <sz val="10"/>
        <rFont val="Arial"/>
        <family val="2"/>
      </rPr>
      <t>NOT</t>
    </r>
    <r>
      <rPr>
        <sz val="10"/>
        <rFont val="Arial"/>
        <family val="2"/>
      </rPr>
      <t xml:space="preserve"> done)</t>
    </r>
    <phoneticPr fontId="4"/>
  </si>
  <si>
    <t>Custom Black</t>
  </si>
  <si>
    <t>Dye surcharge</t>
    <phoneticPr fontId="4"/>
  </si>
  <si>
    <t>Zuhair Murad 20231025</t>
    <phoneticPr fontId="4"/>
  </si>
  <si>
    <r>
      <t xml:space="preserve">KF4005 </t>
    </r>
    <r>
      <rPr>
        <sz val="10"/>
        <color rgb="FF000000"/>
        <rFont val="游ゴシック"/>
        <family val="3"/>
        <charset val="128"/>
      </rPr>
      <t>グラデーションフロッキー別注条件</t>
    </r>
    <phoneticPr fontId="4"/>
  </si>
  <si>
    <t>20mt/col or 60mts/col</t>
  </si>
  <si>
    <t>見本反ミニマム</t>
  </si>
  <si>
    <t>量産ミニマム</t>
  </si>
  <si>
    <t>300mts/col</t>
  </si>
  <si>
    <t>型納期</t>
  </si>
  <si>
    <r>
      <t>2</t>
    </r>
    <r>
      <rPr>
        <sz val="10"/>
        <color rgb="FF000000"/>
        <rFont val="游ゴシック"/>
        <family val="3"/>
        <charset val="128"/>
      </rPr>
      <t>週間</t>
    </r>
  </si>
  <si>
    <t>見本、量産納期</t>
  </si>
  <si>
    <r>
      <t>6-10</t>
    </r>
    <r>
      <rPr>
        <sz val="10"/>
        <color rgb="FF000000"/>
        <rFont val="游ゴシック"/>
        <family val="3"/>
        <charset val="128"/>
      </rPr>
      <t>週間</t>
    </r>
    <r>
      <rPr>
        <sz val="10"/>
        <color rgb="FF000000"/>
        <rFont val="Calibri"/>
        <family val="2"/>
      </rPr>
      <t>(</t>
    </r>
    <r>
      <rPr>
        <sz val="10"/>
        <color rgb="FF000000"/>
        <rFont val="游ゴシック"/>
        <family val="3"/>
        <charset val="128"/>
      </rPr>
      <t>加工進行のタイミングによります</t>
    </r>
    <r>
      <rPr>
        <sz val="10"/>
        <color rgb="FF000000"/>
        <rFont val="Calibri"/>
        <family val="2"/>
      </rPr>
      <t>)</t>
    </r>
  </si>
  <si>
    <t>下生地なしの場合</t>
  </si>
  <si>
    <r>
      <t>＋</t>
    </r>
    <r>
      <rPr>
        <sz val="10"/>
        <color rgb="FF000000"/>
        <rFont val="Calibri"/>
        <family val="2"/>
      </rPr>
      <t>4-6</t>
    </r>
    <r>
      <rPr>
        <sz val="10"/>
        <color rgb="FF000000"/>
        <rFont val="游ゴシック"/>
        <family val="3"/>
        <charset val="128"/>
      </rPr>
      <t>週間見てください</t>
    </r>
  </si>
  <si>
    <t>型代</t>
  </si>
  <si>
    <r>
      <t>￥</t>
    </r>
    <r>
      <rPr>
        <sz val="10"/>
        <color rgb="FF000000"/>
        <rFont val="Calibri"/>
        <family val="2"/>
      </rPr>
      <t xml:space="preserve">70,000~ </t>
    </r>
    <r>
      <rPr>
        <sz val="10"/>
        <color rgb="FF000000"/>
        <rFont val="ＭＳ Ｐゴシック"/>
        <family val="3"/>
        <charset val="128"/>
      </rPr>
      <t>￥</t>
    </r>
    <r>
      <rPr>
        <sz val="10"/>
        <color rgb="FF000000"/>
        <rFont val="Calibri"/>
        <family val="2"/>
      </rPr>
      <t>100,000</t>
    </r>
  </si>
  <si>
    <r>
      <t>見本反単価（</t>
    </r>
    <r>
      <rPr>
        <sz val="10"/>
        <color rgb="FF000000"/>
        <rFont val="Calibri"/>
        <family val="2"/>
      </rPr>
      <t>20mts/col</t>
    </r>
    <r>
      <rPr>
        <sz val="10"/>
        <color rgb="FF000000"/>
        <rFont val="游ゴシック"/>
        <family val="3"/>
        <charset val="128"/>
      </rPr>
      <t>）</t>
    </r>
  </si>
  <si>
    <r>
      <t>見本反単価（</t>
    </r>
    <r>
      <rPr>
        <sz val="10"/>
        <color rgb="FF000000"/>
        <rFont val="Calibri"/>
        <family val="2"/>
      </rPr>
      <t>60mts/col</t>
    </r>
    <r>
      <rPr>
        <sz val="10"/>
        <color rgb="FF000000"/>
        <rFont val="游ゴシック"/>
        <family val="3"/>
        <charset val="128"/>
      </rPr>
      <t>）</t>
    </r>
  </si>
  <si>
    <t>量産単価</t>
  </si>
  <si>
    <t>KFUT5116 - 3D shades Flock -Order conditions for Custom pattern</t>
    <phoneticPr fontId="4"/>
  </si>
  <si>
    <t xml:space="preserve">6-10 weeks </t>
    <phoneticPr fontId="4"/>
  </si>
  <si>
    <t>Lead time for sample (with base fabric)</t>
    <phoneticPr fontId="4"/>
  </si>
  <si>
    <t>Lead time for bulk (with base fabric)</t>
    <phoneticPr fontId="4"/>
  </si>
  <si>
    <t>Lead time for sample/bulk (w/o base fabric)</t>
    <phoneticPr fontId="4"/>
  </si>
  <si>
    <t>Mold Fee</t>
    <phoneticPr fontId="4"/>
  </si>
  <si>
    <t>abt 2 weeks</t>
    <phoneticPr fontId="4"/>
  </si>
  <si>
    <t>Sample Price for 20m/col (EXW JAPAN /m)</t>
    <phoneticPr fontId="4"/>
  </si>
  <si>
    <t>Sample Price for 60m/col (EXW JAPAN /m)</t>
    <phoneticPr fontId="4"/>
  </si>
  <si>
    <t>Bulk Price for 300m/col (EXW JAPAN /m)</t>
    <phoneticPr fontId="4"/>
  </si>
  <si>
    <r>
      <t>abt</t>
    </r>
    <r>
      <rPr>
        <sz val="10"/>
        <color rgb="FF000000"/>
        <rFont val="ＭＳ Ｐゴシック"/>
        <family val="3"/>
        <charset val="128"/>
      </rPr>
      <t>　</t>
    </r>
    <r>
      <rPr>
        <sz val="10"/>
        <color rgb="FF000000"/>
        <rFont val="Arial  "/>
        <family val="2"/>
      </rPr>
      <t>€ 1,000/pattern</t>
    </r>
    <phoneticPr fontId="4"/>
  </si>
  <si>
    <t>20m/col or 60m/col</t>
    <phoneticPr fontId="4"/>
  </si>
  <si>
    <t>300m/col</t>
    <phoneticPr fontId="4"/>
  </si>
  <si>
    <t>Lead time to make a pattern mold</t>
    <phoneticPr fontId="4"/>
  </si>
  <si>
    <t>additional 4-6 weeks to the lead times above</t>
    <phoneticPr fontId="4"/>
  </si>
  <si>
    <r>
      <t xml:space="preserve">JETRO </t>
    </r>
    <r>
      <rPr>
        <sz val="10"/>
        <rFont val="ＭＳ Ｐゴシック"/>
        <family val="3"/>
        <charset val="128"/>
      </rPr>
      <t>展示会事前提出</t>
    </r>
    <r>
      <rPr>
        <sz val="10"/>
        <rFont val="Arial  "/>
        <family val="2"/>
      </rPr>
      <t xml:space="preserve"> 20231025</t>
    </r>
    <rPh sb="6" eb="9">
      <t>テンジカイ</t>
    </rPh>
    <rPh sb="9" eb="11">
      <t>ジゼン</t>
    </rPh>
    <rPh sb="11" eb="13">
      <t>テイシュツ</t>
    </rPh>
    <phoneticPr fontId="4"/>
  </si>
  <si>
    <t xml:space="preserve">FLR-71733 ( 6660VV)- 
BK x GR WHITE </t>
    <phoneticPr fontId="4"/>
  </si>
  <si>
    <t>単価</t>
    <rPh sb="0" eb="2">
      <t>タンカ</t>
    </rPh>
    <phoneticPr fontId="4"/>
  </si>
  <si>
    <t xml:space="preserve">MOQ 2 rolls </t>
    <phoneticPr fontId="4"/>
  </si>
  <si>
    <t>FLR-70351 ( 1300VV ) 
BK x # 3430 Violet(R120D)</t>
    <phoneticPr fontId="4"/>
  </si>
  <si>
    <t>FLR-80650 ( 6660VV )
BK x # Black (R120D) x # 5124(Alpure)</t>
    <phoneticPr fontId="4"/>
  </si>
  <si>
    <r>
      <t xml:space="preserve">2702 </t>
    </r>
    <r>
      <rPr>
        <sz val="12"/>
        <color indexed="30"/>
        <rFont val="Arial"/>
        <family val="2"/>
      </rPr>
      <t>Thailand</t>
    </r>
    <phoneticPr fontId="4"/>
  </si>
  <si>
    <t>2702 Thailand</t>
    <phoneticPr fontId="4"/>
  </si>
  <si>
    <t>PO#</t>
    <phoneticPr fontId="4"/>
  </si>
  <si>
    <t>4141</t>
    <phoneticPr fontId="4"/>
  </si>
  <si>
    <t>Put-up / roll</t>
    <phoneticPr fontId="4"/>
  </si>
  <si>
    <t>7mm×2</t>
    <phoneticPr fontId="4"/>
  </si>
  <si>
    <t>9mm×2</t>
    <phoneticPr fontId="4"/>
  </si>
  <si>
    <t>12mm×2</t>
    <phoneticPr fontId="4"/>
  </si>
  <si>
    <t>3717</t>
    <phoneticPr fontId="4"/>
  </si>
  <si>
    <t xml:space="preserve">20231107 Courreges   42% for 4141, 45% for 3717
レート125
</t>
    <phoneticPr fontId="4"/>
  </si>
  <si>
    <t>10925</t>
    <phoneticPr fontId="4"/>
  </si>
  <si>
    <t># 24 Black</t>
    <phoneticPr fontId="4"/>
  </si>
  <si>
    <t># 89 MIST</t>
    <phoneticPr fontId="4"/>
  </si>
  <si>
    <t># 158 NATURAL</t>
    <phoneticPr fontId="4"/>
  </si>
  <si>
    <t>#74 MUD BROWN</t>
    <phoneticPr fontId="4"/>
  </si>
  <si>
    <t># 89 ETHER</t>
    <phoneticPr fontId="4"/>
  </si>
  <si>
    <r>
      <t>Zuhair Murad 20231117    20% 120</t>
    </r>
    <r>
      <rPr>
        <sz val="10"/>
        <rFont val="ＭＳ Ｐゴシック"/>
        <family val="3"/>
        <charset val="128"/>
      </rPr>
      <t>円</t>
    </r>
    <rPh sb="32" eb="33">
      <t>エン</t>
    </rPh>
    <phoneticPr fontId="4"/>
  </si>
  <si>
    <t>KFUT 5116  D/#F-3431</t>
    <phoneticPr fontId="4"/>
  </si>
  <si>
    <t>Order condition</t>
  </si>
  <si>
    <t>EXW JAPAN /m</t>
  </si>
  <si>
    <t xml:space="preserve">SAG7500 Mill's standard colors </t>
  </si>
  <si>
    <t>110/112cm×abt.44m</t>
  </si>
  <si>
    <t>€ 20.13 /m</t>
  </si>
  <si>
    <t>€ 23.38 /m</t>
  </si>
  <si>
    <t>SAG7500 Custom colors</t>
  </si>
  <si>
    <t>MOQ : 6 rolls /col -</t>
  </si>
  <si>
    <r>
      <t xml:space="preserve">below MOQ </t>
    </r>
    <r>
      <rPr>
        <sz val="10"/>
        <rFont val="ＭＳ Ｐゴシック"/>
        <family val="3"/>
        <charset val="128"/>
      </rPr>
      <t>→</t>
    </r>
    <r>
      <rPr>
        <sz val="10"/>
        <rFont val="Arial"/>
        <family val="2"/>
      </rPr>
      <t>1 - 5 rolls / col</t>
    </r>
  </si>
  <si>
    <t>NOTE:</t>
  </si>
  <si>
    <t xml:space="preserve">SAG7500 Mill's standard colors </t>
    <phoneticPr fontId="4"/>
  </si>
  <si>
    <r>
      <t>Art. #</t>
    </r>
    <r>
      <rPr>
        <b/>
        <sz val="10"/>
        <color rgb="FFFF0000"/>
        <rFont val="Arial"/>
        <family val="2"/>
      </rPr>
      <t xml:space="preserve"> (Less-water repellency)</t>
    </r>
  </si>
  <si>
    <r>
      <rPr>
        <sz val="10"/>
        <rFont val="ＭＳ Ｐゴシック"/>
        <family val="3"/>
        <charset val="128"/>
      </rPr>
      <t>⇒</t>
    </r>
    <r>
      <rPr>
        <sz val="10"/>
        <rFont val="Arial  "/>
        <family val="2"/>
      </rPr>
      <t>Inland Freight Charge in Japan will be added if order below € 2,000/order</t>
    </r>
    <phoneticPr fontId="4"/>
  </si>
  <si>
    <r>
      <rPr>
        <sz val="10"/>
        <rFont val="ＭＳ Ｐゴシック"/>
        <family val="3"/>
        <charset val="128"/>
      </rPr>
      <t>⇒</t>
    </r>
    <r>
      <rPr>
        <sz val="10"/>
        <rFont val="Arial  "/>
        <family val="2"/>
      </rPr>
      <t>The term of validity: end of December, 2023</t>
    </r>
    <phoneticPr fontId="4"/>
  </si>
  <si>
    <r>
      <t>20231121 Nina Ricci</t>
    </r>
    <r>
      <rPr>
        <b/>
        <sz val="8"/>
        <color rgb="FF0070C0"/>
        <rFont val="ＭＳ Ｐゴシック"/>
        <family val="3"/>
        <charset val="128"/>
      </rPr>
      <t>弱撥水バージョン</t>
    </r>
    <r>
      <rPr>
        <b/>
        <sz val="8"/>
        <color rgb="FF0070C0"/>
        <rFont val="Arial"/>
        <family val="2"/>
      </rPr>
      <t xml:space="preserve"> </t>
    </r>
    <rPh sb="19" eb="22">
      <t>ジャクハッスイ</t>
    </rPh>
    <phoneticPr fontId="4"/>
  </si>
  <si>
    <t>CR-231125</t>
    <phoneticPr fontId="4"/>
  </si>
  <si>
    <t>Heritage white : 01</t>
    <phoneticPr fontId="4"/>
  </si>
  <si>
    <t>Black : 24</t>
    <phoneticPr fontId="4"/>
  </si>
  <si>
    <t>Mist : 89</t>
    <phoneticPr fontId="4"/>
  </si>
  <si>
    <t>Natural : 135</t>
    <phoneticPr fontId="4"/>
  </si>
  <si>
    <t>Mud brown : 137</t>
    <phoneticPr fontId="4"/>
  </si>
  <si>
    <t>Ruby : 10</t>
    <phoneticPr fontId="4"/>
  </si>
  <si>
    <t>Iceberg : 82</t>
    <phoneticPr fontId="4"/>
  </si>
  <si>
    <t>Ether : 127</t>
    <phoneticPr fontId="4"/>
  </si>
  <si>
    <t>Latex : 158</t>
    <phoneticPr fontId="4"/>
  </si>
  <si>
    <t>Toffee / biscuit : 12</t>
    <phoneticPr fontId="4"/>
  </si>
  <si>
    <t>Gris chine : 142</t>
    <phoneticPr fontId="4"/>
  </si>
  <si>
    <t>Ecru : 2</t>
    <phoneticPr fontId="4"/>
  </si>
  <si>
    <t>Mud brown : 137</t>
  </si>
  <si>
    <t>Mud brown / Gris chiné foncé : 140</t>
    <phoneticPr fontId="4"/>
  </si>
  <si>
    <t>20231130 Sezane  25%, 145円</t>
    <rPh sb="25" eb="26">
      <t>エン</t>
    </rPh>
    <phoneticPr fontId="4"/>
  </si>
  <si>
    <t>PUT4911 D/#93</t>
    <phoneticPr fontId="4"/>
  </si>
  <si>
    <t xml:space="preserve">110cm x abt 50m </t>
    <phoneticPr fontId="4"/>
  </si>
  <si>
    <t>PUT4911 D/#SB-380</t>
    <phoneticPr fontId="4"/>
  </si>
  <si>
    <t>PUT4912 D/#62</t>
    <phoneticPr fontId="4"/>
  </si>
  <si>
    <t>PUT4912-58 D/#SB-173</t>
    <phoneticPr fontId="4"/>
  </si>
  <si>
    <t xml:space="preserve">145/148cm x abt 50m </t>
    <phoneticPr fontId="4"/>
  </si>
  <si>
    <t>23/0001250</t>
    <phoneticPr fontId="4"/>
  </si>
  <si>
    <t>PARMAMODA SRL A SOCIO UNICO ( Zuhair Murad )</t>
    <phoneticPr fontId="4"/>
  </si>
  <si>
    <t># 20BK Black</t>
    <phoneticPr fontId="4"/>
  </si>
  <si>
    <r>
      <t xml:space="preserve">500m </t>
    </r>
    <r>
      <rPr>
        <sz val="10"/>
        <color rgb="FF000000"/>
        <rFont val="ＭＳ Ｐゴシック"/>
        <family val="3"/>
        <charset val="128"/>
      </rPr>
      <t>の場合</t>
    </r>
    <rPh sb="6" eb="8">
      <t>バアイ</t>
    </rPh>
    <phoneticPr fontId="4"/>
  </si>
  <si>
    <r>
      <t xml:space="preserve">1000m </t>
    </r>
    <r>
      <rPr>
        <sz val="10"/>
        <color rgb="FF000000"/>
        <rFont val="ＭＳ Ｐゴシック"/>
        <family val="3"/>
        <charset val="128"/>
      </rPr>
      <t>の場合</t>
    </r>
    <rPh sb="7" eb="9">
      <t>バアイ</t>
    </rPh>
    <phoneticPr fontId="4"/>
  </si>
  <si>
    <r>
      <t>20231201 Nina Ricci</t>
    </r>
    <r>
      <rPr>
        <b/>
        <sz val="8"/>
        <color rgb="FF0070C0"/>
        <rFont val="ＭＳ Ｐゴシック"/>
        <family val="3"/>
        <charset val="128"/>
      </rPr>
      <t>弱撥水バージョン</t>
    </r>
    <r>
      <rPr>
        <b/>
        <sz val="8"/>
        <color rgb="FF0070C0"/>
        <rFont val="Arial"/>
        <family val="2"/>
      </rPr>
      <t xml:space="preserve"> </t>
    </r>
    <r>
      <rPr>
        <b/>
        <sz val="8"/>
        <color rgb="FF0070C0"/>
        <rFont val="ＭＳ Ｐゴシック"/>
        <family val="3"/>
        <charset val="128"/>
      </rPr>
      <t>バルク</t>
    </r>
    <r>
      <rPr>
        <b/>
        <sz val="8"/>
        <color rgb="FF0070C0"/>
        <rFont val="Arial"/>
        <family val="2"/>
      </rPr>
      <t xml:space="preserve">best </t>
    </r>
    <r>
      <rPr>
        <b/>
        <sz val="8"/>
        <color rgb="FF0070C0"/>
        <rFont val="ＭＳ Ｐゴシック"/>
        <family val="3"/>
        <charset val="128"/>
      </rPr>
      <t>単価</t>
    </r>
    <rPh sb="19" eb="22">
      <t>ジャクハッスイ</t>
    </rPh>
    <rPh sb="36" eb="38">
      <t>タンカ</t>
    </rPh>
    <phoneticPr fontId="4"/>
  </si>
  <si>
    <t>for 1,000m in total ( Color min. 264m/col )</t>
    <phoneticPr fontId="4"/>
  </si>
  <si>
    <t xml:space="preserve">SAG7500 Mill's standard colors / Custom colors </t>
    <phoneticPr fontId="4"/>
  </si>
  <si>
    <t>018286</t>
    <phoneticPr fontId="4"/>
  </si>
  <si>
    <t>DTM PURE PURPLE</t>
    <phoneticPr fontId="4"/>
  </si>
  <si>
    <t>Dye fee for 6mm</t>
    <phoneticPr fontId="4"/>
  </si>
  <si>
    <t>Dye fee for 9mm</t>
    <phoneticPr fontId="4"/>
  </si>
  <si>
    <t>abt 2 weeks</t>
  </si>
  <si>
    <t>Lead time to develop a new pattern</t>
    <phoneticPr fontId="4"/>
  </si>
  <si>
    <t xml:space="preserve">4.5m or 10m or 13.7m </t>
    <phoneticPr fontId="4"/>
  </si>
  <si>
    <t xml:space="preserve">Lead time for sample roll (4.5m - 13.7m) </t>
    <phoneticPr fontId="4"/>
  </si>
  <si>
    <t>Pattern Development fee / 
Small sample swatch</t>
    <phoneticPr fontId="4"/>
  </si>
  <si>
    <t>Accurate price will be confirmed after you approve the quality</t>
    <phoneticPr fontId="4"/>
  </si>
  <si>
    <t>Unit Price for 6 rolls (EXW JAPAN /m)</t>
    <phoneticPr fontId="4"/>
  </si>
  <si>
    <t>Custom Development in small holes embroidery cotton</t>
    <phoneticPr fontId="4"/>
  </si>
  <si>
    <t>6 rolls (82.2m)</t>
    <phoneticPr fontId="4"/>
  </si>
  <si>
    <t>Sample Price for 4.5m or 10m (EXW JAPAN /m)</t>
    <phoneticPr fontId="4"/>
  </si>
  <si>
    <t>Regular price x 1.5</t>
    <phoneticPr fontId="4"/>
  </si>
  <si>
    <t>Sample Price for 13.7m (EXW JAPAN /m)</t>
    <phoneticPr fontId="4"/>
  </si>
  <si>
    <t>Regular price x 2</t>
    <phoneticPr fontId="4"/>
  </si>
  <si>
    <t>abt 2 weeks after the artwork data is finalized 
(There will be data revision if necessary)</t>
    <phoneticPr fontId="4"/>
  </si>
  <si>
    <t xml:space="preserve">abt 50 - 60 days ( It depends on how complicated the pattern is or quantity, so let me advise you when your production is confirmed. )  </t>
    <phoneticPr fontId="4"/>
  </si>
  <si>
    <r>
      <t>Ø</t>
    </r>
    <r>
      <rPr>
        <sz val="7"/>
        <rFont val="Times New Roman"/>
        <family val="1"/>
      </rPr>
      <t xml:space="preserve">  </t>
    </r>
    <r>
      <rPr>
        <sz val="10"/>
        <rFont val="Times New Roman"/>
        <family val="1"/>
      </rPr>
      <t xml:space="preserve">When you create your pattern, please note that the pitch of one repeat by our embroidery machine is a multiple of 2.71cm. </t>
    </r>
    <phoneticPr fontId="4"/>
  </si>
  <si>
    <r>
      <t xml:space="preserve">If the pattern scale is similar to the samples I sent to you, the developing fee will be below € 100/pattern
 (It depends on your artwork / pattern scale) / 
Small sample swatch to approve the quality provided </t>
    </r>
    <r>
      <rPr>
        <sz val="10"/>
        <color rgb="FF000000"/>
        <rFont val="ＭＳ Ｐゴシック"/>
        <family val="3"/>
        <charset val="128"/>
      </rPr>
      <t>⇒</t>
    </r>
    <r>
      <rPr>
        <sz val="10"/>
        <color rgb="FF000000"/>
        <rFont val="Arial"/>
        <family val="2"/>
      </rPr>
      <t>FOC</t>
    </r>
    <phoneticPr fontId="4"/>
  </si>
  <si>
    <t>MOQ for Sample</t>
    <phoneticPr fontId="4"/>
  </si>
  <si>
    <t xml:space="preserve">MOQ for Production </t>
    <phoneticPr fontId="4"/>
  </si>
  <si>
    <t>*The prices &amp; Lead times above all based on Mill's Off White - undyed</t>
    <phoneticPr fontId="4"/>
  </si>
  <si>
    <t>*Lead times above all based on working days in Japan</t>
    <phoneticPr fontId="4"/>
  </si>
  <si>
    <t>Lead time for production ( based on 50 rolls)</t>
    <phoneticPr fontId="4"/>
  </si>
  <si>
    <t xml:space="preserve">20231212 Celine </t>
    <phoneticPr fontId="4"/>
  </si>
  <si>
    <t># 00 (PFD)</t>
    <phoneticPr fontId="4"/>
  </si>
  <si>
    <t>CR-231212</t>
    <phoneticPr fontId="4"/>
  </si>
  <si>
    <t>SAG7500 (Standard-water repellency)</t>
    <phoneticPr fontId="4"/>
  </si>
  <si>
    <t>CR-231213</t>
    <phoneticPr fontId="4"/>
  </si>
  <si>
    <t>Custom Col. PURE PURPLE</t>
    <phoneticPr fontId="4"/>
  </si>
  <si>
    <t>SUPPLIER</t>
  </si>
  <si>
    <t>REFERENCE</t>
  </si>
  <si>
    <t>COL</t>
  </si>
  <si>
    <t>COMPO</t>
  </si>
  <si>
    <t>WIDTH WEIGHT</t>
  </si>
  <si>
    <t>PRODUCTION PRICE / 200M</t>
  </si>
  <si>
    <t>SUN FASHION</t>
  </si>
  <si>
    <t>FLR-85087</t>
  </si>
  <si>
    <t xml:space="preserve">MIILL'S OFF WHITE </t>
  </si>
  <si>
    <t>FLR-85067</t>
  </si>
  <si>
    <t xml:space="preserve">MILL'S OFF WHITE </t>
  </si>
  <si>
    <t>FLR-85066</t>
  </si>
  <si>
    <t>FLR-85061</t>
  </si>
  <si>
    <t>FLR-85060</t>
  </si>
  <si>
    <t>FLR-85063</t>
  </si>
  <si>
    <t>FLR-85064</t>
  </si>
  <si>
    <t>FLR-85085</t>
  </si>
  <si>
    <t>FLR-85086</t>
  </si>
  <si>
    <t>FLR-85088</t>
  </si>
  <si>
    <t>FLR-85007</t>
  </si>
  <si>
    <t>FLR-72481</t>
  </si>
  <si>
    <t>FLR-85008</t>
  </si>
  <si>
    <t>FLR-85005</t>
  </si>
  <si>
    <t>FLR-85021</t>
  </si>
  <si>
    <t>100% COTTON</t>
    <phoneticPr fontId="4"/>
  </si>
  <si>
    <t>100 CM x 13.7m /  GSM is TBC in sampling</t>
    <phoneticPr fontId="4"/>
  </si>
  <si>
    <t xml:space="preserve">Same as regular price </t>
    <phoneticPr fontId="4"/>
  </si>
  <si>
    <r>
      <t>DYED COTTON LACE</t>
    </r>
    <r>
      <rPr>
        <sz val="10"/>
        <color rgb="FFFF0000"/>
        <rFont val="ＭＳ Ｐゴシック"/>
        <family val="3"/>
        <charset val="128"/>
      </rPr>
      <t/>
    </r>
  </si>
  <si>
    <r>
      <rPr>
        <sz val="10"/>
        <color rgb="FFFF0000"/>
        <rFont val="ＭＳ Ｐゴシック"/>
        <family val="3"/>
        <charset val="128"/>
      </rPr>
      <t>＠</t>
    </r>
    <r>
      <rPr>
        <sz val="10"/>
        <color rgb="FFFF0000"/>
        <rFont val="Arial  "/>
        <family val="2"/>
      </rPr>
      <t>560/m up</t>
    </r>
  </si>
  <si>
    <r>
      <rPr>
        <sz val="10"/>
        <color rgb="FFFF0000"/>
        <rFont val="ＭＳ Ｐゴシック"/>
        <family val="3"/>
        <charset val="128"/>
      </rPr>
      <t>＠</t>
    </r>
    <r>
      <rPr>
        <sz val="10"/>
        <color rgb="FFFF0000"/>
        <rFont val="Arial  "/>
        <family val="2"/>
      </rPr>
      <t>370/m up</t>
    </r>
  </si>
  <si>
    <r>
      <rPr>
        <sz val="10"/>
        <color rgb="FFFF0000"/>
        <rFont val="ＭＳ Ｐゴシック"/>
        <family val="3"/>
        <charset val="128"/>
      </rPr>
      <t>＠</t>
    </r>
    <r>
      <rPr>
        <sz val="10"/>
        <color rgb="FFFF0000"/>
        <rFont val="Arial  "/>
        <family val="2"/>
      </rPr>
      <t>230/m up</t>
    </r>
  </si>
  <si>
    <t>upcharge /m</t>
    <phoneticPr fontId="4"/>
  </si>
  <si>
    <r>
      <t>6</t>
    </r>
    <r>
      <rPr>
        <sz val="10"/>
        <color rgb="FFFF0000"/>
        <rFont val="ＭＳ Ｐゴシック"/>
        <family val="3"/>
        <charset val="128"/>
      </rPr>
      <t>～</t>
    </r>
    <r>
      <rPr>
        <sz val="10"/>
        <color rgb="FFFF0000"/>
        <rFont val="Arial  "/>
        <family val="2"/>
      </rPr>
      <t>10 ROLLS/COL</t>
    </r>
    <phoneticPr fontId="194"/>
  </si>
  <si>
    <r>
      <t>11</t>
    </r>
    <r>
      <rPr>
        <sz val="10"/>
        <color rgb="FFFF0000"/>
        <rFont val="ＭＳ Ｐゴシック"/>
        <family val="3"/>
        <charset val="128"/>
      </rPr>
      <t>～</t>
    </r>
    <r>
      <rPr>
        <sz val="10"/>
        <color rgb="FFFF0000"/>
        <rFont val="Arial  "/>
        <family val="2"/>
      </rPr>
      <t>30 ROLLS/COL</t>
    </r>
    <phoneticPr fontId="194"/>
  </si>
  <si>
    <r>
      <t>31</t>
    </r>
    <r>
      <rPr>
        <sz val="10"/>
        <color rgb="FFFF0000"/>
        <rFont val="ＭＳ Ｐゴシック"/>
        <family val="3"/>
        <charset val="128"/>
      </rPr>
      <t>～</t>
    </r>
    <r>
      <rPr>
        <sz val="10"/>
        <color rgb="FFFF0000"/>
        <rFont val="Arial  "/>
        <family val="2"/>
      </rPr>
      <t>ROLLS/COL</t>
    </r>
    <phoneticPr fontId="194"/>
  </si>
  <si>
    <t>(Custom color)</t>
    <phoneticPr fontId="4"/>
  </si>
  <si>
    <r>
      <t>6</t>
    </r>
    <r>
      <rPr>
        <sz val="10"/>
        <rFont val="ＭＳ Ｐゴシック"/>
        <family val="3"/>
        <charset val="128"/>
      </rPr>
      <t>～</t>
    </r>
    <r>
      <rPr>
        <sz val="10"/>
        <rFont val="Arial  "/>
        <family val="2"/>
      </rPr>
      <t>10 ROLLS/COL</t>
    </r>
    <phoneticPr fontId="194"/>
  </si>
  <si>
    <r>
      <t>11</t>
    </r>
    <r>
      <rPr>
        <sz val="10"/>
        <rFont val="ＭＳ Ｐゴシック"/>
        <family val="3"/>
        <charset val="128"/>
      </rPr>
      <t>～</t>
    </r>
    <r>
      <rPr>
        <sz val="10"/>
        <rFont val="Arial  "/>
        <family val="2"/>
      </rPr>
      <t>30 ROLLS/COL</t>
    </r>
    <phoneticPr fontId="194"/>
  </si>
  <si>
    <r>
      <t>31</t>
    </r>
    <r>
      <rPr>
        <sz val="10"/>
        <rFont val="ＭＳ Ｐゴシック"/>
        <family val="3"/>
        <charset val="128"/>
      </rPr>
      <t>～</t>
    </r>
    <r>
      <rPr>
        <sz val="10"/>
        <rFont val="Arial  "/>
        <family val="2"/>
      </rPr>
      <t>ROLLS/COL</t>
    </r>
    <phoneticPr fontId="194"/>
  </si>
  <si>
    <t>Dye surcharge per meter</t>
    <phoneticPr fontId="4"/>
  </si>
  <si>
    <t>Dye qty</t>
    <phoneticPr fontId="4"/>
  </si>
  <si>
    <t>MK-231220</t>
    <phoneticPr fontId="4"/>
  </si>
  <si>
    <t>11276</t>
    <phoneticPr fontId="4"/>
  </si>
  <si>
    <t># 74 Mud Brown</t>
    <phoneticPr fontId="4"/>
  </si>
  <si>
    <t xml:space="preserve">Dye Fee for 9mm </t>
    <phoneticPr fontId="4"/>
  </si>
  <si>
    <t xml:space="preserve">Dye Fee for 6mm </t>
    <phoneticPr fontId="4"/>
  </si>
  <si>
    <t>CR-240112</t>
    <phoneticPr fontId="4"/>
  </si>
  <si>
    <t>CR-240117</t>
    <phoneticPr fontId="4"/>
  </si>
  <si>
    <t># 24 – BLACK</t>
    <phoneticPr fontId="4"/>
  </si>
  <si>
    <t># 163</t>
    <phoneticPr fontId="4"/>
  </si>
  <si>
    <t># 69</t>
    <phoneticPr fontId="4"/>
  </si>
  <si>
    <t># 22</t>
    <phoneticPr fontId="4"/>
  </si>
  <si>
    <t># 135</t>
    <phoneticPr fontId="4"/>
  </si>
  <si>
    <t xml:space="preserve"># 0 – BLANC HERITAGE </t>
    <phoneticPr fontId="4"/>
  </si>
  <si>
    <t># 122</t>
    <phoneticPr fontId="4"/>
  </si>
  <si>
    <t># 130</t>
    <phoneticPr fontId="4"/>
  </si>
  <si>
    <t># 89</t>
    <phoneticPr fontId="4"/>
  </si>
  <si>
    <t># 207</t>
    <phoneticPr fontId="4"/>
  </si>
  <si>
    <t># 10</t>
    <phoneticPr fontId="4"/>
  </si>
  <si>
    <t># 74</t>
    <phoneticPr fontId="4"/>
  </si>
  <si>
    <t># 14</t>
    <phoneticPr fontId="4"/>
  </si>
  <si>
    <t># 60</t>
    <phoneticPr fontId="4"/>
  </si>
  <si>
    <t># 7</t>
    <phoneticPr fontId="4"/>
  </si>
  <si>
    <t>Stock</t>
    <phoneticPr fontId="4"/>
  </si>
  <si>
    <t>in stock</t>
    <phoneticPr fontId="4"/>
  </si>
  <si>
    <t>No stock, L/T is abt 4 - 5 weeks based on working days in Japan</t>
    <phoneticPr fontId="4"/>
  </si>
  <si>
    <t># 21</t>
    <phoneticPr fontId="4"/>
  </si>
  <si>
    <t>20240223 Celine</t>
    <phoneticPr fontId="4"/>
  </si>
  <si>
    <t>Article No. / Color</t>
    <phoneticPr fontId="194"/>
  </si>
  <si>
    <t>MOQ</t>
    <phoneticPr fontId="194"/>
  </si>
  <si>
    <t xml:space="preserve">Composition </t>
    <phoneticPr fontId="194"/>
  </si>
  <si>
    <t xml:space="preserve">Size </t>
    <phoneticPr fontId="194"/>
  </si>
  <si>
    <r>
      <rPr>
        <b/>
        <sz val="12"/>
        <color rgb="FFFF00FF"/>
        <rFont val="ＭＳ Ｐゴシック"/>
        <family val="3"/>
        <charset val="128"/>
      </rPr>
      <t>通常単価</t>
    </r>
    <r>
      <rPr>
        <b/>
        <sz val="12"/>
        <color rgb="FFFF00FF"/>
        <rFont val="Arial  "/>
        <family val="2"/>
      </rPr>
      <t>/m</t>
    </r>
    <rPh sb="0" eb="2">
      <t>ツウジョウ</t>
    </rPh>
    <phoneticPr fontId="194"/>
  </si>
  <si>
    <t>利益率</t>
  </si>
  <si>
    <t>レート</t>
  </si>
  <si>
    <t>100% Cotton</t>
    <phoneticPr fontId="194"/>
  </si>
  <si>
    <t>FLR-12336(FLORAL )/ Mill's Off White</t>
    <phoneticPr fontId="4"/>
  </si>
  <si>
    <t>MOQ:6 rolls / col 
(made to order)</t>
    <phoneticPr fontId="4"/>
  </si>
  <si>
    <t xml:space="preserve">92-96cm x 13.7m </t>
    <phoneticPr fontId="194"/>
  </si>
  <si>
    <t>EXW JAPAN /m 
based on 6 rolls/col</t>
    <phoneticPr fontId="194"/>
  </si>
  <si>
    <r>
      <t xml:space="preserve">EXW JAPAN /m 
based on 1 roll (13.7m) sample 
</t>
    </r>
    <r>
      <rPr>
        <b/>
        <sz val="10"/>
        <color rgb="FF000000"/>
        <rFont val="ＭＳ Ｐゴシック"/>
        <family val="3"/>
        <charset val="128"/>
      </rPr>
      <t>⇒</t>
    </r>
    <r>
      <rPr>
        <b/>
        <sz val="10"/>
        <color rgb="FF000000"/>
        <rFont val="Arial  "/>
        <family val="2"/>
      </rPr>
      <t>Regular price x 1.5</t>
    </r>
    <phoneticPr fontId="194"/>
  </si>
  <si>
    <r>
      <t xml:space="preserve">EXW JAPAN /m 
based on 4.5m sample
</t>
    </r>
    <r>
      <rPr>
        <b/>
        <sz val="10"/>
        <color rgb="FF000000"/>
        <rFont val="ＭＳ Ｐゴシック"/>
        <family val="3"/>
        <charset val="128"/>
      </rPr>
      <t>⇒</t>
    </r>
    <r>
      <rPr>
        <b/>
        <sz val="10"/>
        <color rgb="FF000000"/>
        <rFont val="Arial  "/>
        <family val="2"/>
      </rPr>
      <t>Regular price x 2</t>
    </r>
    <phoneticPr fontId="194"/>
  </si>
  <si>
    <r>
      <t xml:space="preserve">EXW JAPAN /m 
based on 10m sample
</t>
    </r>
    <r>
      <rPr>
        <b/>
        <sz val="10"/>
        <color rgb="FF000000"/>
        <rFont val="ＭＳ Ｐゴシック"/>
        <family val="3"/>
        <charset val="128"/>
      </rPr>
      <t>⇒</t>
    </r>
    <r>
      <rPr>
        <b/>
        <sz val="10"/>
        <color rgb="FF000000"/>
        <rFont val="Arial  "/>
        <family val="2"/>
      </rPr>
      <t>Regular price x 2</t>
    </r>
    <phoneticPr fontId="194"/>
  </si>
  <si>
    <t>FLR-12337(PEARL )/ Mill's Off White</t>
  </si>
  <si>
    <t>FLR-12338(ROPE )/ Mill's Off White</t>
    <phoneticPr fontId="4"/>
  </si>
  <si>
    <t>CELINE</t>
    <phoneticPr fontId="4"/>
  </si>
  <si>
    <t>Custom Cotton Embroidery Lace  100% Cotton</t>
    <phoneticPr fontId="4"/>
  </si>
  <si>
    <t>FLR-12336(FLORAL )</t>
    <phoneticPr fontId="4"/>
  </si>
  <si>
    <t>Developing Fee</t>
    <phoneticPr fontId="4"/>
  </si>
  <si>
    <t>FLR-12337(PEARL )</t>
    <phoneticPr fontId="4"/>
  </si>
  <si>
    <t>FLR-12338(ROPE )</t>
    <phoneticPr fontId="4"/>
  </si>
  <si>
    <t>EXW JAPAN /set</t>
    <phoneticPr fontId="4"/>
  </si>
  <si>
    <t># 312 Black</t>
    <phoneticPr fontId="4"/>
  </si>
  <si>
    <r>
      <t xml:space="preserve">2732 </t>
    </r>
    <r>
      <rPr>
        <sz val="12"/>
        <color indexed="30"/>
        <rFont val="Arial"/>
        <family val="2"/>
      </rPr>
      <t>Thailand</t>
    </r>
    <phoneticPr fontId="4"/>
  </si>
  <si>
    <t>FLR-85053 (as is) / Mill's Off White</t>
    <phoneticPr fontId="4"/>
  </si>
  <si>
    <t>FLR-12344(Cannage)/ Mill's Off White</t>
    <phoneticPr fontId="4"/>
  </si>
  <si>
    <t>FLR-12344(Cannage )</t>
    <phoneticPr fontId="4"/>
  </si>
  <si>
    <t>FLR-12346(pointille degrade)</t>
    <phoneticPr fontId="4"/>
  </si>
  <si>
    <t>EXW JAPAN 
USD/m</t>
    <phoneticPr fontId="194"/>
  </si>
  <si>
    <t>20240221 Cymbeline</t>
    <phoneticPr fontId="4"/>
  </si>
  <si>
    <t>TI-4100</t>
    <phoneticPr fontId="4"/>
  </si>
  <si>
    <r>
      <rPr>
        <b/>
        <sz val="12"/>
        <color rgb="FFFF00FF"/>
        <rFont val="ＭＳ Ｐゴシック"/>
        <family val="3"/>
        <charset val="128"/>
      </rPr>
      <t>単価</t>
    </r>
    <r>
      <rPr>
        <b/>
        <sz val="12"/>
        <color rgb="FFFF00FF"/>
        <rFont val="Arial  "/>
        <family val="2"/>
      </rPr>
      <t>/m</t>
    </r>
    <rPh sb="0" eb="2">
      <t>タンカ</t>
    </rPh>
    <phoneticPr fontId="194"/>
  </si>
  <si>
    <t>11914</t>
    <phoneticPr fontId="4"/>
  </si>
  <si>
    <t># 58 NATURAL</t>
    <phoneticPr fontId="4"/>
  </si>
  <si>
    <t>Cotton Embroidery Lace  100% Cotton</t>
    <phoneticPr fontId="4"/>
  </si>
  <si>
    <t>018326</t>
    <phoneticPr fontId="4"/>
  </si>
  <si>
    <t>FLR-85007 (ENTRELACEE)</t>
    <phoneticPr fontId="4"/>
  </si>
  <si>
    <t>FLR-72481 (WALLPAPER)</t>
    <phoneticPr fontId="4"/>
  </si>
  <si>
    <t>FLR-85021 (PETIT LOSANGES)</t>
    <phoneticPr fontId="4"/>
  </si>
  <si>
    <t>FLR-85067 (CARREAUX)</t>
    <phoneticPr fontId="4"/>
  </si>
  <si>
    <t>FLR-85008 (TRIOMPHE CERCEAU)</t>
    <phoneticPr fontId="4"/>
  </si>
  <si>
    <t>FLR-85005 (TOURNESOL)</t>
    <phoneticPr fontId="4"/>
  </si>
  <si>
    <t>FLR-12344 (TRIOMPHE CANNAGE )</t>
    <phoneticPr fontId="4"/>
  </si>
  <si>
    <t>FLR-12337 (TRIOMPHE MEDAILLON )</t>
    <phoneticPr fontId="4"/>
  </si>
  <si>
    <t>FLR-12338 (TRIOMPHE CHAINE )</t>
    <phoneticPr fontId="4"/>
  </si>
  <si>
    <t>FLR-12336 (TRIOMPHE PLUMETIS )</t>
    <phoneticPr fontId="4"/>
  </si>
  <si>
    <t>サンプル1反単価 x1.5</t>
    <rPh sb="5" eb="6">
      <t>タン</t>
    </rPh>
    <rPh sb="6" eb="8">
      <t>タンカ</t>
    </rPh>
    <phoneticPr fontId="4"/>
  </si>
  <si>
    <t>NOTE</t>
    <phoneticPr fontId="4"/>
  </si>
  <si>
    <r>
      <rPr>
        <b/>
        <sz val="10"/>
        <rFont val="ＭＳ Ｐゴシック"/>
        <family val="3"/>
        <charset val="128"/>
      </rPr>
      <t>単価</t>
    </r>
    <r>
      <rPr>
        <b/>
        <sz val="10"/>
        <rFont val="Arial"/>
        <family val="2"/>
      </rPr>
      <t xml:space="preserve"> (</t>
    </r>
    <r>
      <rPr>
        <b/>
        <sz val="10"/>
        <rFont val="ＭＳ Ｐゴシック"/>
        <family val="3"/>
        <charset val="128"/>
      </rPr>
      <t>円</t>
    </r>
    <r>
      <rPr>
        <b/>
        <sz val="10"/>
        <rFont val="Arial"/>
        <family val="2"/>
      </rPr>
      <t xml:space="preserve">) /m </t>
    </r>
    <rPh sb="0" eb="2">
      <t>タンカ</t>
    </rPh>
    <rPh sb="4" eb="5">
      <t>エン</t>
    </rPh>
    <phoneticPr fontId="4"/>
  </si>
  <si>
    <r>
      <rPr>
        <sz val="10"/>
        <rFont val="ＭＳ Ｐゴシック"/>
        <family val="3"/>
        <charset val="128"/>
      </rPr>
      <t>サンプル単価</t>
    </r>
    <r>
      <rPr>
        <sz val="10"/>
        <rFont val="Arial"/>
        <family val="2"/>
      </rPr>
      <t xml:space="preserve"> x 1.5</t>
    </r>
    <r>
      <rPr>
        <sz val="10"/>
        <rFont val="ＭＳ Ｐゴシック"/>
        <family val="3"/>
        <charset val="128"/>
      </rPr>
      <t>倍</t>
    </r>
    <rPh sb="4" eb="6">
      <t>タンカ</t>
    </rPh>
    <rPh sb="12" eb="13">
      <t>バイ</t>
    </rPh>
    <phoneticPr fontId="4"/>
  </si>
  <si>
    <t>在庫（量産）単価</t>
    <rPh sb="0" eb="2">
      <t>ザイコ</t>
    </rPh>
    <rPh sb="3" eb="5">
      <t>リョウサン</t>
    </rPh>
    <rPh sb="6" eb="8">
      <t>タンカ</t>
    </rPh>
    <phoneticPr fontId="4"/>
  </si>
  <si>
    <r>
      <t xml:space="preserve">Sample price </t>
    </r>
    <r>
      <rPr>
        <sz val="10"/>
        <rFont val="ＭＳ Ｐゴシック"/>
        <family val="3"/>
        <charset val="128"/>
      </rPr>
      <t>⇒</t>
    </r>
    <r>
      <rPr>
        <sz val="10"/>
        <rFont val="Arial  "/>
      </rPr>
      <t xml:space="preserve"> Regular price x 1.5</t>
    </r>
    <phoneticPr fontId="4"/>
  </si>
  <si>
    <t>Regular price will be applied to this qty</t>
    <phoneticPr fontId="4"/>
  </si>
  <si>
    <r>
      <t xml:space="preserve">Sample price </t>
    </r>
    <r>
      <rPr>
        <sz val="10"/>
        <rFont val="ＭＳ Ｐゴシック"/>
        <family val="3"/>
        <charset val="128"/>
      </rPr>
      <t>⇒</t>
    </r>
    <r>
      <rPr>
        <sz val="10"/>
        <rFont val="Arial  "/>
      </rPr>
      <t xml:space="preserve"> Regular price x 1.5,</t>
    </r>
    <r>
      <rPr>
        <sz val="10"/>
        <color rgb="FFFF0000"/>
        <rFont val="Arial  "/>
        <family val="2"/>
      </rPr>
      <t xml:space="preserve"> Trial with reinforcement is in process and the price will be updated </t>
    </r>
    <phoneticPr fontId="4"/>
  </si>
  <si>
    <t>Qty</t>
    <phoneticPr fontId="4"/>
  </si>
  <si>
    <t>FLR-12344(Cannage ) / FLR-12346(pointille degrade)</t>
    <phoneticPr fontId="4"/>
  </si>
  <si>
    <t>1 roll</t>
    <phoneticPr fontId="194"/>
  </si>
  <si>
    <t>1930-33</t>
    <phoneticPr fontId="4"/>
  </si>
  <si>
    <t>1930-25</t>
    <phoneticPr fontId="4"/>
  </si>
  <si>
    <t xml:space="preserve">仕入単価（円) /m </t>
    <rPh sb="0" eb="2">
      <t>シイレ</t>
    </rPh>
    <rPh sb="2" eb="4">
      <t>タンカ</t>
    </rPh>
    <rPh sb="5" eb="6">
      <t>エン</t>
    </rPh>
    <phoneticPr fontId="4"/>
  </si>
  <si>
    <t xml:space="preserve">仕入単価（円) 　subtotal </t>
    <rPh sb="0" eb="2">
      <t>シイレ</t>
    </rPh>
    <rPh sb="2" eb="4">
      <t>タンカ</t>
    </rPh>
    <rPh sb="5" eb="6">
      <t>エン</t>
    </rPh>
    <phoneticPr fontId="4"/>
  </si>
  <si>
    <t xml:space="preserve">Total </t>
    <phoneticPr fontId="4"/>
  </si>
  <si>
    <t>12019</t>
    <phoneticPr fontId="4"/>
  </si>
  <si>
    <t>Dye Fee for PURE PURPLE</t>
    <phoneticPr fontId="4"/>
  </si>
  <si>
    <t>PO# 0071668</t>
    <phoneticPr fontId="4"/>
  </si>
  <si>
    <t>CELINE-FD0605 01OW</t>
    <phoneticPr fontId="4"/>
  </si>
  <si>
    <t>CELINE-FD0608 01OW</t>
    <phoneticPr fontId="4"/>
  </si>
  <si>
    <t>CELINE-FD0614 01OW</t>
    <phoneticPr fontId="4"/>
  </si>
  <si>
    <t xml:space="preserve">CELINE-FD0610 01OW </t>
    <phoneticPr fontId="4"/>
  </si>
  <si>
    <t>CELINE-FD0615 01OW</t>
    <phoneticPr fontId="4"/>
  </si>
  <si>
    <t>CELINE-FD0618 01OW</t>
    <phoneticPr fontId="4"/>
  </si>
  <si>
    <t>CELINE-FD0620 01OW</t>
    <phoneticPr fontId="4"/>
  </si>
  <si>
    <t>CELINE-FD0698 01RD</t>
    <phoneticPr fontId="4"/>
  </si>
  <si>
    <t xml:space="preserve">CELINE-FD0621 01OW </t>
    <phoneticPr fontId="4"/>
  </si>
  <si>
    <t xml:space="preserve">Total Amount </t>
    <phoneticPr fontId="4"/>
  </si>
  <si>
    <t>DEVELOPMENT COST SS25 WOMEN</t>
    <phoneticPr fontId="4"/>
  </si>
  <si>
    <t>CR-240321</t>
    <phoneticPr fontId="4"/>
  </si>
  <si>
    <t>Celine test fee cost 予想 based on 109.6m</t>
    <rPh sb="21" eb="23">
      <t>ヨソウ</t>
    </rPh>
    <phoneticPr fontId="4"/>
  </si>
  <si>
    <t>Color</t>
    <phoneticPr fontId="4"/>
  </si>
  <si>
    <t>Qty</t>
    <phoneticPr fontId="4"/>
  </si>
  <si>
    <r>
      <rPr>
        <b/>
        <sz val="10"/>
        <rFont val="ＭＳ Ｐゴシック"/>
        <family val="3"/>
        <charset val="128"/>
      </rPr>
      <t>仕入単価</t>
    </r>
    <r>
      <rPr>
        <b/>
        <sz val="10"/>
        <rFont val="Arial  "/>
        <family val="2"/>
      </rPr>
      <t xml:space="preserve">/m </t>
    </r>
    <rPh sb="0" eb="2">
      <t>シイレ</t>
    </rPh>
    <rPh sb="2" eb="4">
      <t>タンカ</t>
    </rPh>
    <phoneticPr fontId="4"/>
  </si>
  <si>
    <r>
      <rPr>
        <b/>
        <sz val="10"/>
        <rFont val="ＭＳ Ｐゴシック"/>
        <family val="3"/>
        <charset val="128"/>
      </rPr>
      <t>売上日本円換算</t>
    </r>
    <r>
      <rPr>
        <b/>
        <sz val="10"/>
        <rFont val="Arial  "/>
        <family val="2"/>
      </rPr>
      <t xml:space="preserve"> (</t>
    </r>
    <r>
      <rPr>
        <b/>
        <sz val="10"/>
        <rFont val="ＭＳ Ｐゴシック"/>
        <family val="3"/>
        <charset val="128"/>
      </rPr>
      <t>€</t>
    </r>
    <r>
      <rPr>
        <b/>
        <sz val="10"/>
        <rFont val="Arial  "/>
        <family val="2"/>
      </rPr>
      <t xml:space="preserve"> = 140</t>
    </r>
    <r>
      <rPr>
        <b/>
        <sz val="10"/>
        <rFont val="ＭＳ Ｐゴシック"/>
        <family val="3"/>
        <charset val="128"/>
      </rPr>
      <t>円</t>
    </r>
    <r>
      <rPr>
        <b/>
        <sz val="10"/>
        <rFont val="Arial  "/>
        <family val="2"/>
      </rPr>
      <t>)</t>
    </r>
    <rPh sb="0" eb="2">
      <t>ウリアゲ</t>
    </rPh>
    <rPh sb="2" eb="4">
      <t>ニホン</t>
    </rPh>
    <rPh sb="4" eb="5">
      <t>エン</t>
    </rPh>
    <rPh sb="5" eb="7">
      <t>カンサン</t>
    </rPh>
    <rPh sb="16" eb="17">
      <t>エン</t>
    </rPh>
    <phoneticPr fontId="4"/>
  </si>
  <si>
    <r>
      <rPr>
        <b/>
        <sz val="10"/>
        <rFont val="Arial  "/>
        <family val="2"/>
      </rPr>
      <t xml:space="preserve">test fee abt </t>
    </r>
    <r>
      <rPr>
        <b/>
        <sz val="10"/>
        <rFont val="ＭＳ Ｐゴシック"/>
        <family val="3"/>
        <charset val="128"/>
      </rPr>
      <t>€</t>
    </r>
    <r>
      <rPr>
        <b/>
        <sz val="10"/>
        <rFont val="Arial  "/>
        <family val="2"/>
      </rPr>
      <t>210 (</t>
    </r>
    <r>
      <rPr>
        <b/>
        <sz val="10"/>
        <rFont val="ＭＳ Ｐゴシック"/>
        <family val="3"/>
        <charset val="128"/>
      </rPr>
      <t>€</t>
    </r>
    <r>
      <rPr>
        <b/>
        <sz val="10"/>
        <rFont val="Arial  "/>
        <family val="2"/>
      </rPr>
      <t xml:space="preserve"> = 140</t>
    </r>
    <r>
      <rPr>
        <b/>
        <sz val="10"/>
        <rFont val="ＭＳ Ｐゴシック"/>
        <family val="3"/>
        <charset val="128"/>
      </rPr>
      <t>円</t>
    </r>
    <r>
      <rPr>
        <b/>
        <sz val="10"/>
        <rFont val="Arial  "/>
        <family val="2"/>
      </rPr>
      <t>)</t>
    </r>
    <rPh sb="26" eb="27">
      <t>エン</t>
    </rPh>
    <phoneticPr fontId="4"/>
  </si>
  <si>
    <t>仕入単価　sub total</t>
    <rPh sb="0" eb="2">
      <t>シイレ</t>
    </rPh>
    <rPh sb="2" eb="4">
      <t>タンカ</t>
    </rPh>
    <phoneticPr fontId="4"/>
  </si>
  <si>
    <r>
      <t>JM commission 5% (</t>
    </r>
    <r>
      <rPr>
        <b/>
        <sz val="10"/>
        <rFont val="ＭＳ Ｐゴシック"/>
        <family val="3"/>
        <charset val="128"/>
      </rPr>
      <t>€</t>
    </r>
    <r>
      <rPr>
        <b/>
        <sz val="10"/>
        <rFont val="ＭＳ Ｐゴシック"/>
        <family val="3"/>
        <charset val="128"/>
      </rPr>
      <t xml:space="preserve"> = 140円)</t>
    </r>
    <phoneticPr fontId="4"/>
  </si>
  <si>
    <t>大阪粗利</t>
    <rPh sb="0" eb="2">
      <t>オオサカ</t>
    </rPh>
    <rPh sb="2" eb="4">
      <t>アラリ</t>
    </rPh>
    <phoneticPr fontId="4"/>
  </si>
  <si>
    <t>JM commission 5% (€ = 140円)</t>
    <phoneticPr fontId="4"/>
  </si>
  <si>
    <r>
      <t>Sub total(test sample 1m SF</t>
    </r>
    <r>
      <rPr>
        <b/>
        <sz val="10"/>
        <rFont val="ＭＳ Ｐゴシック"/>
        <family val="3"/>
        <charset val="128"/>
      </rPr>
      <t>負担）</t>
    </r>
    <rPh sb="27" eb="29">
      <t>フタン</t>
    </rPh>
    <phoneticPr fontId="4"/>
  </si>
  <si>
    <t>利益率</t>
    <rPh sb="0" eb="3">
      <t>リエキリツ</t>
    </rPh>
    <phoneticPr fontId="4"/>
  </si>
  <si>
    <t>Celine test sample cost 予想</t>
    <rPh sb="24" eb="26">
      <t>ヨソウ</t>
    </rPh>
    <phoneticPr fontId="4"/>
  </si>
  <si>
    <t>SF Osaka 全体利益</t>
    <rPh sb="9" eb="11">
      <t>ゼンタイ</t>
    </rPh>
    <rPh sb="11" eb="13">
      <t>リエキ</t>
    </rPh>
    <phoneticPr fontId="4"/>
  </si>
  <si>
    <r>
      <t>Sub total (x108.6m</t>
    </r>
    <r>
      <rPr>
        <b/>
        <sz val="10"/>
        <rFont val="ＭＳ Ｐゴシック"/>
        <family val="3"/>
        <charset val="128"/>
      </rPr>
      <t>のみ請求</t>
    </r>
    <r>
      <rPr>
        <b/>
        <sz val="10"/>
        <rFont val="Arial  "/>
        <family val="2"/>
      </rPr>
      <t>)</t>
    </r>
    <rPh sb="20" eb="22">
      <t>セイキュウ</t>
    </rPh>
    <phoneticPr fontId="4"/>
  </si>
  <si>
    <t>仕入単価　sub total　(109.6m分)</t>
    <rPh sb="0" eb="2">
      <t>シイレ</t>
    </rPh>
    <rPh sb="2" eb="4">
      <t>タンカ</t>
    </rPh>
    <rPh sb="22" eb="23">
      <t>ブン</t>
    </rPh>
    <phoneticPr fontId="4"/>
  </si>
  <si>
    <r>
      <t>Sub total (x81.2m</t>
    </r>
    <r>
      <rPr>
        <b/>
        <sz val="10"/>
        <rFont val="ＭＳ Ｐゴシック"/>
        <family val="3"/>
        <charset val="128"/>
      </rPr>
      <t>のみ請求</t>
    </r>
    <r>
      <rPr>
        <b/>
        <sz val="10"/>
        <rFont val="Arial  "/>
        <family val="2"/>
      </rPr>
      <t>)</t>
    </r>
    <rPh sb="19" eb="21">
      <t>セイキュウ</t>
    </rPh>
    <phoneticPr fontId="4"/>
  </si>
  <si>
    <t>仕入単価　sub total　(82.2m分)</t>
    <rPh sb="0" eb="2">
      <t>シイレ</t>
    </rPh>
    <rPh sb="2" eb="4">
      <t>タンカ</t>
    </rPh>
    <rPh sb="21" eb="22">
      <t>ブン</t>
    </rPh>
    <phoneticPr fontId="4"/>
  </si>
  <si>
    <r>
      <rPr>
        <b/>
        <sz val="11"/>
        <color rgb="FFFF0000"/>
        <rFont val="ＭＳ Ｐゴシック"/>
        <family val="3"/>
        <charset val="128"/>
      </rPr>
      <t>REV bulk</t>
    </r>
    <r>
      <rPr>
        <b/>
        <sz val="11"/>
        <rFont val="ＭＳ Ｐゴシック"/>
        <family val="3"/>
        <charset val="128"/>
      </rPr>
      <t xml:space="preserve"> </t>
    </r>
    <r>
      <rPr>
        <sz val="11"/>
        <rFont val="ＭＳ Ｐゴシック"/>
        <family val="3"/>
        <charset val="128"/>
      </rPr>
      <t>Celine test fee cost 予想 based on</t>
    </r>
    <r>
      <rPr>
        <sz val="11"/>
        <color rgb="FFFF0000"/>
        <rFont val="ＭＳ Ｐゴシック"/>
        <family val="3"/>
        <charset val="128"/>
      </rPr>
      <t xml:space="preserve"> 82.2m 全柄セレクトの場合</t>
    </r>
    <rPh sb="30" eb="32">
      <t>ヨソウ</t>
    </rPh>
    <rPh sb="48" eb="50">
      <t>ゼンガラ</t>
    </rPh>
    <rPh sb="55" eb="57">
      <t>バアイ</t>
    </rPh>
    <phoneticPr fontId="4"/>
  </si>
  <si>
    <r>
      <rPr>
        <b/>
        <sz val="11"/>
        <color rgb="FFFF0000"/>
        <rFont val="ＭＳ Ｐゴシック"/>
        <family val="3"/>
        <charset val="128"/>
      </rPr>
      <t>REV sample</t>
    </r>
    <r>
      <rPr>
        <b/>
        <sz val="11"/>
        <rFont val="ＭＳ Ｐゴシック"/>
        <family val="3"/>
        <charset val="128"/>
      </rPr>
      <t xml:space="preserve"> </t>
    </r>
    <r>
      <rPr>
        <sz val="11"/>
        <rFont val="ＭＳ Ｐゴシック"/>
        <family val="3"/>
        <charset val="128"/>
      </rPr>
      <t>Celine test sample cost 予想　</t>
    </r>
    <r>
      <rPr>
        <sz val="11"/>
        <color rgb="FFFF0000"/>
        <rFont val="ＭＳ Ｐゴシック"/>
        <family val="3"/>
        <charset val="128"/>
      </rPr>
      <t>全柄セレクトの場合　サンプルテストあり</t>
    </r>
    <rPh sb="35" eb="37">
      <t>ヨソウ</t>
    </rPh>
    <rPh sb="38" eb="40">
      <t>ゼンガラ</t>
    </rPh>
    <rPh sb="45" eb="47">
      <t>バアイ</t>
    </rPh>
    <phoneticPr fontId="4"/>
  </si>
  <si>
    <r>
      <rPr>
        <b/>
        <sz val="11"/>
        <color rgb="FFFF0000"/>
        <rFont val="ＭＳ Ｐゴシック"/>
        <family val="3"/>
        <charset val="128"/>
      </rPr>
      <t>REV sample</t>
    </r>
    <r>
      <rPr>
        <b/>
        <sz val="11"/>
        <rFont val="ＭＳ Ｐゴシック"/>
        <family val="3"/>
        <charset val="128"/>
      </rPr>
      <t xml:space="preserve"> </t>
    </r>
    <r>
      <rPr>
        <sz val="11"/>
        <rFont val="ＭＳ Ｐゴシック"/>
        <family val="3"/>
        <charset val="128"/>
      </rPr>
      <t>Celine test sample cost 予想</t>
    </r>
    <r>
      <rPr>
        <sz val="11"/>
        <color rgb="FFFF0000"/>
        <rFont val="ＭＳ Ｐゴシック"/>
        <family val="3"/>
        <charset val="128"/>
      </rPr>
      <t>　3柄セレクトの場合　サンプルテストあり</t>
    </r>
    <rPh sb="35" eb="37">
      <t>ヨソウ</t>
    </rPh>
    <rPh sb="39" eb="40">
      <t>ガラ</t>
    </rPh>
    <rPh sb="45" eb="47">
      <t>バアイ</t>
    </rPh>
    <phoneticPr fontId="4"/>
  </si>
  <si>
    <r>
      <rPr>
        <b/>
        <sz val="11"/>
        <color rgb="FFFF0000"/>
        <rFont val="ＭＳ Ｐゴシック"/>
        <family val="3"/>
        <charset val="128"/>
      </rPr>
      <t>REV bulk</t>
    </r>
    <r>
      <rPr>
        <b/>
        <sz val="11"/>
        <rFont val="ＭＳ Ｐゴシック"/>
        <family val="3"/>
        <charset val="128"/>
      </rPr>
      <t xml:space="preserve"> </t>
    </r>
    <r>
      <rPr>
        <sz val="11"/>
        <rFont val="ＭＳ Ｐゴシック"/>
        <family val="3"/>
        <charset val="128"/>
      </rPr>
      <t>Celine test fee cost 予想 based on</t>
    </r>
    <r>
      <rPr>
        <sz val="11"/>
        <color rgb="FFFF0000"/>
        <rFont val="ＭＳ Ｐゴシック"/>
        <family val="3"/>
        <charset val="128"/>
      </rPr>
      <t xml:space="preserve"> 82.2m 3柄セレクトの場合</t>
    </r>
    <rPh sb="30" eb="32">
      <t>ヨソウ</t>
    </rPh>
    <rPh sb="49" eb="50">
      <t>ガラ</t>
    </rPh>
    <rPh sb="55" eb="57">
      <t>バアイ</t>
    </rPh>
    <phoneticPr fontId="4"/>
  </si>
  <si>
    <r>
      <rPr>
        <b/>
        <sz val="11"/>
        <color rgb="FFFF0000"/>
        <rFont val="ＭＳ Ｐゴシック"/>
        <family val="3"/>
        <charset val="128"/>
      </rPr>
      <t>REV bulk</t>
    </r>
    <r>
      <rPr>
        <b/>
        <sz val="11"/>
        <rFont val="ＭＳ Ｐゴシック"/>
        <family val="3"/>
        <charset val="128"/>
      </rPr>
      <t xml:space="preserve"> </t>
    </r>
    <r>
      <rPr>
        <sz val="11"/>
        <rFont val="ＭＳ Ｐゴシック"/>
        <family val="3"/>
        <charset val="128"/>
      </rPr>
      <t>Celine test fee cost 予想 based on 109.6m　</t>
    </r>
    <r>
      <rPr>
        <sz val="11"/>
        <color rgb="FFFF0000"/>
        <rFont val="ＭＳ Ｐゴシック"/>
        <family val="3"/>
        <charset val="128"/>
      </rPr>
      <t>全柄セレクトの場合</t>
    </r>
    <rPh sb="30" eb="32">
      <t>ヨソウ</t>
    </rPh>
    <rPh sb="49" eb="51">
      <t>ゼンガラ</t>
    </rPh>
    <rPh sb="56" eb="58">
      <t>バアイ</t>
    </rPh>
    <phoneticPr fontId="4"/>
  </si>
  <si>
    <t>CR-240329</t>
    <phoneticPr fontId="4"/>
  </si>
  <si>
    <t>FUT 4881-W</t>
    <phoneticPr fontId="4"/>
  </si>
  <si>
    <t>130cm × abt 42m</t>
    <phoneticPr fontId="4"/>
  </si>
  <si>
    <r>
      <t>Saint Laurent 20240329    20% 140</t>
    </r>
    <r>
      <rPr>
        <sz val="10"/>
        <rFont val="ＭＳ Ｐゴシック"/>
        <family val="3"/>
        <charset val="128"/>
      </rPr>
      <t>円</t>
    </r>
    <rPh sb="33" eb="34">
      <t>エン</t>
    </rPh>
    <phoneticPr fontId="4"/>
  </si>
  <si>
    <t>1反のとき</t>
    <rPh sb="1" eb="2">
      <t>タン</t>
    </rPh>
    <phoneticPr fontId="215"/>
  </si>
  <si>
    <t>4反以上</t>
    <rPh sb="1" eb="2">
      <t>タン</t>
    </rPh>
    <rPh sb="2" eb="4">
      <t>イジョウ</t>
    </rPh>
    <phoneticPr fontId="215"/>
  </si>
  <si>
    <t>MOQ for Mill's Off White (Undyed)</t>
    <phoneticPr fontId="4"/>
  </si>
  <si>
    <t>1 roll ( 13.7m /roll)</t>
    <phoneticPr fontId="4"/>
  </si>
  <si>
    <t>KYL-H-104</t>
    <phoneticPr fontId="4"/>
  </si>
  <si>
    <t>KYL-K-747</t>
    <phoneticPr fontId="4"/>
  </si>
  <si>
    <t>KYL-K-773</t>
    <phoneticPr fontId="4"/>
  </si>
  <si>
    <t>KYL-K-776</t>
    <phoneticPr fontId="4"/>
  </si>
  <si>
    <t>KYL-K-778</t>
    <phoneticPr fontId="4"/>
  </si>
  <si>
    <t>KYL-K-812</t>
    <phoneticPr fontId="4"/>
  </si>
  <si>
    <t>KYL-2201-20</t>
    <phoneticPr fontId="4"/>
  </si>
  <si>
    <t>KYL-2287-20</t>
    <phoneticPr fontId="4"/>
  </si>
  <si>
    <t>KYL-K-2395</t>
    <phoneticPr fontId="4"/>
  </si>
  <si>
    <t>KYL-2421-20</t>
    <phoneticPr fontId="4"/>
  </si>
  <si>
    <t>KYL-K-2499</t>
    <phoneticPr fontId="4"/>
  </si>
  <si>
    <t xml:space="preserve">EXW JAPAN /m for 
Mill's Off White (Undyed)
based on 1 roll </t>
    <phoneticPr fontId="4"/>
  </si>
  <si>
    <t>EXW JAPAN /m for 
Mill's Off White (Undyed)
based on over 4 rolls</t>
    <phoneticPr fontId="4"/>
  </si>
  <si>
    <t>利益率 (1 roll )</t>
    <rPh sb="0" eb="2">
      <t>リエキ</t>
    </rPh>
    <rPh sb="2" eb="3">
      <t>リツ</t>
    </rPh>
    <phoneticPr fontId="4"/>
  </si>
  <si>
    <t>利益率 (4 rolls )</t>
    <rPh sb="0" eb="2">
      <t>リエキ</t>
    </rPh>
    <rPh sb="2" eb="3">
      <t>リツ</t>
    </rPh>
    <phoneticPr fontId="4"/>
  </si>
  <si>
    <t>品質不良</t>
    <rPh sb="0" eb="2">
      <t>ヒンシツ</t>
    </rPh>
    <rPh sb="2" eb="4">
      <t>フリョウ</t>
    </rPh>
    <phoneticPr fontId="4"/>
  </si>
  <si>
    <t>Ready</t>
    <phoneticPr fontId="4"/>
  </si>
  <si>
    <t>Ready /9 flaws in an area between 10.8m – 12.3m. The issue can ben improved for production.</t>
    <phoneticPr fontId="4"/>
  </si>
  <si>
    <t>Ready / 3 flaws - within factory’s tolerance</t>
    <phoneticPr fontId="4"/>
  </si>
  <si>
    <t>still in finishing process</t>
    <phoneticPr fontId="4"/>
  </si>
  <si>
    <t>abt 12.4m</t>
    <phoneticPr fontId="4"/>
  </si>
  <si>
    <t>Ready / 2 flaws - within factory’s tolerance</t>
    <phoneticPr fontId="4"/>
  </si>
  <si>
    <t>Issue cannot be improved, please remove this from your collection</t>
    <phoneticPr fontId="4"/>
  </si>
  <si>
    <t>12368</t>
    <phoneticPr fontId="4"/>
  </si>
  <si>
    <r>
      <t xml:space="preserve">2764 </t>
    </r>
    <r>
      <rPr>
        <sz val="12"/>
        <color indexed="30"/>
        <rFont val="Arial"/>
        <family val="2"/>
      </rPr>
      <t>Thailand</t>
    </r>
    <phoneticPr fontId="4"/>
  </si>
  <si>
    <r>
      <t xml:space="preserve">2769 </t>
    </r>
    <r>
      <rPr>
        <sz val="12"/>
        <color indexed="30"/>
        <rFont val="Arial"/>
        <family val="2"/>
      </rPr>
      <t>France</t>
    </r>
    <phoneticPr fontId="4"/>
  </si>
  <si>
    <r>
      <rPr>
        <b/>
        <sz val="10"/>
        <rFont val="ＭＳ Ｐゴシック"/>
        <family val="3"/>
        <charset val="128"/>
      </rPr>
      <t>単価</t>
    </r>
    <r>
      <rPr>
        <b/>
        <sz val="10"/>
        <rFont val="Arial"/>
        <family val="2"/>
      </rPr>
      <t xml:space="preserve">/m </t>
    </r>
    <rPh sb="0" eb="2">
      <t>タンカ</t>
    </rPh>
    <phoneticPr fontId="4"/>
  </si>
  <si>
    <r>
      <t>300</t>
    </r>
    <r>
      <rPr>
        <sz val="10"/>
        <rFont val="ＭＳ Ｐゴシック"/>
        <family val="3"/>
        <charset val="128"/>
      </rPr>
      <t>円</t>
    </r>
    <rPh sb="3" eb="4">
      <t>エン</t>
    </rPh>
    <phoneticPr fontId="4"/>
  </si>
  <si>
    <r>
      <t>565</t>
    </r>
    <r>
      <rPr>
        <sz val="10"/>
        <rFont val="ＭＳ Ｐゴシック"/>
        <family val="3"/>
        <charset val="128"/>
      </rPr>
      <t>円</t>
    </r>
    <rPh sb="3" eb="4">
      <t>エン</t>
    </rPh>
    <phoneticPr fontId="4"/>
  </si>
  <si>
    <r>
      <t>490</t>
    </r>
    <r>
      <rPr>
        <sz val="10"/>
        <rFont val="ＭＳ Ｐゴシック"/>
        <family val="3"/>
        <charset val="128"/>
      </rPr>
      <t>円（次回より</t>
    </r>
    <r>
      <rPr>
        <sz val="10"/>
        <rFont val="Arial"/>
        <family val="2"/>
      </rPr>
      <t>520</t>
    </r>
    <r>
      <rPr>
        <sz val="10"/>
        <rFont val="ＭＳ Ｐゴシック"/>
        <family val="3"/>
        <charset val="128"/>
      </rPr>
      <t>円</t>
    </r>
    <r>
      <rPr>
        <sz val="10"/>
        <rFont val="Arial"/>
        <family val="2"/>
      </rPr>
      <t>)</t>
    </r>
    <rPh sb="3" eb="4">
      <t>エン</t>
    </rPh>
    <rPh sb="5" eb="7">
      <t>ジカイ</t>
    </rPh>
    <rPh sb="12" eb="13">
      <t>エン</t>
    </rPh>
    <phoneticPr fontId="4"/>
  </si>
  <si>
    <t>PO# , Ship to -</t>
    <phoneticPr fontId="4"/>
  </si>
  <si>
    <r>
      <t xml:space="preserve">2764 </t>
    </r>
    <r>
      <rPr>
        <sz val="10"/>
        <color indexed="30"/>
        <rFont val="Arial"/>
        <family val="2"/>
      </rPr>
      <t>ship to Thailand</t>
    </r>
    <phoneticPr fontId="4"/>
  </si>
  <si>
    <r>
      <t xml:space="preserve">2769 </t>
    </r>
    <r>
      <rPr>
        <sz val="10"/>
        <color rgb="FF0070C0"/>
        <rFont val="Arial"/>
        <family val="2"/>
      </rPr>
      <t xml:space="preserve">Ship to </t>
    </r>
    <r>
      <rPr>
        <sz val="10"/>
        <color indexed="30"/>
        <rFont val="Arial"/>
        <family val="2"/>
      </rPr>
      <t>France</t>
    </r>
  </si>
  <si>
    <t>24/0000428</t>
    <phoneticPr fontId="4"/>
  </si>
  <si>
    <t>12380</t>
    <phoneticPr fontId="4"/>
  </si>
  <si>
    <t>Custom Col. HEMP</t>
    <phoneticPr fontId="4"/>
  </si>
  <si>
    <t>Custom Col. CHOCOLATE BLACK</t>
    <phoneticPr fontId="4"/>
  </si>
  <si>
    <t>Custom Col. GRENAT</t>
    <phoneticPr fontId="4"/>
  </si>
  <si>
    <t>Custom Col. RUBY</t>
    <phoneticPr fontId="4"/>
  </si>
  <si>
    <t># 69 NOISETTE</t>
    <phoneticPr fontId="4"/>
  </si>
  <si>
    <t>Dye Fee for Custom Colors</t>
    <phoneticPr fontId="4"/>
  </si>
  <si>
    <t>Lab-dip Fee</t>
    <phoneticPr fontId="4"/>
  </si>
  <si>
    <t>Total amount</t>
    <phoneticPr fontId="4"/>
  </si>
  <si>
    <t>KFUT 5116  D/#F-3431</t>
  </si>
  <si>
    <t>Cut Fee</t>
    <phoneticPr fontId="4"/>
  </si>
  <si>
    <r>
      <rPr>
        <b/>
        <sz val="10"/>
        <rFont val="ＭＳ Ｐゴシック"/>
        <family val="3"/>
        <charset val="128"/>
      </rPr>
      <t>テスト用</t>
    </r>
    <r>
      <rPr>
        <b/>
        <sz val="10"/>
        <rFont val="Arial"/>
        <family val="2"/>
      </rPr>
      <t xml:space="preserve">SF </t>
    </r>
    <r>
      <rPr>
        <b/>
        <sz val="10"/>
        <rFont val="ＭＳ Ｐゴシック"/>
        <family val="3"/>
        <charset val="128"/>
      </rPr>
      <t>負担</t>
    </r>
    <r>
      <rPr>
        <b/>
        <sz val="10"/>
        <rFont val="Arial"/>
        <family val="2"/>
      </rPr>
      <t>(6041)</t>
    </r>
    <rPh sb="3" eb="4">
      <t>ヨウ</t>
    </rPh>
    <rPh sb="7" eb="9">
      <t>フタン</t>
    </rPh>
    <phoneticPr fontId="4"/>
  </si>
  <si>
    <r>
      <rPr>
        <b/>
        <sz val="10"/>
        <rFont val="ＭＳ Ｐゴシック"/>
        <family val="3"/>
        <charset val="128"/>
      </rPr>
      <t>テスト用</t>
    </r>
    <r>
      <rPr>
        <b/>
        <sz val="10"/>
        <rFont val="Arial"/>
        <family val="2"/>
      </rPr>
      <t xml:space="preserve">SF </t>
    </r>
    <r>
      <rPr>
        <b/>
        <sz val="10"/>
        <rFont val="ＭＳ Ｐゴシック"/>
        <family val="3"/>
        <charset val="128"/>
      </rPr>
      <t>負担</t>
    </r>
    <r>
      <rPr>
        <b/>
        <sz val="10"/>
        <rFont val="Arial"/>
        <family val="2"/>
      </rPr>
      <t>(6058)</t>
    </r>
    <rPh sb="3" eb="4">
      <t>ヨウ</t>
    </rPh>
    <rPh sb="7" eb="9">
      <t>フタン</t>
    </rPh>
    <phoneticPr fontId="4"/>
  </si>
  <si>
    <r>
      <rPr>
        <b/>
        <sz val="10"/>
        <rFont val="ＭＳ Ｐゴシック"/>
        <family val="3"/>
        <charset val="128"/>
      </rPr>
      <t>テスト用</t>
    </r>
    <r>
      <rPr>
        <b/>
        <sz val="10"/>
        <rFont val="Arial"/>
        <family val="2"/>
      </rPr>
      <t xml:space="preserve">SF </t>
    </r>
    <r>
      <rPr>
        <b/>
        <sz val="10"/>
        <rFont val="ＭＳ Ｐゴシック"/>
        <family val="3"/>
        <charset val="128"/>
      </rPr>
      <t>負担</t>
    </r>
    <r>
      <rPr>
        <b/>
        <sz val="10"/>
        <rFont val="Arial"/>
        <family val="2"/>
      </rPr>
      <t>(5969)</t>
    </r>
    <rPh sb="3" eb="4">
      <t>ヨウ</t>
    </rPh>
    <rPh sb="7" eb="9">
      <t>フタン</t>
    </rPh>
    <phoneticPr fontId="4"/>
  </si>
  <si>
    <t>染色小口代 22,000円</t>
    <rPh sb="0" eb="2">
      <t>センショク</t>
    </rPh>
    <rPh sb="2" eb="4">
      <t>コグチ</t>
    </rPh>
    <rPh sb="4" eb="5">
      <t>ダイ</t>
    </rPh>
    <rPh sb="12" eb="13">
      <t>エン</t>
    </rPh>
    <phoneticPr fontId="4"/>
  </si>
  <si>
    <t>2 sets (Hemp &amp; Grenat in 9mm)</t>
    <phoneticPr fontId="4"/>
  </si>
  <si>
    <t>染色小口代 27,000円</t>
    <rPh sb="0" eb="2">
      <t>センショク</t>
    </rPh>
    <rPh sb="2" eb="4">
      <t>コグチ</t>
    </rPh>
    <rPh sb="4" eb="5">
      <t>ダイ</t>
    </rPh>
    <rPh sb="12" eb="13">
      <t>エン</t>
    </rPh>
    <phoneticPr fontId="4"/>
  </si>
  <si>
    <r>
      <t>4 sets (</t>
    </r>
    <r>
      <rPr>
        <sz val="10"/>
        <rFont val="ＭＳ Ｐゴシック"/>
        <family val="3"/>
        <charset val="128"/>
      </rPr>
      <t>その他）</t>
    </r>
    <rPh sb="10" eb="11">
      <t>ホカ</t>
    </rPh>
    <phoneticPr fontId="4"/>
  </si>
  <si>
    <t>ビーカー代 6,000円</t>
    <rPh sb="4" eb="5">
      <t>ダイ</t>
    </rPh>
    <rPh sb="11" eb="12">
      <t>エン</t>
    </rPh>
    <phoneticPr fontId="4"/>
  </si>
  <si>
    <t>4 sets</t>
    <phoneticPr fontId="4"/>
  </si>
  <si>
    <t>単価/m</t>
    <rPh sb="0" eb="2">
      <t>タンカ</t>
    </rPh>
    <phoneticPr fontId="4"/>
  </si>
  <si>
    <r>
      <t>87</t>
    </r>
    <r>
      <rPr>
        <sz val="10"/>
        <rFont val="ＭＳ Ｐゴシック"/>
        <family val="3"/>
        <charset val="128"/>
      </rPr>
      <t>円</t>
    </r>
    <rPh sb="2" eb="3">
      <t>エン</t>
    </rPh>
    <phoneticPr fontId="4"/>
  </si>
  <si>
    <r>
      <t>97</t>
    </r>
    <r>
      <rPr>
        <sz val="10"/>
        <rFont val="ＭＳ Ｐゴシック"/>
        <family val="3"/>
        <charset val="128"/>
      </rPr>
      <t>円</t>
    </r>
    <rPh sb="2" eb="3">
      <t>エン</t>
    </rPh>
    <phoneticPr fontId="4"/>
  </si>
  <si>
    <r>
      <rPr>
        <sz val="10"/>
        <rFont val="ＭＳ Ｐゴシック"/>
        <family val="3"/>
        <charset val="128"/>
      </rPr>
      <t>計</t>
    </r>
    <r>
      <rPr>
        <sz val="10"/>
        <rFont val="Arial  "/>
        <family val="2"/>
      </rPr>
      <t>44,000</t>
    </r>
    <r>
      <rPr>
        <sz val="10"/>
        <rFont val="ＭＳ Ｐゴシック"/>
        <family val="3"/>
        <charset val="128"/>
      </rPr>
      <t>円</t>
    </r>
    <rPh sb="0" eb="1">
      <t>ケイ</t>
    </rPh>
    <rPh sb="7" eb="8">
      <t>エン</t>
    </rPh>
    <phoneticPr fontId="4"/>
  </si>
  <si>
    <r>
      <rPr>
        <sz val="10"/>
        <rFont val="ＭＳ Ｐゴシック"/>
        <family val="3"/>
        <charset val="128"/>
      </rPr>
      <t>計</t>
    </r>
    <r>
      <rPr>
        <sz val="10"/>
        <rFont val="Arial  "/>
        <family val="2"/>
      </rPr>
      <t>108,000</t>
    </r>
    <r>
      <rPr>
        <sz val="10"/>
        <rFont val="ＭＳ Ｐゴシック"/>
        <family val="3"/>
        <charset val="128"/>
      </rPr>
      <t>円</t>
    </r>
    <rPh sb="0" eb="1">
      <t>ケイ</t>
    </rPh>
    <rPh sb="8" eb="9">
      <t>エン</t>
    </rPh>
    <phoneticPr fontId="4"/>
  </si>
  <si>
    <r>
      <rPr>
        <sz val="10"/>
        <rFont val="ＭＳ Ｐゴシック"/>
        <family val="3"/>
        <charset val="128"/>
      </rPr>
      <t>計</t>
    </r>
    <r>
      <rPr>
        <sz val="10"/>
        <rFont val="Arial  "/>
        <family val="2"/>
      </rPr>
      <t>24,000</t>
    </r>
    <r>
      <rPr>
        <sz val="10"/>
        <rFont val="ＭＳ Ｐゴシック"/>
        <family val="3"/>
        <charset val="128"/>
      </rPr>
      <t>円</t>
    </r>
    <rPh sb="0" eb="1">
      <t>ケイ</t>
    </rPh>
    <rPh sb="7" eb="8">
      <t>エン</t>
    </rPh>
    <phoneticPr fontId="4"/>
  </si>
  <si>
    <t>Flock Printed Organza  Base fabric : 100% Polyester    Flock:  100% Rayon</t>
    <phoneticPr fontId="4"/>
  </si>
  <si>
    <t>12427</t>
    <phoneticPr fontId="4"/>
  </si>
  <si>
    <t xml:space="preserve">Lead time </t>
    <phoneticPr fontId="4"/>
  </si>
  <si>
    <t>4 - 5 weeks based on working days in Japan</t>
    <phoneticPr fontId="4"/>
  </si>
  <si>
    <t>in stock</t>
    <phoneticPr fontId="4"/>
  </si>
  <si>
    <t>ship to C-Log first</t>
    <phoneticPr fontId="4"/>
  </si>
  <si>
    <t xml:space="preserve">Will keep you udpated </t>
    <phoneticPr fontId="4"/>
  </si>
  <si>
    <t>Custom Col. RUBY</t>
  </si>
  <si>
    <r>
      <t xml:space="preserve">2796 </t>
    </r>
    <r>
      <rPr>
        <sz val="12"/>
        <color indexed="30"/>
        <rFont val="Arial"/>
        <family val="2"/>
      </rPr>
      <t>France</t>
    </r>
    <phoneticPr fontId="4"/>
  </si>
  <si>
    <t xml:space="preserve">2796 </t>
    <phoneticPr fontId="4"/>
  </si>
  <si>
    <r>
      <t xml:space="preserve">2796 </t>
    </r>
    <r>
      <rPr>
        <sz val="12"/>
        <color rgb="FF0070C0"/>
        <rFont val="Arial"/>
        <family val="2"/>
      </rPr>
      <t>Thailand</t>
    </r>
    <phoneticPr fontId="4"/>
  </si>
  <si>
    <t>FWL-71278</t>
    <phoneticPr fontId="4"/>
  </si>
  <si>
    <t>2796 Thailand</t>
    <phoneticPr fontId="4"/>
  </si>
  <si>
    <t>2796 France</t>
    <phoneticPr fontId="4"/>
  </si>
  <si>
    <t>Ship to</t>
    <phoneticPr fontId="4"/>
  </si>
  <si>
    <t xml:space="preserve">Ship to Thailand </t>
    <phoneticPr fontId="4"/>
  </si>
  <si>
    <t>Ship to France</t>
    <phoneticPr fontId="4"/>
  </si>
  <si>
    <t>Claudie Pierlot 20240528</t>
    <phoneticPr fontId="4"/>
  </si>
  <si>
    <t>KYL-24399 / Mill's Off White</t>
    <phoneticPr fontId="4"/>
  </si>
  <si>
    <t>Art.# / Color</t>
    <phoneticPr fontId="4"/>
  </si>
  <si>
    <t>KYL-24399-19 / Mill's Black</t>
    <phoneticPr fontId="4"/>
  </si>
  <si>
    <t>Dye fee if below 
Dye min./col</t>
    <phoneticPr fontId="4"/>
  </si>
  <si>
    <t>KYL-24399 / Custom color</t>
    <phoneticPr fontId="4"/>
  </si>
  <si>
    <t>13.7m (13.7m /roll)</t>
    <phoneticPr fontId="4"/>
  </si>
  <si>
    <t>205.5m /col (13.7m x 15 rolls)</t>
    <phoneticPr fontId="4"/>
  </si>
  <si>
    <t>染色小口代 12,000円</t>
    <rPh sb="0" eb="2">
      <t>センショク</t>
    </rPh>
    <rPh sb="2" eb="4">
      <t>コグチ</t>
    </rPh>
    <rPh sb="4" eb="5">
      <t>ダイ</t>
    </rPh>
    <rPh sb="12" eb="13">
      <t>エン</t>
    </rPh>
    <phoneticPr fontId="4"/>
  </si>
  <si>
    <t>仕入金額</t>
    <rPh sb="0" eb="4">
      <t>シイレキンガク</t>
    </rPh>
    <phoneticPr fontId="4"/>
  </si>
  <si>
    <t>CP-240528</t>
    <phoneticPr fontId="4"/>
  </si>
  <si>
    <t xml:space="preserve">Lace Trim  Base: 100% Nylon / Front yarn : 100% Rayon ,  Back yarn : 100% Cotton </t>
    <phoneticPr fontId="4"/>
  </si>
  <si>
    <t xml:space="preserve">KYL-24399 </t>
    <phoneticPr fontId="4"/>
  </si>
  <si>
    <r>
      <t xml:space="preserve">2808 </t>
    </r>
    <r>
      <rPr>
        <sz val="12"/>
        <color indexed="30"/>
        <rFont val="Arial"/>
        <family val="2"/>
      </rPr>
      <t>Thailand</t>
    </r>
    <phoneticPr fontId="4"/>
  </si>
  <si>
    <t>3000m</t>
    <phoneticPr fontId="4"/>
  </si>
  <si>
    <t>FWL-21820</t>
    <phoneticPr fontId="4"/>
  </si>
  <si>
    <t>YDT-6929</t>
    <phoneticPr fontId="4"/>
  </si>
  <si>
    <t>FWL-22435</t>
    <phoneticPr fontId="4"/>
  </si>
  <si>
    <t>FWL-2709</t>
    <phoneticPr fontId="4"/>
  </si>
  <si>
    <t>FWL-21195</t>
    <phoneticPr fontId="4"/>
  </si>
  <si>
    <t>CP-240604</t>
    <phoneticPr fontId="4"/>
  </si>
  <si>
    <r>
      <t>20240611 Nina Ricci</t>
    </r>
    <r>
      <rPr>
        <b/>
        <sz val="8"/>
        <color rgb="FF0070C0"/>
        <rFont val="ＭＳ Ｐゴシック"/>
        <family val="3"/>
        <charset val="128"/>
      </rPr>
      <t>弱撥水バージョン</t>
    </r>
    <r>
      <rPr>
        <b/>
        <sz val="8"/>
        <color rgb="FF0070C0"/>
        <rFont val="Arial"/>
        <family val="2"/>
      </rPr>
      <t xml:space="preserve"> </t>
    </r>
    <rPh sb="19" eb="22">
      <t>ジャクハッスイ</t>
    </rPh>
    <phoneticPr fontId="4"/>
  </si>
  <si>
    <t>Inland Freight Charge in Japan will be added if order below € 2,000/order</t>
    <phoneticPr fontId="4"/>
  </si>
  <si>
    <t>The term of validity: end of August, 2024</t>
    <phoneticPr fontId="4"/>
  </si>
  <si>
    <t xml:space="preserve"> ( *If there is a significant fluctuation in the exchange rates, we may consider revising the prices)</t>
    <phoneticPr fontId="4"/>
  </si>
  <si>
    <t>Maje 20240613</t>
    <phoneticPr fontId="4"/>
  </si>
  <si>
    <t>FWL-24032 / Mill's Off White (non-dyed)</t>
    <phoneticPr fontId="4"/>
  </si>
  <si>
    <t>FWL-21498 / Mill's Off White (non-dyed)</t>
    <phoneticPr fontId="4"/>
  </si>
  <si>
    <t>FWL-21502 / Mill's Off White (non-dyed)</t>
    <phoneticPr fontId="4"/>
  </si>
  <si>
    <t>FWL-24027 / Mill's Off White (non-dyed)</t>
    <phoneticPr fontId="4"/>
  </si>
  <si>
    <t>FWL-23425 / Mill's Off White (non-dyed)</t>
    <phoneticPr fontId="4"/>
  </si>
  <si>
    <t>FWL-23640 / Mill's Off White (non-dyed)</t>
    <phoneticPr fontId="4"/>
  </si>
  <si>
    <t>Maje 20240614</t>
    <phoneticPr fontId="4"/>
  </si>
  <si>
    <t>DS-8094 / Mill's Off White (non-dyed)</t>
    <phoneticPr fontId="4"/>
  </si>
  <si>
    <t>FWL-22891 / Mill's Off White (non-dyed)</t>
    <phoneticPr fontId="4"/>
  </si>
  <si>
    <t>FWL-2651 / Mill's Off White (non-dyed)</t>
    <phoneticPr fontId="4"/>
  </si>
  <si>
    <t>FWL-2652 / Mill's Off White (non-dyed)</t>
    <phoneticPr fontId="4"/>
  </si>
  <si>
    <t>FWL-22188 / Mill's Off White (non-dyed)</t>
    <phoneticPr fontId="4"/>
  </si>
  <si>
    <t>FWL-21329 / Mill's Off White (non-dyed)</t>
    <phoneticPr fontId="4"/>
  </si>
  <si>
    <t>MJ-240607</t>
    <phoneticPr fontId="4"/>
  </si>
  <si>
    <t>DS-8094</t>
    <phoneticPr fontId="4"/>
  </si>
  <si>
    <t>Mill's Off White (non-dyed)</t>
    <phoneticPr fontId="4"/>
  </si>
  <si>
    <r>
      <rPr>
        <b/>
        <sz val="10"/>
        <rFont val="ＭＳ Ｐゴシック"/>
        <family val="3"/>
        <charset val="128"/>
      </rPr>
      <t>キズ箇所</t>
    </r>
    <r>
      <rPr>
        <b/>
        <sz val="10"/>
        <rFont val="Arial"/>
        <family val="2"/>
      </rPr>
      <t xml:space="preserve">SF </t>
    </r>
    <r>
      <rPr>
        <b/>
        <sz val="10"/>
        <rFont val="ＭＳ Ｐゴシック"/>
        <family val="3"/>
        <charset val="128"/>
      </rPr>
      <t>負担</t>
    </r>
    <r>
      <rPr>
        <b/>
        <sz val="10"/>
        <rFont val="Arial"/>
        <family val="2"/>
      </rPr>
      <t>(6237)</t>
    </r>
    <rPh sb="2" eb="4">
      <t>カショ</t>
    </rPh>
    <rPh sb="7" eb="9">
      <t>フタン</t>
    </rPh>
    <phoneticPr fontId="4"/>
  </si>
  <si>
    <t>Ba-sh 20240619</t>
    <phoneticPr fontId="4"/>
  </si>
  <si>
    <t>FWL-22311 / Mill's Off White (non-dyed)</t>
    <phoneticPr fontId="4"/>
  </si>
  <si>
    <t>FWL-22311 / Custom color including Black</t>
    <phoneticPr fontId="4"/>
  </si>
  <si>
    <t>染色小口代 7,000円</t>
    <rPh sb="0" eb="2">
      <t>センショク</t>
    </rPh>
    <rPh sb="2" eb="4">
      <t>コグチ</t>
    </rPh>
    <rPh sb="4" eb="5">
      <t>ダイ</t>
    </rPh>
    <rPh sb="11" eb="12">
      <t>エン</t>
    </rPh>
    <phoneticPr fontId="4"/>
  </si>
  <si>
    <t>€70/col</t>
    <phoneticPr fontId="4"/>
  </si>
  <si>
    <t>Maje 20240620</t>
    <phoneticPr fontId="4"/>
  </si>
  <si>
    <t>KYL-1399 /  Mill's Off White (non-dyed)</t>
    <phoneticPr fontId="4"/>
  </si>
  <si>
    <t>50m (50m /roll)</t>
    <phoneticPr fontId="4"/>
  </si>
  <si>
    <t>KYL-1399 /  Custom color</t>
    <phoneticPr fontId="4"/>
  </si>
  <si>
    <t>KYL-2003 /  Mill's Off White (non-dyed)</t>
    <phoneticPr fontId="4"/>
  </si>
  <si>
    <t>KYL-2003 /  Custom color</t>
    <phoneticPr fontId="4"/>
  </si>
  <si>
    <t>MJ-240621</t>
    <phoneticPr fontId="4"/>
  </si>
  <si>
    <t>KYL-1399</t>
    <phoneticPr fontId="4"/>
  </si>
  <si>
    <t>KYL-2003</t>
    <phoneticPr fontId="4"/>
  </si>
  <si>
    <t>charge</t>
    <phoneticPr fontId="4"/>
  </si>
  <si>
    <t>301m/col</t>
    <phoneticPr fontId="4"/>
  </si>
  <si>
    <t>無償</t>
    <rPh sb="0" eb="2">
      <t>ムショウ</t>
    </rPh>
    <phoneticPr fontId="4"/>
  </si>
  <si>
    <t>レース試編み代</t>
    <rPh sb="3" eb="5">
      <t>シア</t>
    </rPh>
    <rPh sb="6" eb="7">
      <t>ダイ</t>
    </rPh>
    <phoneticPr fontId="4"/>
  </si>
  <si>
    <r>
      <t xml:space="preserve">21293 </t>
    </r>
    <r>
      <rPr>
        <sz val="10"/>
        <rFont val="ＭＳ Ｐゴシック"/>
        <family val="3"/>
        <charset val="128"/>
      </rPr>
      <t>オフ白（綿）</t>
    </r>
    <r>
      <rPr>
        <sz val="10"/>
        <rFont val="Arial"/>
        <family val="2"/>
      </rPr>
      <t xml:space="preserve"> x 12701 4mm </t>
    </r>
    <r>
      <rPr>
        <sz val="10"/>
        <rFont val="ＭＳ Ｐゴシック"/>
        <family val="3"/>
        <charset val="128"/>
      </rPr>
      <t>黒</t>
    </r>
    <r>
      <rPr>
        <sz val="10"/>
        <rFont val="Arial"/>
        <family val="2"/>
      </rPr>
      <t>(40m)</t>
    </r>
    <phoneticPr fontId="4"/>
  </si>
  <si>
    <r>
      <t>21293</t>
    </r>
    <r>
      <rPr>
        <sz val="10"/>
        <rFont val="ＭＳ Ｐゴシック"/>
        <family val="3"/>
        <charset val="128"/>
      </rPr>
      <t>　黒（綿）</t>
    </r>
    <r>
      <rPr>
        <sz val="10"/>
        <rFont val="Arial"/>
        <family val="2"/>
      </rPr>
      <t xml:space="preserve"> x E3030 4mm </t>
    </r>
    <r>
      <rPr>
        <sz val="10"/>
        <rFont val="ＭＳ Ｐゴシック"/>
        <family val="3"/>
        <charset val="128"/>
      </rPr>
      <t>黒</t>
    </r>
    <r>
      <rPr>
        <sz val="10"/>
        <rFont val="Arial"/>
        <family val="2"/>
      </rPr>
      <t>(30m)</t>
    </r>
    <phoneticPr fontId="4"/>
  </si>
  <si>
    <r>
      <t xml:space="preserve">21106 </t>
    </r>
    <r>
      <rPr>
        <sz val="10"/>
        <rFont val="ＭＳ Ｐゴシック"/>
        <family val="3"/>
        <charset val="128"/>
      </rPr>
      <t>オフ白（綿）</t>
    </r>
    <r>
      <rPr>
        <sz val="10"/>
        <rFont val="Arial"/>
        <family val="2"/>
      </rPr>
      <t xml:space="preserve"> x E3703 4mm </t>
    </r>
    <r>
      <rPr>
        <sz val="10"/>
        <rFont val="ＭＳ Ｐゴシック"/>
        <family val="3"/>
        <charset val="128"/>
      </rPr>
      <t>黒</t>
    </r>
    <r>
      <rPr>
        <sz val="10"/>
        <rFont val="Arial"/>
        <family val="2"/>
      </rPr>
      <t>(30m)</t>
    </r>
    <phoneticPr fontId="4"/>
  </si>
  <si>
    <r>
      <t xml:space="preserve">22891 </t>
    </r>
    <r>
      <rPr>
        <sz val="10"/>
        <rFont val="ＭＳ Ｐゴシック"/>
        <family val="2"/>
        <charset val="128"/>
      </rPr>
      <t>黒</t>
    </r>
    <r>
      <rPr>
        <sz val="10"/>
        <rFont val="ＭＳ Ｐゴシック"/>
        <family val="3"/>
        <charset val="128"/>
      </rPr>
      <t>（綿）</t>
    </r>
    <r>
      <rPr>
        <sz val="10"/>
        <rFont val="Arial"/>
        <family val="2"/>
      </rPr>
      <t xml:space="preserve"> x  12740 4mm Col.4(20m)</t>
    </r>
    <rPh sb="6" eb="7">
      <t>クロ</t>
    </rPh>
    <phoneticPr fontId="4"/>
  </si>
  <si>
    <r>
      <rPr>
        <b/>
        <sz val="10"/>
        <rFont val="ＭＳ Ｐゴシック"/>
        <family val="3"/>
        <charset val="128"/>
      </rPr>
      <t>品番</t>
    </r>
    <rPh sb="0" eb="2">
      <t>ヒンバン</t>
    </rPh>
    <phoneticPr fontId="4"/>
  </si>
  <si>
    <r>
      <t>リボン代 (1反)</t>
    </r>
    <r>
      <rPr>
        <b/>
        <sz val="10"/>
        <color rgb="FFFF0000"/>
        <rFont val="ＭＳ Ｐゴシック"/>
        <family val="3"/>
        <charset val="128"/>
      </rPr>
      <t>-輸出単価</t>
    </r>
    <rPh sb="3" eb="4">
      <t>ダイ</t>
    </rPh>
    <rPh sb="7" eb="8">
      <t>タン</t>
    </rPh>
    <rPh sb="10" eb="12">
      <t>ユシュツ</t>
    </rPh>
    <rPh sb="12" eb="14">
      <t>タンカ</t>
    </rPh>
    <phoneticPr fontId="4"/>
  </si>
  <si>
    <t>概算合計費用</t>
    <rPh sb="0" eb="2">
      <t>ガイサン</t>
    </rPh>
    <rPh sb="2" eb="4">
      <t>ゴウケイ</t>
    </rPh>
    <rPh sb="4" eb="6">
      <t>ヒヨウ</t>
    </rPh>
    <phoneticPr fontId="4"/>
  </si>
  <si>
    <t xml:space="preserve">試編後サンプル代概算予想（仮10m) </t>
    <rPh sb="0" eb="2">
      <t>シア</t>
    </rPh>
    <rPh sb="2" eb="3">
      <t>アト</t>
    </rPh>
    <rPh sb="7" eb="8">
      <t>ダイ</t>
    </rPh>
    <rPh sb="8" eb="10">
      <t>ガイサン</t>
    </rPh>
    <rPh sb="10" eb="12">
      <t>ヨソウ</t>
    </rPh>
    <rPh sb="13" eb="14">
      <t>カリ</t>
    </rPh>
    <phoneticPr fontId="4"/>
  </si>
  <si>
    <t>The kooples 20240705</t>
    <phoneticPr fontId="4"/>
  </si>
  <si>
    <t>KYL-5117 /  Mill's Off White (non-dyed)</t>
    <phoneticPr fontId="4"/>
  </si>
  <si>
    <t>13.7m/roll</t>
    <phoneticPr fontId="4"/>
  </si>
  <si>
    <t>KYL-T24051 /  Mill's Off White (non-dyed)</t>
    <phoneticPr fontId="4"/>
  </si>
  <si>
    <t>KYL-T24371 /  Mill's Off White (non-dyed)</t>
    <phoneticPr fontId="4"/>
  </si>
  <si>
    <t>レース単価 x 1反数量</t>
    <rPh sb="3" eb="5">
      <t>タンカ</t>
    </rPh>
    <rPh sb="9" eb="10">
      <t>タン</t>
    </rPh>
    <rPh sb="10" eb="12">
      <t>スウリョウ</t>
    </rPh>
    <phoneticPr fontId="4"/>
  </si>
  <si>
    <t>20240806 東さん概算報告</t>
    <rPh sb="9" eb="10">
      <t>ヒガシ</t>
    </rPh>
    <rPh sb="12" eb="14">
      <t>ガイサン</t>
    </rPh>
    <rPh sb="14" eb="16">
      <t>ホウコク</t>
    </rPh>
    <phoneticPr fontId="4"/>
  </si>
  <si>
    <r>
      <t xml:space="preserve">22414s </t>
    </r>
    <r>
      <rPr>
        <sz val="10"/>
        <rFont val="ＭＳ Ｐゴシック"/>
        <family val="3"/>
        <charset val="128"/>
      </rPr>
      <t>オフ白（綿）</t>
    </r>
    <r>
      <rPr>
        <sz val="10"/>
        <rFont val="Arial"/>
        <family val="2"/>
      </rPr>
      <t xml:space="preserve"> x MOKUBA-4668 4mm (30m)</t>
    </r>
    <phoneticPr fontId="4"/>
  </si>
  <si>
    <t xml:space="preserve">試編後サンプル代概算予想（リボン1反仕立) </t>
    <rPh sb="0" eb="2">
      <t>シア</t>
    </rPh>
    <rPh sb="2" eb="3">
      <t>アト</t>
    </rPh>
    <rPh sb="7" eb="8">
      <t>ダイ</t>
    </rPh>
    <rPh sb="8" eb="10">
      <t>ガイサン</t>
    </rPh>
    <rPh sb="10" eb="12">
      <t>ヨソウ</t>
    </rPh>
    <rPh sb="17" eb="18">
      <t>タン</t>
    </rPh>
    <rPh sb="18" eb="20">
      <t>シタ</t>
    </rPh>
    <phoneticPr fontId="4"/>
  </si>
  <si>
    <t>リボン代 (1反)-輸出単価</t>
    <rPh sb="3" eb="4">
      <t>ダイ</t>
    </rPh>
    <rPh sb="7" eb="8">
      <t>タン</t>
    </rPh>
    <rPh sb="10" eb="12">
      <t>ユシュツ</t>
    </rPh>
    <rPh sb="12" eb="14">
      <t>タンカ</t>
    </rPh>
    <phoneticPr fontId="4"/>
  </si>
  <si>
    <t>国内運賃</t>
    <rPh sb="0" eb="2">
      <t>コクナイ</t>
    </rPh>
    <rPh sb="2" eb="4">
      <t>ウンチン</t>
    </rPh>
    <phoneticPr fontId="4"/>
  </si>
  <si>
    <t xml:space="preserve">サンプル（リボン1反仕立) </t>
    <rPh sb="9" eb="10">
      <t>タン</t>
    </rPh>
    <rPh sb="10" eb="12">
      <t>シタ</t>
    </rPh>
    <phoneticPr fontId="4"/>
  </si>
  <si>
    <r>
      <t>12740  4mm  (20m</t>
    </r>
    <r>
      <rPr>
        <sz val="10"/>
        <rFont val="ＭＳ Ｐゴシック"/>
        <family val="2"/>
        <charset val="128"/>
      </rPr>
      <t>巻</t>
    </r>
    <r>
      <rPr>
        <sz val="10"/>
        <rFont val="Arial"/>
        <family val="2"/>
      </rPr>
      <t>)</t>
    </r>
    <rPh sb="16" eb="17">
      <t>カン</t>
    </rPh>
    <phoneticPr fontId="4"/>
  </si>
  <si>
    <r>
      <t>E3030 4mm (30m</t>
    </r>
    <r>
      <rPr>
        <sz val="10"/>
        <rFont val="ＭＳ Ｐゴシック"/>
        <family val="2"/>
        <charset val="128"/>
      </rPr>
      <t>巻</t>
    </r>
    <r>
      <rPr>
        <sz val="10"/>
        <rFont val="Arial"/>
        <family val="2"/>
      </rPr>
      <t>)</t>
    </r>
    <rPh sb="14" eb="15">
      <t>マ</t>
    </rPh>
    <phoneticPr fontId="4"/>
  </si>
  <si>
    <r>
      <t>E3703 4mm (30m</t>
    </r>
    <r>
      <rPr>
        <sz val="10"/>
        <rFont val="ＭＳ Ｐゴシック"/>
        <family val="2"/>
        <charset val="128"/>
      </rPr>
      <t>巻</t>
    </r>
    <r>
      <rPr>
        <sz val="10"/>
        <rFont val="Arial"/>
        <family val="2"/>
      </rPr>
      <t>)</t>
    </r>
    <rPh sb="14" eb="15">
      <t>マ</t>
    </rPh>
    <phoneticPr fontId="4"/>
  </si>
  <si>
    <t>RP-20240826</t>
    <phoneticPr fontId="4"/>
  </si>
  <si>
    <t>Róisín Pierce</t>
    <phoneticPr fontId="4"/>
  </si>
  <si>
    <t>FWL-3190</t>
    <phoneticPr fontId="4"/>
  </si>
  <si>
    <t>FWL-23276</t>
    <phoneticPr fontId="4"/>
  </si>
  <si>
    <t>FWL-22662</t>
    <phoneticPr fontId="4"/>
  </si>
  <si>
    <t>FWL-22677</t>
    <phoneticPr fontId="4"/>
  </si>
  <si>
    <t>FWL-21042</t>
    <phoneticPr fontId="4"/>
  </si>
  <si>
    <t>FWL-21969</t>
    <phoneticPr fontId="4"/>
  </si>
  <si>
    <t>Custom color Navy</t>
    <phoneticPr fontId="4"/>
  </si>
  <si>
    <t>FWL-21823</t>
    <phoneticPr fontId="4"/>
  </si>
  <si>
    <t>FWL-22674</t>
    <phoneticPr fontId="4"/>
  </si>
  <si>
    <r>
      <rPr>
        <b/>
        <sz val="10"/>
        <rFont val="ＭＳ Ｐゴシック"/>
        <family val="2"/>
        <charset val="128"/>
      </rPr>
      <t>単価(円)/</t>
    </r>
    <r>
      <rPr>
        <b/>
        <sz val="10"/>
        <rFont val="Arial"/>
        <family val="2"/>
      </rPr>
      <t>m</t>
    </r>
    <rPh sb="0" eb="2">
      <t>タンカ</t>
    </rPh>
    <rPh sb="3" eb="4">
      <t>エン</t>
    </rPh>
    <phoneticPr fontId="4"/>
  </si>
  <si>
    <t>在庫</t>
    <rPh sb="0" eb="2">
      <t>ザイコ</t>
    </rPh>
    <phoneticPr fontId="4"/>
  </si>
  <si>
    <t>International Freight + Inland Freight Charge</t>
    <phoneticPr fontId="4"/>
  </si>
  <si>
    <t xml:space="preserve">FWL-21969 / Mill's Off White </t>
    <phoneticPr fontId="4"/>
  </si>
  <si>
    <t>FWL-21969 / Custom color</t>
    <phoneticPr fontId="4"/>
  </si>
  <si>
    <t>FWL-21823 / Mill's Off White</t>
    <phoneticPr fontId="4"/>
  </si>
  <si>
    <t>FWL-21823  / Custom color</t>
    <phoneticPr fontId="4"/>
  </si>
  <si>
    <t>FWL-22674 / Mill's Off White</t>
    <phoneticPr fontId="4"/>
  </si>
  <si>
    <t>FWL-22674  / Custom color</t>
    <phoneticPr fontId="4"/>
  </si>
  <si>
    <t>No stock, will be replenished Early Sep.</t>
    <phoneticPr fontId="4"/>
  </si>
  <si>
    <t>in stock</t>
    <phoneticPr fontId="4"/>
  </si>
  <si>
    <t>Róisín Pierce 20240828</t>
    <phoneticPr fontId="4"/>
  </si>
  <si>
    <t xml:space="preserve">FWL-41051s / Mill's Off White </t>
    <phoneticPr fontId="4"/>
  </si>
  <si>
    <t>FWL-41051s / Custom color including Black</t>
    <phoneticPr fontId="4"/>
  </si>
  <si>
    <t xml:space="preserve">FWL-41158s / Mill's Off White </t>
    <phoneticPr fontId="4"/>
  </si>
  <si>
    <t>FWL-41158s / Custom color including Black</t>
    <phoneticPr fontId="4"/>
  </si>
  <si>
    <t xml:space="preserve">FWL-41065s / Mill's Off White </t>
    <phoneticPr fontId="4"/>
  </si>
  <si>
    <t>FWL-41065s / Custom color including Black</t>
    <phoneticPr fontId="4"/>
  </si>
  <si>
    <t xml:space="preserve">FWL-41064s / Mill's Off White </t>
    <phoneticPr fontId="4"/>
  </si>
  <si>
    <t>FWL--41064s / Custom color including Black</t>
    <phoneticPr fontId="4"/>
  </si>
  <si>
    <t>RP-20240828</t>
    <phoneticPr fontId="4"/>
  </si>
  <si>
    <t xml:space="preserve">Stretch Lace Trim </t>
    <phoneticPr fontId="4"/>
  </si>
  <si>
    <t>FWL-41051s</t>
    <phoneticPr fontId="4"/>
  </si>
  <si>
    <t>FWL-41158s</t>
    <phoneticPr fontId="4"/>
  </si>
  <si>
    <t>FWL-41065s</t>
    <phoneticPr fontId="4"/>
  </si>
  <si>
    <t>Dye fee</t>
    <phoneticPr fontId="4"/>
  </si>
  <si>
    <t>FWL-41064s</t>
    <phoneticPr fontId="4"/>
  </si>
  <si>
    <t>Art.#</t>
    <phoneticPr fontId="4"/>
  </si>
  <si>
    <t>CERRUTI 1881  20240828</t>
    <phoneticPr fontId="4"/>
  </si>
  <si>
    <t>CO-EE300</t>
    <phoneticPr fontId="4"/>
  </si>
  <si>
    <t>CO-SB30</t>
    <phoneticPr fontId="4"/>
  </si>
  <si>
    <t>Need to dye, and need a color swatch</t>
    <phoneticPr fontId="4"/>
  </si>
  <si>
    <r>
      <t xml:space="preserve">2860 </t>
    </r>
    <r>
      <rPr>
        <sz val="12"/>
        <color indexed="30"/>
        <rFont val="Arial"/>
        <family val="2"/>
      </rPr>
      <t>Thailand</t>
    </r>
    <phoneticPr fontId="4"/>
  </si>
  <si>
    <t>Art. # / Color</t>
    <phoneticPr fontId="4"/>
  </si>
  <si>
    <t>KYL-K8300 / Mill's Off White</t>
    <phoneticPr fontId="4"/>
  </si>
  <si>
    <t>Qty</t>
    <phoneticPr fontId="4"/>
  </si>
  <si>
    <t>20240902 Cymbeline</t>
    <phoneticPr fontId="4"/>
  </si>
  <si>
    <t>*Price &amp; MOQ will be updated from the next order. Please confirm the new prices based on 246.6m and 137m above. The order qty must be at least 137 meters. We cannot accommodate orders below this qty.</t>
    <phoneticPr fontId="4"/>
  </si>
  <si>
    <t xml:space="preserve">Current stock : 95.9m </t>
    <phoneticPr fontId="4"/>
  </si>
  <si>
    <t>New production based on 246.6m (from next order)</t>
    <phoneticPr fontId="4"/>
  </si>
  <si>
    <t>New production based on 137m (from next order)</t>
    <phoneticPr fontId="4"/>
  </si>
  <si>
    <t>単価(円)/m</t>
    <rPh sb="0" eb="2">
      <t>タンカ</t>
    </rPh>
    <rPh sb="3" eb="4">
      <t>エン</t>
    </rPh>
    <phoneticPr fontId="4"/>
  </si>
  <si>
    <r>
      <rPr>
        <sz val="10"/>
        <rFont val="ＭＳ Ｐゴシック"/>
        <family val="2"/>
        <charset val="128"/>
      </rPr>
      <t>現在庫</t>
    </r>
    <r>
      <rPr>
        <sz val="10"/>
        <rFont val="Arial"/>
        <family val="2"/>
      </rPr>
      <t xml:space="preserve"> : 95.9m </t>
    </r>
    <rPh sb="0" eb="3">
      <t>ゲンザイコ</t>
    </rPh>
    <phoneticPr fontId="4"/>
  </si>
  <si>
    <r>
      <rPr>
        <sz val="10"/>
        <rFont val="ＭＳ Ｐゴシック"/>
        <family val="2"/>
        <charset val="128"/>
      </rPr>
      <t xml:space="preserve">新規生産 : </t>
    </r>
    <r>
      <rPr>
        <sz val="10"/>
        <rFont val="Arial"/>
        <family val="2"/>
      </rPr>
      <t xml:space="preserve">246.6m </t>
    </r>
    <r>
      <rPr>
        <sz val="10"/>
        <rFont val="ＭＳ Ｐゴシック"/>
        <family val="2"/>
        <charset val="128"/>
      </rPr>
      <t>の場合</t>
    </r>
    <rPh sb="0" eb="2">
      <t>シンキ</t>
    </rPh>
    <rPh sb="2" eb="4">
      <t>セイサン</t>
    </rPh>
    <rPh sb="15" eb="17">
      <t>バアイ</t>
    </rPh>
    <phoneticPr fontId="4"/>
  </si>
  <si>
    <r>
      <rPr>
        <sz val="10"/>
        <rFont val="ＭＳ Ｐゴシック"/>
        <family val="2"/>
        <charset val="128"/>
      </rPr>
      <t>新規生産</t>
    </r>
    <r>
      <rPr>
        <sz val="10"/>
        <rFont val="Arial"/>
        <family val="2"/>
      </rPr>
      <t xml:space="preserve"> : 137m </t>
    </r>
    <r>
      <rPr>
        <sz val="10"/>
        <rFont val="ＭＳ Ｐゴシック"/>
        <family val="2"/>
        <charset val="128"/>
      </rPr>
      <t>の場合</t>
    </r>
    <rPh sb="13" eb="15">
      <t>バアイ</t>
    </rPh>
    <phoneticPr fontId="4"/>
  </si>
  <si>
    <t>Sample Card</t>
    <phoneticPr fontId="4"/>
  </si>
  <si>
    <t xml:space="preserve">FOB JAPAN </t>
    <phoneticPr fontId="4"/>
  </si>
  <si>
    <t>e</t>
    <phoneticPr fontId="4"/>
  </si>
  <si>
    <t>CER-240925</t>
    <phoneticPr fontId="4"/>
  </si>
  <si>
    <t>CERRUTI 1881 // KENT &amp; CURWEN</t>
    <phoneticPr fontId="4"/>
  </si>
  <si>
    <t>5600 Color Card</t>
    <phoneticPr fontId="4"/>
  </si>
  <si>
    <t>5635 Color Card</t>
    <phoneticPr fontId="4"/>
  </si>
  <si>
    <t>CO-Cotton cord sample card</t>
    <phoneticPr fontId="4"/>
  </si>
  <si>
    <t>SS</t>
  </si>
  <si>
    <t>S</t>
  </si>
  <si>
    <t>MU</t>
  </si>
  <si>
    <t>M</t>
  </si>
  <si>
    <t>L</t>
  </si>
  <si>
    <t>EXW JAPAN 
EURO/m</t>
    <phoneticPr fontId="194"/>
  </si>
  <si>
    <t>20241002　CERRUTI 1881</t>
    <phoneticPr fontId="4"/>
  </si>
  <si>
    <t>LL-241002</t>
    <phoneticPr fontId="4"/>
  </si>
  <si>
    <t>LALEE LONDON</t>
    <phoneticPr fontId="4"/>
  </si>
  <si>
    <t># 68</t>
    <phoneticPr fontId="4"/>
  </si>
  <si>
    <t># 12</t>
    <phoneticPr fontId="4"/>
  </si>
  <si>
    <t># 55</t>
    <phoneticPr fontId="4"/>
  </si>
  <si>
    <t>LL-241002 add</t>
    <phoneticPr fontId="4"/>
  </si>
  <si>
    <t># 59</t>
    <phoneticPr fontId="4"/>
  </si>
  <si>
    <r>
      <t xml:space="preserve">2879 </t>
    </r>
    <r>
      <rPr>
        <sz val="12"/>
        <color rgb="FF0070C0"/>
        <rFont val="Arial"/>
        <family val="2"/>
      </rPr>
      <t>Thailand</t>
    </r>
    <phoneticPr fontId="4"/>
  </si>
  <si>
    <t>Polyester Cords</t>
    <phoneticPr fontId="4"/>
  </si>
  <si>
    <t>Polyester Cords Polyester-100%</t>
    <phoneticPr fontId="4"/>
  </si>
  <si>
    <t>0910242</t>
    <phoneticPr fontId="4"/>
  </si>
  <si>
    <t>MTM(CERRUTI 1881 // KENT &amp; CURWEN)</t>
    <phoneticPr fontId="4"/>
  </si>
  <si>
    <t># 47NT Navy</t>
    <phoneticPr fontId="4"/>
  </si>
  <si>
    <t># 17NT Crimson</t>
    <phoneticPr fontId="4"/>
  </si>
  <si>
    <t xml:space="preserve"># 73NT Brown </t>
    <phoneticPr fontId="4"/>
  </si>
  <si>
    <t>Size</t>
    <phoneticPr fontId="4"/>
  </si>
  <si>
    <t>International shipping fee</t>
    <phoneticPr fontId="4"/>
  </si>
  <si>
    <t>confirming</t>
    <phoneticPr fontId="4"/>
  </si>
  <si>
    <r>
      <t xml:space="preserve">JETRO </t>
    </r>
    <r>
      <rPr>
        <b/>
        <sz val="8"/>
        <color rgb="FF0070C0"/>
        <rFont val="ＭＳ Ｐゴシック"/>
        <family val="2"/>
        <charset val="128"/>
      </rPr>
      <t>スワッチシート　提出</t>
    </r>
    <rPh sb="14" eb="16">
      <t>テイシュツ</t>
    </rPh>
    <phoneticPr fontId="4"/>
  </si>
  <si>
    <t>Art. #</t>
    <phoneticPr fontId="4"/>
  </si>
  <si>
    <t xml:space="preserve">SAG-7500 Mill's standard colors </t>
    <phoneticPr fontId="4"/>
  </si>
  <si>
    <t>SAG-7120-027</t>
    <phoneticPr fontId="4"/>
  </si>
  <si>
    <t>4 roll/col (abt 84m/col)</t>
    <phoneticPr fontId="4"/>
  </si>
  <si>
    <t xml:space="preserve">SAG-1380 Mill's standard colors </t>
    <phoneticPr fontId="4"/>
  </si>
  <si>
    <t>1 - 3 rolls/col (abt 21m/roll)</t>
    <phoneticPr fontId="4"/>
  </si>
  <si>
    <t>sample cut</t>
    <phoneticPr fontId="4"/>
  </si>
  <si>
    <t>1 roll /col -</t>
    <phoneticPr fontId="4"/>
  </si>
  <si>
    <t>Industex (Bonpoint)</t>
    <phoneticPr fontId="4"/>
  </si>
  <si>
    <t xml:space="preserve"># 17 </t>
    <phoneticPr fontId="4"/>
  </si>
  <si>
    <t>111-0052</t>
    <phoneticPr fontId="4"/>
  </si>
  <si>
    <r>
      <rPr>
        <sz val="11"/>
        <rFont val="MS UI Gothic"/>
        <family val="3"/>
        <charset val="128"/>
      </rPr>
      <t>東京都台東区柳橋</t>
    </r>
    <r>
      <rPr>
        <sz val="11"/>
        <rFont val="Times New Roman"/>
        <family val="3"/>
      </rPr>
      <t>2-16-14</t>
    </r>
    <r>
      <rPr>
        <sz val="11"/>
        <rFont val="游ゴシック"/>
        <family val="3"/>
        <charset val="128"/>
      </rPr>
      <t>バッグ会館</t>
    </r>
    <r>
      <rPr>
        <sz val="11"/>
        <rFont val="Times New Roman"/>
        <family val="3"/>
      </rPr>
      <t>5</t>
    </r>
    <r>
      <rPr>
        <sz val="11"/>
        <rFont val="游ゴシック"/>
        <family val="3"/>
        <charset val="128"/>
      </rPr>
      <t>階</t>
    </r>
    <phoneticPr fontId="4"/>
  </si>
  <si>
    <t>IDTX-241031</t>
    <phoneticPr fontId="4"/>
  </si>
  <si>
    <r>
      <t xml:space="preserve">2897 </t>
    </r>
    <r>
      <rPr>
        <sz val="12"/>
        <color indexed="30"/>
        <rFont val="Arial"/>
        <family val="2"/>
      </rPr>
      <t>Thailand</t>
    </r>
    <phoneticPr fontId="4"/>
  </si>
  <si>
    <r>
      <t xml:space="preserve">2907 </t>
    </r>
    <r>
      <rPr>
        <sz val="12"/>
        <color rgb="FF0070C0"/>
        <rFont val="Arial"/>
        <family val="2"/>
      </rPr>
      <t>Thailand</t>
    </r>
    <phoneticPr fontId="4"/>
  </si>
  <si>
    <t xml:space="preserve">Róisín Pierce </t>
    <phoneticPr fontId="4"/>
  </si>
  <si>
    <t>RP02FW25 COLL</t>
    <phoneticPr fontId="4"/>
  </si>
  <si>
    <t>DOVER STREET MARKET PARIS</t>
    <phoneticPr fontId="4"/>
  </si>
  <si>
    <t>FWL-22880</t>
    <phoneticPr fontId="4"/>
  </si>
  <si>
    <t>FWL-21166</t>
    <phoneticPr fontId="4"/>
  </si>
  <si>
    <t>Mill's Off White (undyed)</t>
    <phoneticPr fontId="4"/>
  </si>
  <si>
    <t>20241126 Chanel</t>
    <phoneticPr fontId="4"/>
  </si>
  <si>
    <t>MO-Double Faced Reflective Stretch Tape (5mm)</t>
    <phoneticPr fontId="4"/>
  </si>
  <si>
    <t>4,000m - 4,500m ( made to order, Lead time: abt 2 months)</t>
    <phoneticPr fontId="4"/>
  </si>
  <si>
    <t xml:space="preserve">1 roll (=25m, confirming the availability now) </t>
    <phoneticPr fontId="4"/>
  </si>
  <si>
    <t xml:space="preserve">ES-8714 Double Faced Reflective Stretch Tape (10mm / Col. 1) </t>
    <phoneticPr fontId="4"/>
  </si>
  <si>
    <r>
      <t xml:space="preserve">2908 </t>
    </r>
    <r>
      <rPr>
        <sz val="12"/>
        <color rgb="FF0070C0"/>
        <rFont val="Arial"/>
        <family val="2"/>
      </rPr>
      <t>Thailand</t>
    </r>
    <phoneticPr fontId="4"/>
  </si>
  <si>
    <t>1 roll /col (10m/col)</t>
    <phoneticPr fontId="4"/>
  </si>
  <si>
    <t>EXW JAPAN 
EURO/m for 10-990m (regular price)</t>
    <phoneticPr fontId="4"/>
  </si>
  <si>
    <t>EXW JAPAN 
EURO/m for 1,000m - (blulk offer)</t>
    <phoneticPr fontId="4"/>
  </si>
  <si>
    <t>20241202   Claudie Pierlot  47%  125円 for 990m,  40% 125円 for 1000m</t>
    <rPh sb="36" eb="37">
      <t>エン</t>
    </rPh>
    <rPh sb="56" eb="57">
      <t>エン</t>
    </rPh>
    <phoneticPr fontId="4"/>
  </si>
  <si>
    <t>FWL-21968</t>
    <phoneticPr fontId="4"/>
  </si>
  <si>
    <t>FWL-22066</t>
    <phoneticPr fontId="4"/>
  </si>
  <si>
    <t>13840</t>
    <phoneticPr fontId="4"/>
  </si>
  <si>
    <t># 163 SAND</t>
    <phoneticPr fontId="4"/>
  </si>
  <si>
    <r>
      <t xml:space="preserve">2918 </t>
    </r>
    <r>
      <rPr>
        <sz val="12"/>
        <color rgb="FF0070C0"/>
        <rFont val="Arial"/>
        <family val="2"/>
      </rPr>
      <t>Thailand</t>
    </r>
    <phoneticPr fontId="4"/>
  </si>
  <si>
    <t>Acne Studios 20241220</t>
    <phoneticPr fontId="4"/>
  </si>
  <si>
    <t>FWL-71231 / Mill's Off White (undyed)</t>
    <phoneticPr fontId="4"/>
  </si>
  <si>
    <t xml:space="preserve">FWL-71231 / Custom dye </t>
    <phoneticPr fontId="4"/>
  </si>
  <si>
    <t>€ 65/col &amp;order</t>
    <phoneticPr fontId="4"/>
  </si>
  <si>
    <t>*For custom dyeing under 100m/col, if a dye fee is incurred, the Mill's Off White unit price will be applied.</t>
    <phoneticPr fontId="4"/>
  </si>
  <si>
    <t>FWL-71231</t>
    <phoneticPr fontId="4"/>
  </si>
  <si>
    <t>Custom color Black</t>
    <phoneticPr fontId="4"/>
  </si>
  <si>
    <t>Custom color Neon Red</t>
    <phoneticPr fontId="4"/>
  </si>
  <si>
    <t>AS-241220</t>
    <phoneticPr fontId="4"/>
  </si>
  <si>
    <t>Mill's Standard colors</t>
    <phoneticPr fontId="4"/>
  </si>
  <si>
    <t>20250107 Acne Studios</t>
    <phoneticPr fontId="4"/>
  </si>
  <si>
    <t xml:space="preserve">PP-10 ( Piping normal cord with # 9000 ) </t>
    <phoneticPr fontId="4"/>
  </si>
  <si>
    <t>10mm</t>
    <phoneticPr fontId="4"/>
  </si>
  <si>
    <t>仕入れ単価</t>
    <rPh sb="0" eb="2">
      <t>シイ</t>
    </rPh>
    <rPh sb="3" eb="5">
      <t>タンカ</t>
    </rPh>
    <phoneticPr fontId="4"/>
  </si>
  <si>
    <t>Washable Synthetic Leather Trimmings  SURFACE: Polyurethane-100%, REVERSE: Polyester-65%, Cotton 35%</t>
    <phoneticPr fontId="4"/>
  </si>
  <si>
    <t>a</t>
    <phoneticPr fontId="4"/>
  </si>
  <si>
    <t># 9000</t>
    <phoneticPr fontId="4"/>
  </si>
  <si>
    <t>PP-10</t>
    <phoneticPr fontId="4"/>
  </si>
  <si>
    <t>Email Order AS-250107</t>
    <phoneticPr fontId="4"/>
  </si>
  <si>
    <t>Acne Studios  (WW)</t>
    <phoneticPr fontId="4"/>
  </si>
  <si>
    <t># 917 Black</t>
    <phoneticPr fontId="4"/>
  </si>
  <si>
    <t>We will waive it this time</t>
    <phoneticPr fontId="4"/>
  </si>
  <si>
    <r>
      <t xml:space="preserve">2924 </t>
    </r>
    <r>
      <rPr>
        <sz val="12"/>
        <color indexed="30"/>
        <rFont val="Arial"/>
        <family val="2"/>
      </rPr>
      <t>Thailand</t>
    </r>
    <phoneticPr fontId="4"/>
  </si>
  <si>
    <t>Email Order AS-250117</t>
    <phoneticPr fontId="4"/>
  </si>
  <si>
    <t># 909 camel</t>
    <phoneticPr fontId="4"/>
  </si>
  <si>
    <t>品番</t>
    <rPh sb="0" eb="2">
      <t>ヒンバン</t>
    </rPh>
    <phoneticPr fontId="194"/>
  </si>
  <si>
    <t>色</t>
    <rPh sb="0" eb="1">
      <t>イロ</t>
    </rPh>
    <phoneticPr fontId="194"/>
  </si>
  <si>
    <t>現在庫</t>
    <rPh sb="0" eb="1">
      <t>ゲン</t>
    </rPh>
    <rPh sb="1" eb="3">
      <t>ザイコ</t>
    </rPh>
    <phoneticPr fontId="194"/>
  </si>
  <si>
    <t>巾</t>
    <rPh sb="0" eb="1">
      <t>ハバ</t>
    </rPh>
    <phoneticPr fontId="194"/>
  </si>
  <si>
    <t>重さ（g/m）</t>
    <rPh sb="0" eb="1">
      <t>オモ</t>
    </rPh>
    <phoneticPr fontId="194"/>
  </si>
  <si>
    <t>単価</t>
    <rPh sb="0" eb="2">
      <t>タンカ</t>
    </rPh>
    <phoneticPr fontId="194"/>
  </si>
  <si>
    <t>備考</t>
    <rPh sb="0" eb="2">
      <t>ビコウ</t>
    </rPh>
    <phoneticPr fontId="194"/>
  </si>
  <si>
    <t>1,000m～</t>
    <phoneticPr fontId="194"/>
  </si>
  <si>
    <t>3,000m~</t>
    <phoneticPr fontId="194"/>
  </si>
  <si>
    <t>5,000m~</t>
    <phoneticPr fontId="194"/>
  </si>
  <si>
    <t>オフ白</t>
    <rPh sb="2" eb="3">
      <t>シロ</t>
    </rPh>
    <phoneticPr fontId="194"/>
  </si>
  <si>
    <t>70m</t>
    <phoneticPr fontId="194"/>
  </si>
  <si>
    <t>約21cm</t>
    <rPh sb="0" eb="1">
      <t>ヤク</t>
    </rPh>
    <phoneticPr fontId="194"/>
  </si>
  <si>
    <t>約21g/m</t>
    <rPh sb="0" eb="1">
      <t>ヤク</t>
    </rPh>
    <phoneticPr fontId="194"/>
  </si>
  <si>
    <t>Claudie Pierlot 20250128</t>
    <phoneticPr fontId="4"/>
  </si>
  <si>
    <t>KYL-23674</t>
    <phoneticPr fontId="4"/>
  </si>
  <si>
    <t xml:space="preserve">Color </t>
    <phoneticPr fontId="4"/>
  </si>
  <si>
    <t>Qty</t>
    <phoneticPr fontId="4"/>
  </si>
  <si>
    <t>Mill's Off White (undyed)</t>
    <phoneticPr fontId="4"/>
  </si>
  <si>
    <t>14m ～</t>
    <phoneticPr fontId="4"/>
  </si>
  <si>
    <r>
      <t xml:space="preserve">1,000m </t>
    </r>
    <r>
      <rPr>
        <sz val="10"/>
        <rFont val="ＭＳ ゴシック"/>
        <family val="3"/>
        <charset val="128"/>
      </rPr>
      <t>～</t>
    </r>
    <phoneticPr fontId="4"/>
  </si>
  <si>
    <r>
      <t xml:space="preserve">3,000m </t>
    </r>
    <r>
      <rPr>
        <sz val="10"/>
        <rFont val="ＭＳ ゴシック"/>
        <family val="3"/>
        <charset val="128"/>
      </rPr>
      <t>～</t>
    </r>
    <phoneticPr fontId="4"/>
  </si>
  <si>
    <r>
      <t xml:space="preserve">5,000m </t>
    </r>
    <r>
      <rPr>
        <sz val="10"/>
        <rFont val="ＭＳ ゴシック"/>
        <family val="3"/>
        <charset val="128"/>
      </rPr>
      <t>～</t>
    </r>
    <phoneticPr fontId="4"/>
  </si>
  <si>
    <t>color </t>
  </si>
  <si>
    <t>base fabric availability</t>
  </si>
  <si>
    <t>118OW</t>
  </si>
  <si>
    <t>about 800mts</t>
  </si>
  <si>
    <t>6OW</t>
  </si>
  <si>
    <t>about 400mts</t>
  </si>
  <si>
    <t>about 530mts</t>
  </si>
  <si>
    <t>about 1180mts</t>
  </si>
  <si>
    <t>3BK</t>
  </si>
  <si>
    <t>about 520mts</t>
  </si>
  <si>
    <t>about 450mts</t>
  </si>
  <si>
    <t>9LA</t>
  </si>
  <si>
    <t>about 920mts</t>
  </si>
  <si>
    <t>about 350mts</t>
  </si>
  <si>
    <t>20BK</t>
  </si>
  <si>
    <t>about 270mts</t>
  </si>
  <si>
    <t>20LA</t>
  </si>
  <si>
    <t>about 290mts</t>
  </si>
  <si>
    <t>26BK</t>
  </si>
  <si>
    <t>about 45mts (180mts will be up mid of Feb)</t>
  </si>
  <si>
    <t>about 60mts </t>
  </si>
  <si>
    <t>KFUT5116</t>
    <phoneticPr fontId="4"/>
  </si>
  <si>
    <t>D#F-3431 (stock as of Feb 7th, 2025)</t>
    <phoneticPr fontId="4"/>
  </si>
  <si>
    <t>D#F-3407 (stock as of Feb 7th, 2025)</t>
    <phoneticPr fontId="4"/>
  </si>
  <si>
    <t>about 15mts (60mts will be replenished  Mid of Feb)</t>
    <phoneticPr fontId="4"/>
  </si>
  <si>
    <t>about 220mts (240mts will be replenished  Mid of Feb)</t>
    <phoneticPr fontId="4"/>
  </si>
  <si>
    <t>about 550mts (300mts will be replenished Early of Mar)</t>
    <phoneticPr fontId="4"/>
  </si>
  <si>
    <t>about 2580mts</t>
    <phoneticPr fontId="4"/>
  </si>
  <si>
    <t>Cymbeline 20250214</t>
    <phoneticPr fontId="4"/>
  </si>
  <si>
    <t xml:space="preserve">FWL-3252 / Mill's Off White </t>
    <phoneticPr fontId="4"/>
  </si>
  <si>
    <t>Saint Laurent 20250225</t>
    <phoneticPr fontId="4"/>
  </si>
  <si>
    <t>KYL-24112 /  Mill's Off White (non-dyed)</t>
    <phoneticPr fontId="4"/>
  </si>
  <si>
    <t>KYL-24112-19 /  Mill's Standard Black</t>
    <phoneticPr fontId="4"/>
  </si>
  <si>
    <t>1 roll ( = 13.7m/roll)</t>
    <phoneticPr fontId="4"/>
  </si>
  <si>
    <t>Stock as of Feb. 25, 2025</t>
    <phoneticPr fontId="4"/>
  </si>
  <si>
    <t>300m (additional 400m will be replenished Mid March)</t>
    <phoneticPr fontId="4"/>
  </si>
  <si>
    <t>150m</t>
    <phoneticPr fontId="4"/>
  </si>
  <si>
    <t xml:space="preserve">梱包費用 +30 </t>
    <rPh sb="0" eb="2">
      <t>コンポウ</t>
    </rPh>
    <rPh sb="2" eb="4">
      <t>ヒヨウ</t>
    </rPh>
    <phoneticPr fontId="4"/>
  </si>
  <si>
    <t>Article / Qty</t>
    <phoneticPr fontId="4"/>
  </si>
  <si>
    <r>
      <rPr>
        <b/>
        <sz val="10"/>
        <color theme="1"/>
        <rFont val="Malgun Gothic"/>
        <family val="2"/>
        <charset val="129"/>
      </rPr>
      <t>仕入金額</t>
    </r>
    <r>
      <rPr>
        <b/>
        <sz val="10"/>
        <color theme="1"/>
        <rFont val="Arial  "/>
        <family val="2"/>
      </rPr>
      <t>(</t>
    </r>
    <r>
      <rPr>
        <b/>
        <sz val="10"/>
        <color theme="1"/>
        <rFont val="Malgun Gothic"/>
        <family val="2"/>
        <charset val="129"/>
      </rPr>
      <t>輸出梱包費用</t>
    </r>
    <r>
      <rPr>
        <b/>
        <sz val="10"/>
        <color theme="1"/>
        <rFont val="Arial  "/>
        <family val="2"/>
      </rPr>
      <t>30</t>
    </r>
    <r>
      <rPr>
        <b/>
        <sz val="10"/>
        <color theme="1"/>
        <rFont val="Malgun Gothic"/>
        <family val="2"/>
        <charset val="129"/>
      </rPr>
      <t>円</t>
    </r>
    <r>
      <rPr>
        <b/>
        <sz val="10"/>
        <color theme="1"/>
        <rFont val="Microsoft JhengHei"/>
        <family val="2"/>
        <charset val="136"/>
      </rPr>
      <t xml:space="preserve">込）
</t>
    </r>
    <rPh sb="0" eb="4">
      <t>シイレキンガク</t>
    </rPh>
    <rPh sb="5" eb="7">
      <t>ユシュツ</t>
    </rPh>
    <rPh sb="7" eb="9">
      <t>コンポウ</t>
    </rPh>
    <rPh sb="9" eb="11">
      <t>ヒヨウ</t>
    </rPh>
    <rPh sb="13" eb="14">
      <t>エン</t>
    </rPh>
    <rPh sb="14" eb="15">
      <t>コ</t>
    </rPh>
    <phoneticPr fontId="4"/>
  </si>
  <si>
    <t>20250307 Saint Larent   20% レート</t>
    <phoneticPr fontId="4"/>
  </si>
  <si>
    <t>FUT0336 D/#1 (Mill's color) 
based on Regular price</t>
    <phoneticPr fontId="4"/>
  </si>
  <si>
    <r>
      <t>FUT0336 D/#1 (Mill's color) 
Sample cut price (</t>
    </r>
    <r>
      <rPr>
        <sz val="10"/>
        <rFont val="ＭＳ Ｐゴシック"/>
        <family val="2"/>
        <charset val="128"/>
      </rPr>
      <t>～</t>
    </r>
    <r>
      <rPr>
        <sz val="10"/>
        <rFont val="Arial  "/>
        <family val="2"/>
      </rPr>
      <t>2.9m</t>
    </r>
    <r>
      <rPr>
        <sz val="10"/>
        <rFont val="ＭＳ Ｐゴシック"/>
        <family val="2"/>
        <charset val="128"/>
      </rPr>
      <t xml:space="preserve">→€ </t>
    </r>
    <r>
      <rPr>
        <sz val="10"/>
        <rFont val="Arial  "/>
        <family val="2"/>
      </rPr>
      <t>15/cut)</t>
    </r>
    <phoneticPr fontId="4"/>
  </si>
  <si>
    <t>Saint Laurent</t>
    <phoneticPr fontId="4"/>
  </si>
  <si>
    <t>Col. 81</t>
    <phoneticPr fontId="4"/>
  </si>
  <si>
    <t>FUT0336  D/#1</t>
    <phoneticPr fontId="4"/>
  </si>
  <si>
    <t>カット代+300</t>
    <rPh sb="3" eb="4">
      <t>ダイ</t>
    </rPh>
    <phoneticPr fontId="4"/>
  </si>
  <si>
    <t>濵田</t>
    <rPh sb="0" eb="1">
      <t>ハマ</t>
    </rPh>
    <rPh sb="1" eb="2">
      <t>タ</t>
    </rPh>
    <phoneticPr fontId="4"/>
  </si>
  <si>
    <t xml:space="preserve">20250312 Acne Studios </t>
    <phoneticPr fontId="4"/>
  </si>
  <si>
    <t>20m/roll</t>
    <phoneticPr fontId="4"/>
  </si>
  <si>
    <t>仕入れ2025/5/1～適用</t>
    <rPh sb="0" eb="2">
      <t>シイ</t>
    </rPh>
    <rPh sb="12" eb="14">
      <t>テキヨウ</t>
    </rPh>
    <phoneticPr fontId="4"/>
  </si>
  <si>
    <t>T3000</t>
    <phoneticPr fontId="4"/>
  </si>
  <si>
    <t>152×50</t>
  </si>
  <si>
    <t>T4100</t>
    <phoneticPr fontId="4"/>
  </si>
  <si>
    <t>Fine Tulle</t>
  </si>
  <si>
    <t>T9000</t>
    <phoneticPr fontId="4"/>
  </si>
  <si>
    <t>Flex Tulle</t>
  </si>
  <si>
    <t>T9000RE</t>
    <phoneticPr fontId="4"/>
  </si>
  <si>
    <t>Recycle Flex Tulle</t>
  </si>
  <si>
    <t>T2120</t>
    <phoneticPr fontId="4"/>
  </si>
  <si>
    <t>Wide Micro Tulle</t>
  </si>
  <si>
    <t>T1500</t>
    <phoneticPr fontId="4"/>
  </si>
  <si>
    <t>Misty Tulle</t>
  </si>
  <si>
    <t>SA2022-GS</t>
    <phoneticPr fontId="4"/>
  </si>
  <si>
    <t>140×46</t>
  </si>
  <si>
    <t>Glossy Satin Organza</t>
  </si>
  <si>
    <t>112×23</t>
  </si>
  <si>
    <t>Spark Organza</t>
  </si>
  <si>
    <t>140×58</t>
  </si>
  <si>
    <t>Mirror Organza</t>
  </si>
  <si>
    <t>Pearl Organza</t>
  </si>
  <si>
    <t>Pearl Chambray Organza</t>
  </si>
  <si>
    <t>Bright Tulle</t>
    <phoneticPr fontId="4"/>
  </si>
  <si>
    <t>Despcription</t>
    <phoneticPr fontId="4"/>
  </si>
  <si>
    <t xml:space="preserve">Size ( cm x m) </t>
    <phoneticPr fontId="4"/>
  </si>
  <si>
    <t>Composition</t>
    <phoneticPr fontId="4"/>
  </si>
  <si>
    <r>
      <t>NYLON 100</t>
    </r>
    <r>
      <rPr>
        <sz val="10"/>
        <rFont val="ＭＳ Ｐゴシック"/>
        <family val="3"/>
        <charset val="128"/>
      </rPr>
      <t>％</t>
    </r>
  </si>
  <si>
    <r>
      <t>POLYESTER 100</t>
    </r>
    <r>
      <rPr>
        <sz val="10"/>
        <rFont val="ＭＳ Ｐゴシック"/>
        <family val="3"/>
        <charset val="128"/>
      </rPr>
      <t>％</t>
    </r>
  </si>
  <si>
    <t>up to 25m</t>
    <phoneticPr fontId="4"/>
  </si>
  <si>
    <t>up to 10m</t>
    <phoneticPr fontId="4"/>
  </si>
  <si>
    <t>up to 20m</t>
    <phoneticPr fontId="4"/>
  </si>
  <si>
    <r>
      <rPr>
        <sz val="10"/>
        <rFont val="ＭＳ Ｐゴシック"/>
        <family val="3"/>
        <charset val="128"/>
      </rPr>
      <t xml:space="preserve">価格 </t>
    </r>
    <r>
      <rPr>
        <sz val="10"/>
        <rFont val="Arial  "/>
        <family val="2"/>
      </rPr>
      <t>(</t>
    </r>
    <r>
      <rPr>
        <sz val="10"/>
        <rFont val="ＭＳ Ｐゴシック"/>
        <family val="3"/>
        <charset val="128"/>
      </rPr>
      <t>円</t>
    </r>
    <r>
      <rPr>
        <sz val="10"/>
        <rFont val="Arial  "/>
        <family val="2"/>
      </rPr>
      <t>/m) +</t>
    </r>
    <r>
      <rPr>
        <sz val="10"/>
        <rFont val="ＭＳ ゴシック"/>
        <family val="3"/>
        <charset val="128"/>
      </rPr>
      <t>輸出梱包費用</t>
    </r>
    <r>
      <rPr>
        <sz val="10"/>
        <rFont val="Arial  "/>
        <family val="3"/>
        <charset val="128"/>
      </rPr>
      <t>　30円</t>
    </r>
    <rPh sb="0" eb="2">
      <t>カカク</t>
    </rPh>
    <rPh sb="4" eb="7">
      <t>エン</t>
    </rPh>
    <rPh sb="10" eb="12">
      <t>ユシュツ</t>
    </rPh>
    <rPh sb="12" eb="14">
      <t>コンポウ</t>
    </rPh>
    <rPh sb="14" eb="16">
      <t>ヒヨウ</t>
    </rPh>
    <rPh sb="19" eb="20">
      <t>エン</t>
    </rPh>
    <phoneticPr fontId="4"/>
  </si>
  <si>
    <r>
      <rPr>
        <sz val="10"/>
        <rFont val="ＭＳ Ｐゴシック"/>
        <family val="3"/>
        <charset val="128"/>
      </rPr>
      <t>別注条件</t>
    </r>
    <rPh sb="0" eb="2">
      <t>ベッチュウ</t>
    </rPh>
    <rPh sb="2" eb="4">
      <t>ジョウケン</t>
    </rPh>
    <phoneticPr fontId="4"/>
  </si>
  <si>
    <t>別注色バルク数量</t>
    <rPh sb="0" eb="2">
      <t>ベッチュウ</t>
    </rPh>
    <rPh sb="2" eb="3">
      <t>イロ</t>
    </rPh>
    <rPh sb="6" eb="8">
      <t>スウリョウ</t>
    </rPh>
    <phoneticPr fontId="4"/>
  </si>
  <si>
    <t>通常単価</t>
    <rPh sb="0" eb="4">
      <t>ツウジョウタンカ</t>
    </rPh>
    <phoneticPr fontId="4"/>
  </si>
  <si>
    <r>
      <rPr>
        <b/>
        <sz val="10"/>
        <rFont val="ＭＳ ゴシック"/>
        <family val="3"/>
        <charset val="128"/>
      </rPr>
      <t>別注色</t>
    </r>
    <r>
      <rPr>
        <b/>
        <sz val="10"/>
        <rFont val="Arial"/>
        <family val="2"/>
      </rPr>
      <t xml:space="preserve"> 1</t>
    </r>
    <r>
      <rPr>
        <b/>
        <sz val="10"/>
        <rFont val="ＭＳ ゴシック"/>
        <family val="3"/>
        <charset val="128"/>
      </rPr>
      <t>反染め単価</t>
    </r>
    <rPh sb="0" eb="2">
      <t>ベッチュウ</t>
    </rPh>
    <rPh sb="2" eb="3">
      <t>イロ</t>
    </rPh>
    <rPh sb="5" eb="6">
      <t>タン</t>
    </rPh>
    <rPh sb="6" eb="7">
      <t>ゾ</t>
    </rPh>
    <rPh sb="8" eb="10">
      <t>タンカ</t>
    </rPh>
    <phoneticPr fontId="4"/>
  </si>
  <si>
    <t>別注色バルク数量ベースでの単価
（通常単価と同じになりますかね？）</t>
    <rPh sb="0" eb="2">
      <t>ベッチュウ</t>
    </rPh>
    <rPh sb="2" eb="3">
      <t>イロ</t>
    </rPh>
    <rPh sb="6" eb="8">
      <t>スウリョウ</t>
    </rPh>
    <rPh sb="13" eb="15">
      <t>タンカ</t>
    </rPh>
    <rPh sb="17" eb="19">
      <t>ツウジョウ</t>
    </rPh>
    <rPh sb="19" eb="21">
      <t>タンカ</t>
    </rPh>
    <rPh sb="22" eb="23">
      <t>オナ</t>
    </rPh>
    <phoneticPr fontId="4"/>
  </si>
  <si>
    <t xml:space="preserve">20250311 MAISON RABIH KAYROUZ </t>
    <phoneticPr fontId="4"/>
  </si>
  <si>
    <t>EXW JAPAN /m 
for MOQ (6 rolls/col)</t>
    <phoneticPr fontId="194"/>
  </si>
  <si>
    <r>
      <t xml:space="preserve">EXW JAPAN /m 
for 1 roll (13.7m)
</t>
    </r>
    <r>
      <rPr>
        <b/>
        <sz val="10"/>
        <color rgb="FF000000"/>
        <rFont val="ＭＳ Ｐゴシック"/>
        <family val="3"/>
        <charset val="128"/>
      </rPr>
      <t>⇒</t>
    </r>
    <r>
      <rPr>
        <b/>
        <sz val="10"/>
        <color rgb="FF000000"/>
        <rFont val="Arial  "/>
        <family val="2"/>
      </rPr>
      <t>Regular price x 1.5</t>
    </r>
    <phoneticPr fontId="194"/>
  </si>
  <si>
    <r>
      <t xml:space="preserve">EXW JAPAN /m 
for sample meters (4.5m or 10m)
</t>
    </r>
    <r>
      <rPr>
        <b/>
        <sz val="10"/>
        <color rgb="FF000000"/>
        <rFont val="ＭＳ Ｐゴシック"/>
        <family val="3"/>
        <charset val="128"/>
      </rPr>
      <t>⇒</t>
    </r>
    <r>
      <rPr>
        <b/>
        <sz val="10"/>
        <color rgb="FF000000"/>
        <rFont val="Arial  "/>
        <family val="2"/>
      </rPr>
      <t>Regular price x 2</t>
    </r>
    <phoneticPr fontId="194"/>
  </si>
  <si>
    <t>MOQ:6 rolls / col (made to order)</t>
  </si>
  <si>
    <t xml:space="preserve">92cm x 13.7m </t>
    <phoneticPr fontId="194"/>
  </si>
  <si>
    <t>FLR-72509 / Mill's Off White</t>
    <phoneticPr fontId="4"/>
  </si>
  <si>
    <t>FLR-72511 / Mill's Off White</t>
    <phoneticPr fontId="4"/>
  </si>
  <si>
    <t># 31</t>
    <phoneticPr fontId="4"/>
  </si>
  <si>
    <t># 63</t>
    <phoneticPr fontId="4"/>
  </si>
  <si>
    <r>
      <t xml:space="preserve">Email Order AS-250312 </t>
    </r>
    <r>
      <rPr>
        <sz val="12"/>
        <color rgb="FF0070C0"/>
        <rFont val="Arial"/>
        <family val="2"/>
      </rPr>
      <t>ship to Stockholm</t>
    </r>
    <phoneticPr fontId="4"/>
  </si>
  <si>
    <t>Saint Laurent 2025/3/27</t>
    <phoneticPr fontId="4"/>
  </si>
  <si>
    <t>FWL-21469S / PFD</t>
    <phoneticPr fontId="4"/>
  </si>
  <si>
    <t>FWL-2999S / PFD</t>
    <phoneticPr fontId="4"/>
  </si>
  <si>
    <t>FWL-3001S / PFD</t>
    <phoneticPr fontId="4"/>
  </si>
  <si>
    <t>FWL-63017S / PFD</t>
    <phoneticPr fontId="4"/>
  </si>
  <si>
    <t>FWL-66048S / PFD</t>
    <phoneticPr fontId="4"/>
  </si>
  <si>
    <t>FWL-63013S / PFD</t>
    <phoneticPr fontId="4"/>
  </si>
  <si>
    <t xml:space="preserve">FWL-21469S / Custom color (piece dye) </t>
    <phoneticPr fontId="4"/>
  </si>
  <si>
    <t xml:space="preserve">FWL-21982S / PFD </t>
    <phoneticPr fontId="4"/>
  </si>
  <si>
    <t>FWL-63012S / PFD</t>
    <phoneticPr fontId="4"/>
  </si>
  <si>
    <t xml:space="preserve">FWL-21982S / Custom color (piece dye) </t>
    <phoneticPr fontId="4"/>
  </si>
  <si>
    <t xml:space="preserve">FWL-2999S / Custom color (piece dye) </t>
    <phoneticPr fontId="4"/>
  </si>
  <si>
    <t xml:space="preserve">FWL-3001S / Custom color (piece dye) </t>
    <phoneticPr fontId="4"/>
  </si>
  <si>
    <t xml:space="preserve">FWL-63017S / Custom color (piece dye) </t>
    <phoneticPr fontId="4"/>
  </si>
  <si>
    <t xml:space="preserve">FWL-66048S / Custom color (piece dye) </t>
    <phoneticPr fontId="4"/>
  </si>
  <si>
    <t xml:space="preserve">FWL-63013S / Custom color (piece dye) </t>
    <phoneticPr fontId="4"/>
  </si>
  <si>
    <t xml:space="preserve">FWL-63012S / Custom color (piece dye) </t>
    <phoneticPr fontId="4"/>
  </si>
  <si>
    <t>-</t>
    <phoneticPr fontId="194"/>
  </si>
  <si>
    <t>€ 65/art &amp; col &amp;order</t>
    <phoneticPr fontId="4"/>
  </si>
  <si>
    <t>made to order</t>
    <phoneticPr fontId="194"/>
  </si>
  <si>
    <t>400m in PFD</t>
    <phoneticPr fontId="4"/>
  </si>
  <si>
    <t>*Shrinkage: abt 10 - 13% after dye process</t>
    <phoneticPr fontId="4"/>
  </si>
  <si>
    <t>no stock in PFD</t>
    <phoneticPr fontId="4"/>
  </si>
  <si>
    <t>29,600m in PFD</t>
    <phoneticPr fontId="4"/>
  </si>
  <si>
    <t>1,600m in PFD</t>
    <phoneticPr fontId="4"/>
  </si>
  <si>
    <t>2,600m in PFD</t>
    <phoneticPr fontId="4"/>
  </si>
  <si>
    <t>2,200m in PFD</t>
    <phoneticPr fontId="4"/>
  </si>
  <si>
    <t>Stock as of March 27th,2025</t>
    <phoneticPr fontId="4"/>
  </si>
  <si>
    <t>20250402 Zuhair Murad</t>
    <phoneticPr fontId="4"/>
  </si>
  <si>
    <t>Art. #</t>
    <phoneticPr fontId="4"/>
  </si>
  <si>
    <t>SAG7500 Custom colors</t>
    <phoneticPr fontId="4"/>
  </si>
  <si>
    <t>sample cut when in stock</t>
    <phoneticPr fontId="4"/>
  </si>
  <si>
    <t>MOQ : 1 roll /col -</t>
    <phoneticPr fontId="4"/>
  </si>
  <si>
    <t>110/112cm×abt.44m</t>
    <phoneticPr fontId="194"/>
  </si>
  <si>
    <t xml:space="preserve">SAG-6660 Mill's standard colors </t>
    <phoneticPr fontId="4"/>
  </si>
  <si>
    <t>SAG-6660 Custom colors</t>
    <phoneticPr fontId="4"/>
  </si>
  <si>
    <t>ロット　K-010   （25m）</t>
  </si>
  <si>
    <t>ロット　Jシリーズ　(10m)</t>
  </si>
  <si>
    <t>1 roll (=25m/roll)</t>
    <phoneticPr fontId="4"/>
  </si>
  <si>
    <t>1 roll (=10m/roll)</t>
    <phoneticPr fontId="4"/>
  </si>
  <si>
    <r>
      <t>ART. J-568</t>
    </r>
    <r>
      <rPr>
        <sz val="10"/>
        <color rgb="FF000000"/>
        <rFont val="游ゴシック"/>
        <family val="3"/>
        <charset val="128"/>
      </rPr>
      <t>　　</t>
    </r>
    <phoneticPr fontId="4"/>
  </si>
  <si>
    <r>
      <t>ART. J-569</t>
    </r>
    <r>
      <rPr>
        <sz val="10"/>
        <color rgb="FF000000"/>
        <rFont val="游ゴシック"/>
        <family val="3"/>
        <charset val="128"/>
      </rPr>
      <t>　</t>
    </r>
    <phoneticPr fontId="4"/>
  </si>
  <si>
    <r>
      <t>ART. J-489</t>
    </r>
    <r>
      <rPr>
        <sz val="10"/>
        <color rgb="FF000000"/>
        <rFont val="游ゴシック"/>
        <family val="3"/>
        <charset val="128"/>
      </rPr>
      <t>　　</t>
    </r>
    <phoneticPr fontId="4"/>
  </si>
  <si>
    <r>
      <t>ART. K-010</t>
    </r>
    <r>
      <rPr>
        <sz val="10"/>
        <color rgb="FF000000"/>
        <rFont val="游ゴシック"/>
        <family val="3"/>
        <charset val="128"/>
      </rPr>
      <t>　</t>
    </r>
    <phoneticPr fontId="4"/>
  </si>
  <si>
    <t>ART. J-292 / 2</t>
    <phoneticPr fontId="4"/>
  </si>
  <si>
    <t>ART. J-292 / 4</t>
    <phoneticPr fontId="4"/>
  </si>
  <si>
    <t>ART. J-292 / 6</t>
    <phoneticPr fontId="4"/>
  </si>
  <si>
    <t>仕入れ</t>
    <rPh sb="0" eb="2">
      <t>シイ</t>
    </rPh>
    <phoneticPr fontId="4"/>
  </si>
  <si>
    <t>RP02 FW25 PROD</t>
    <phoneticPr fontId="4"/>
  </si>
  <si>
    <t xml:space="preserve">Qty </t>
    <phoneticPr fontId="4"/>
  </si>
  <si>
    <r>
      <t xml:space="preserve">2952 </t>
    </r>
    <r>
      <rPr>
        <sz val="12"/>
        <color rgb="FF0070C0"/>
        <rFont val="Arial"/>
        <family val="2"/>
      </rPr>
      <t>Thailand</t>
    </r>
    <phoneticPr fontId="4"/>
  </si>
  <si>
    <r>
      <t xml:space="preserve">Email Order AS-250422 </t>
    </r>
    <r>
      <rPr>
        <sz val="12"/>
        <color rgb="FF0070C0"/>
        <rFont val="Arial"/>
        <family val="2"/>
      </rPr>
      <t>ship to Stockholm</t>
    </r>
    <phoneticPr fontId="4"/>
  </si>
  <si>
    <t># 8 (Light orange)</t>
    <phoneticPr fontId="4"/>
  </si>
  <si>
    <t># 12 (Cold beige)</t>
    <phoneticPr fontId="4"/>
  </si>
  <si>
    <t># 105 (Anthracite grey)</t>
    <phoneticPr fontId="4"/>
  </si>
  <si>
    <t>137/2025</t>
    <phoneticPr fontId="4"/>
  </si>
  <si>
    <t>FWL-22542</t>
    <phoneticPr fontId="4"/>
  </si>
  <si>
    <t>FWL-2182</t>
    <phoneticPr fontId="4"/>
  </si>
  <si>
    <t>FWL-21415</t>
    <phoneticPr fontId="4"/>
  </si>
  <si>
    <t>FWL-21192</t>
    <phoneticPr fontId="4"/>
  </si>
  <si>
    <t>FWL-22012</t>
    <phoneticPr fontId="4"/>
  </si>
  <si>
    <t>FWL-23607</t>
    <phoneticPr fontId="4"/>
  </si>
  <si>
    <t>FWL-23590</t>
    <phoneticPr fontId="4"/>
  </si>
  <si>
    <t>FWL-23453</t>
    <phoneticPr fontId="4"/>
  </si>
  <si>
    <t>FWL-22013</t>
    <phoneticPr fontId="4"/>
  </si>
  <si>
    <t>FWL-23476</t>
    <phoneticPr fontId="4"/>
  </si>
  <si>
    <t>FWL-23464</t>
    <phoneticPr fontId="4"/>
  </si>
  <si>
    <t>FWL-22397</t>
    <phoneticPr fontId="4"/>
  </si>
  <si>
    <t>FWL-23417</t>
    <phoneticPr fontId="4"/>
  </si>
  <si>
    <t>FWL-2808 </t>
    <phoneticPr fontId="4"/>
  </si>
  <si>
    <t>FWL-2390</t>
    <phoneticPr fontId="4"/>
  </si>
  <si>
    <t>FWL-2195</t>
    <phoneticPr fontId="4"/>
  </si>
  <si>
    <t>FWL-22286</t>
    <phoneticPr fontId="4"/>
  </si>
  <si>
    <t>FWL-21021</t>
    <phoneticPr fontId="4"/>
  </si>
  <si>
    <t>FWL-23878</t>
    <phoneticPr fontId="4"/>
  </si>
  <si>
    <t>FWL-2366</t>
    <phoneticPr fontId="4"/>
  </si>
  <si>
    <t>FWL-2697</t>
    <phoneticPr fontId="4"/>
  </si>
  <si>
    <t>Lace Trim 88% Cotton, R.P. 12%</t>
    <phoneticPr fontId="4"/>
  </si>
  <si>
    <t>FWL- 22147S</t>
    <phoneticPr fontId="4"/>
  </si>
  <si>
    <t>FWL-22383S</t>
    <phoneticPr fontId="4"/>
  </si>
  <si>
    <t>Collect</t>
    <phoneticPr fontId="4"/>
  </si>
  <si>
    <t>International Freight</t>
    <phoneticPr fontId="4"/>
  </si>
  <si>
    <t>wrong article number</t>
    <phoneticPr fontId="4"/>
  </si>
  <si>
    <t>over 3,000m</t>
    <phoneticPr fontId="4"/>
  </si>
  <si>
    <t xml:space="preserve">MOQ 10m </t>
    <phoneticPr fontId="4"/>
  </si>
  <si>
    <t>over 5,000m</t>
    <phoneticPr fontId="4"/>
  </si>
  <si>
    <t xml:space="preserve">20250430 Isabel Marant price breakdown </t>
    <phoneticPr fontId="4"/>
  </si>
  <si>
    <t>IM-250430</t>
    <phoneticPr fontId="4"/>
  </si>
  <si>
    <t>RP-250501</t>
  </si>
  <si>
    <t>RP-250501</t>
    <phoneticPr fontId="4"/>
  </si>
  <si>
    <t>RP-250516</t>
    <phoneticPr fontId="4"/>
  </si>
  <si>
    <t>MOQ/col</t>
    <phoneticPr fontId="4"/>
  </si>
  <si>
    <r>
      <t>20250516  From Future 40% 140</t>
    </r>
    <r>
      <rPr>
        <b/>
        <sz val="10"/>
        <rFont val="ＭＳ Ｐゴシック"/>
        <family val="3"/>
        <charset val="128"/>
      </rPr>
      <t>円</t>
    </r>
    <rPh sb="29" eb="30">
      <t>エン</t>
    </rPh>
    <phoneticPr fontId="4"/>
  </si>
  <si>
    <t xml:space="preserve">KYL-24091 </t>
    <phoneticPr fontId="4"/>
  </si>
  <si>
    <t>Custom color (piece dye)</t>
    <phoneticPr fontId="4"/>
  </si>
  <si>
    <t>€ 125/art &amp; col &amp;order</t>
    <phoneticPr fontId="4"/>
  </si>
  <si>
    <t>Stock in Mill's Off White as of May 19th, 2025</t>
    <phoneticPr fontId="4"/>
  </si>
  <si>
    <t>950m</t>
    <phoneticPr fontId="4"/>
  </si>
  <si>
    <r>
      <t xml:space="preserve">Email Order AS-250627 </t>
    </r>
    <r>
      <rPr>
        <sz val="12"/>
        <color rgb="FF0070C0"/>
        <rFont val="Arial"/>
        <family val="2"/>
      </rPr>
      <t>ship to Paris</t>
    </r>
    <phoneticPr fontId="4"/>
  </si>
  <si>
    <t>2200 Color Card</t>
    <phoneticPr fontId="4"/>
  </si>
  <si>
    <t>E2250 Color Card</t>
    <phoneticPr fontId="4"/>
  </si>
  <si>
    <t>E3803 Color Card</t>
    <phoneticPr fontId="4"/>
  </si>
  <si>
    <t>3844 Color Card</t>
    <phoneticPr fontId="4"/>
  </si>
  <si>
    <t>TI-10000 Color Card</t>
    <phoneticPr fontId="4"/>
  </si>
  <si>
    <t>TI-8400 Color Card</t>
    <phoneticPr fontId="4"/>
  </si>
  <si>
    <t>UPS</t>
  </si>
  <si>
    <t>20m/roll</t>
    <phoneticPr fontId="4"/>
  </si>
  <si>
    <t>10m/roll</t>
    <phoneticPr fontId="4"/>
  </si>
  <si>
    <t>商品名</t>
    <rPh sb="0" eb="2">
      <t>ショウヒン</t>
    </rPh>
    <rPh sb="2" eb="3">
      <t>メイ</t>
    </rPh>
    <phoneticPr fontId="4"/>
  </si>
  <si>
    <t>サイズ</t>
    <phoneticPr fontId="4"/>
  </si>
  <si>
    <t>ミニマム（定番色）</t>
    <rPh sb="5" eb="7">
      <t>テイバン</t>
    </rPh>
    <rPh sb="7" eb="8">
      <t>イロ</t>
    </rPh>
    <phoneticPr fontId="4"/>
  </si>
  <si>
    <t>単価/反</t>
    <rPh sb="0" eb="2">
      <t>タンカ</t>
    </rPh>
    <rPh sb="3" eb="4">
      <t>タン</t>
    </rPh>
    <phoneticPr fontId="4"/>
  </si>
  <si>
    <t>TI-8200</t>
    <phoneticPr fontId="4"/>
  </si>
  <si>
    <t>30m/roll</t>
    <phoneticPr fontId="4"/>
  </si>
  <si>
    <t>Side Metallic</t>
    <phoneticPr fontId="4"/>
  </si>
  <si>
    <t>TI-8600</t>
    <phoneticPr fontId="4"/>
  </si>
  <si>
    <t>300m/roll</t>
    <phoneticPr fontId="4"/>
  </si>
  <si>
    <t>Cute Satin</t>
    <phoneticPr fontId="4"/>
  </si>
  <si>
    <r>
      <t>20250704 BABY, THE STARS SHINE BRIGHT (12740</t>
    </r>
    <r>
      <rPr>
        <b/>
        <sz val="10"/>
        <rFont val="Yu Gothic"/>
        <family val="2"/>
        <charset val="128"/>
      </rPr>
      <t xml:space="preserve">→ 1.3 / </t>
    </r>
    <r>
      <rPr>
        <b/>
        <sz val="10"/>
        <rFont val="Arial Black"/>
        <family val="2"/>
      </rPr>
      <t xml:space="preserve">TI </t>
    </r>
    <r>
      <rPr>
        <b/>
        <sz val="10"/>
        <rFont val="Yu Gothic"/>
        <family val="2"/>
        <charset val="128"/>
      </rPr>
      <t xml:space="preserve">→ 1.2) </t>
    </r>
    <phoneticPr fontId="4"/>
  </si>
  <si>
    <t>TI-8700</t>
    <phoneticPr fontId="4"/>
  </si>
  <si>
    <t>Cute Side Metallic</t>
    <phoneticPr fontId="4"/>
  </si>
  <si>
    <t>R-20250710</t>
    <phoneticPr fontId="4"/>
  </si>
  <si>
    <t>RABANNE</t>
    <phoneticPr fontId="4"/>
  </si>
  <si>
    <t>KYL-23408-1</t>
    <phoneticPr fontId="4"/>
  </si>
  <si>
    <t>KYL-23419-1</t>
    <phoneticPr fontId="4"/>
  </si>
  <si>
    <t>EXW JAPAN price/m</t>
    <phoneticPr fontId="4"/>
  </si>
  <si>
    <t>仕入</t>
    <rPh sb="0" eb="2">
      <t>シイレ</t>
    </rPh>
    <phoneticPr fontId="4"/>
  </si>
  <si>
    <t>アップチャージ +300円/m</t>
    <rPh sb="12" eb="13">
      <t>エン</t>
    </rPh>
    <phoneticPr fontId="4"/>
  </si>
  <si>
    <t>バルクミニマム：4 roll/col (abt 84m/col)</t>
    <phoneticPr fontId="4"/>
  </si>
  <si>
    <t>SAG-7120NP</t>
    <phoneticPr fontId="4"/>
  </si>
  <si>
    <t>4 roll/col (abt 21m/roll)</t>
    <phoneticPr fontId="4"/>
  </si>
  <si>
    <t>SAG-1400-034</t>
    <phoneticPr fontId="4"/>
  </si>
  <si>
    <t>1 - 3 rolls/col (abt 23m/roll)</t>
    <phoneticPr fontId="4"/>
  </si>
  <si>
    <t>4 roll/col (abt 23m/roll)</t>
    <phoneticPr fontId="4"/>
  </si>
  <si>
    <t>Veronique Leroy 20250821</t>
    <phoneticPr fontId="4"/>
  </si>
  <si>
    <t>R-20250827</t>
    <phoneticPr fontId="4"/>
  </si>
  <si>
    <r>
      <t>20250901  Acne Studios 40% 140</t>
    </r>
    <r>
      <rPr>
        <b/>
        <sz val="10"/>
        <rFont val="ＭＳ Ｐゴシック"/>
        <family val="3"/>
        <charset val="128"/>
      </rPr>
      <t>円</t>
    </r>
    <rPh sb="30" eb="31">
      <t>エン</t>
    </rPh>
    <phoneticPr fontId="4"/>
  </si>
  <si>
    <t>3844 / Custom color (piece dye)</t>
    <phoneticPr fontId="4"/>
  </si>
  <si>
    <t>DTM Min.</t>
    <phoneticPr fontId="4"/>
  </si>
  <si>
    <r>
      <t xml:space="preserve"># 3844 ( </t>
    </r>
    <r>
      <rPr>
        <sz val="10"/>
        <rFont val="BIZ UDPゴシック"/>
        <family val="3"/>
        <charset val="128"/>
      </rPr>
      <t>貴社品番：</t>
    </r>
    <r>
      <rPr>
        <sz val="10"/>
        <rFont val="Arial"/>
        <family val="2"/>
      </rPr>
      <t xml:space="preserve">7020 ) / 9mm / </t>
    </r>
    <r>
      <rPr>
        <sz val="10"/>
        <rFont val="BIZ UDPゴシック"/>
        <family val="3"/>
        <charset val="128"/>
      </rPr>
      <t>別注色</t>
    </r>
  </si>
  <si>
    <r>
      <t xml:space="preserve">&gt; &gt; </t>
    </r>
    <r>
      <rPr>
        <sz val="10"/>
        <rFont val="BIZ UDPゴシック"/>
        <family val="3"/>
        <charset val="128"/>
      </rPr>
      <t>別注色ミニマム：</t>
    </r>
    <r>
      <rPr>
        <sz val="10"/>
        <rFont val="Arial"/>
        <family val="2"/>
      </rPr>
      <t>3,000m/</t>
    </r>
    <r>
      <rPr>
        <sz val="10"/>
        <rFont val="BIZ UDPゴシック"/>
        <family val="3"/>
        <charset val="128"/>
      </rPr>
      <t>色</t>
    </r>
  </si>
  <si>
    <r>
      <t xml:space="preserve">&gt; &gt; </t>
    </r>
    <r>
      <rPr>
        <sz val="10"/>
        <rFont val="BIZ UDPゴシック"/>
        <family val="3"/>
        <charset val="128"/>
      </rPr>
      <t>ミニマム未満の小口代：</t>
    </r>
    <r>
      <rPr>
        <sz val="10"/>
        <rFont val="Arial"/>
        <family val="2"/>
      </rPr>
      <t>25,000</t>
    </r>
    <r>
      <rPr>
        <sz val="10"/>
        <rFont val="BIZ UDPゴシック"/>
        <family val="3"/>
        <charset val="128"/>
      </rPr>
      <t>円</t>
    </r>
    <r>
      <rPr>
        <sz val="10"/>
        <rFont val="Arial"/>
        <family val="2"/>
      </rPr>
      <t>/</t>
    </r>
    <r>
      <rPr>
        <sz val="10"/>
        <rFont val="BIZ UDPゴシック"/>
        <family val="3"/>
        <charset val="128"/>
      </rPr>
      <t>色</t>
    </r>
  </si>
  <si>
    <r>
      <t xml:space="preserve">&gt; &gt; </t>
    </r>
    <r>
      <rPr>
        <sz val="10"/>
        <rFont val="BIZ UDPゴシック"/>
        <family val="3"/>
        <charset val="128"/>
      </rPr>
      <t>ビーカー代：</t>
    </r>
    <r>
      <rPr>
        <sz val="10"/>
        <rFont val="Arial"/>
        <family val="2"/>
      </rPr>
      <t>10,000</t>
    </r>
    <r>
      <rPr>
        <sz val="10"/>
        <rFont val="BIZ UDPゴシック"/>
        <family val="3"/>
        <charset val="128"/>
      </rPr>
      <t>円</t>
    </r>
    <r>
      <rPr>
        <sz val="10"/>
        <rFont val="Arial"/>
        <family val="2"/>
      </rPr>
      <t>/</t>
    </r>
    <r>
      <rPr>
        <sz val="10"/>
        <rFont val="BIZ UDPゴシック"/>
        <family val="3"/>
        <charset val="128"/>
      </rPr>
      <t>色</t>
    </r>
  </si>
  <si>
    <r>
      <t xml:space="preserve">&gt; &gt; </t>
    </r>
    <r>
      <rPr>
        <sz val="10"/>
        <rFont val="BIZ UDPゴシック"/>
        <family val="3"/>
        <charset val="128"/>
      </rPr>
      <t>キバタ現在庫：</t>
    </r>
    <r>
      <rPr>
        <sz val="10"/>
        <rFont val="Arial"/>
        <family val="2"/>
      </rPr>
      <t>15,000m</t>
    </r>
  </si>
  <si>
    <r>
      <t xml:space="preserve">&gt; &gt; </t>
    </r>
    <r>
      <rPr>
        <sz val="10"/>
        <rFont val="BIZ UDPゴシック"/>
        <family val="3"/>
        <charset val="128"/>
      </rPr>
      <t>キバタ在庫有の場合のビーカー納期</t>
    </r>
    <r>
      <rPr>
        <sz val="10"/>
        <rFont val="Arial"/>
        <family val="2"/>
      </rPr>
      <t xml:space="preserve"> + </t>
    </r>
    <r>
      <rPr>
        <sz val="10"/>
        <rFont val="BIZ UDPゴシック"/>
        <family val="3"/>
        <charset val="128"/>
      </rPr>
      <t>染色納期：</t>
    </r>
  </si>
  <si>
    <r>
      <t xml:space="preserve">&gt; &gt; </t>
    </r>
    <r>
      <rPr>
        <sz val="10"/>
        <rFont val="BIZ UDPゴシック"/>
        <family val="3"/>
        <charset val="128"/>
      </rPr>
      <t>バッチ染めにつき、基本的に本番ビーカーとなります。</t>
    </r>
  </si>
  <si>
    <r>
      <t>&gt; &gt; 30m</t>
    </r>
    <r>
      <rPr>
        <sz val="10"/>
        <rFont val="BIZ UDPゴシック"/>
        <family val="3"/>
        <charset val="128"/>
      </rPr>
      <t>未満のご注文でしたら、納期約</t>
    </r>
    <r>
      <rPr>
        <sz val="10"/>
        <rFont val="Arial"/>
        <family val="2"/>
      </rPr>
      <t>2</t>
    </r>
    <r>
      <rPr>
        <sz val="10"/>
        <rFont val="BIZ UDPゴシック"/>
        <family val="3"/>
        <charset val="128"/>
      </rPr>
      <t>週間です。</t>
    </r>
  </si>
  <si>
    <r>
      <t>&gt; &gt; 30m</t>
    </r>
    <r>
      <rPr>
        <sz val="10"/>
        <rFont val="BIZ UDPゴシック"/>
        <family val="3"/>
        <charset val="128"/>
      </rPr>
      <t>以上のご注文でしたら、納期約</t>
    </r>
    <r>
      <rPr>
        <sz val="10"/>
        <rFont val="Arial"/>
        <family val="2"/>
      </rPr>
      <t>2</t>
    </r>
    <r>
      <rPr>
        <sz val="10"/>
        <rFont val="BIZ UDPゴシック"/>
        <family val="3"/>
        <charset val="128"/>
      </rPr>
      <t>ヶ月です。</t>
    </r>
  </si>
  <si>
    <t>30m /roll</t>
    <phoneticPr fontId="4"/>
  </si>
  <si>
    <t>3,000m /art &amp; col &amp;order ( *Dye fee USD 225/art &amp; col &amp;order for under DTM Min. 3000m/col )</t>
    <phoneticPr fontId="4"/>
  </si>
  <si>
    <t>Cotton Satin Ribbons (Double Face)  100% Cotton</t>
    <phoneticPr fontId="4"/>
  </si>
  <si>
    <t>Custom color</t>
    <phoneticPr fontId="4"/>
  </si>
  <si>
    <t xml:space="preserve">Total Amount </t>
    <phoneticPr fontId="4"/>
  </si>
  <si>
    <t># 50 (Light grey)</t>
    <phoneticPr fontId="4"/>
  </si>
  <si>
    <t># 39 (Light blue)</t>
    <phoneticPr fontId="4"/>
  </si>
  <si>
    <t>Recycled Polyester Spun Satin Ribbons  100% Recycled Polyester</t>
    <phoneticPr fontId="4"/>
  </si>
  <si>
    <t xml:space="preserve">E3803  </t>
    <phoneticPr fontId="4"/>
  </si>
  <si>
    <t># 35 (Rust brown)</t>
    <phoneticPr fontId="4"/>
  </si>
  <si>
    <t>3844 Lab-dip</t>
    <phoneticPr fontId="4"/>
  </si>
  <si>
    <t xml:space="preserve">Total Amount </t>
    <phoneticPr fontId="4"/>
  </si>
  <si>
    <t>DTM Bronze brown / Lab-dip</t>
    <phoneticPr fontId="4"/>
  </si>
  <si>
    <t># 65 (Aqua blue)</t>
    <phoneticPr fontId="4"/>
  </si>
  <si>
    <r>
      <t xml:space="preserve">AS-250902 </t>
    </r>
    <r>
      <rPr>
        <sz val="12"/>
        <color rgb="FF0070C0"/>
        <rFont val="Arial"/>
        <family val="2"/>
      </rPr>
      <t>Ship to Stockholm</t>
    </r>
    <phoneticPr fontId="4"/>
  </si>
  <si>
    <r>
      <t>20250912  Isabel Marant 40% 140</t>
    </r>
    <r>
      <rPr>
        <b/>
        <sz val="10"/>
        <rFont val="ＭＳ Ｐゴシック"/>
        <family val="3"/>
        <charset val="128"/>
      </rPr>
      <t>円</t>
    </r>
    <rPh sb="31" eb="32">
      <t>エン</t>
    </rPh>
    <phoneticPr fontId="4"/>
  </si>
  <si>
    <t>FWL-3060-s</t>
    <phoneticPr fontId="4"/>
  </si>
  <si>
    <t>FWL-21915s</t>
    <phoneticPr fontId="4"/>
  </si>
  <si>
    <t>FWL-81149s</t>
    <phoneticPr fontId="4"/>
  </si>
  <si>
    <t>TBC</t>
    <phoneticPr fontId="4"/>
  </si>
  <si>
    <t>Stock in PFD as of Sep 12th, 2025</t>
    <phoneticPr fontId="4"/>
  </si>
  <si>
    <t>50m</t>
    <phoneticPr fontId="4"/>
  </si>
  <si>
    <t>1,700m</t>
    <phoneticPr fontId="4"/>
  </si>
  <si>
    <t>only sample meter</t>
    <phoneticPr fontId="4"/>
  </si>
  <si>
    <t>IM-250912</t>
    <phoneticPr fontId="4"/>
  </si>
  <si>
    <t>Lace Trim 89% Cotton, 8% Rayon, 3% Polyurethane</t>
    <phoneticPr fontId="4"/>
  </si>
  <si>
    <t xml:space="preserve">FWL-3060s </t>
    <phoneticPr fontId="4"/>
  </si>
  <si>
    <t xml:space="preserve">Lace Trim 97% Cotton, 2% Polyurethane, 1% Nylon </t>
    <phoneticPr fontId="4"/>
  </si>
  <si>
    <t>Lace Trim 72% Cotton, 14% Nylon66, 10% Rayon, 4% Polyurethane</t>
    <phoneticPr fontId="4"/>
  </si>
  <si>
    <t>Mill's Off White (PFD)</t>
    <phoneticPr fontId="4"/>
  </si>
  <si>
    <t>20250926 Zuhair Murad</t>
    <phoneticPr fontId="4"/>
  </si>
  <si>
    <r>
      <t>202509  Isabel Marant 40% 140</t>
    </r>
    <r>
      <rPr>
        <b/>
        <sz val="10"/>
        <rFont val="ＭＳ Ｐゴシック"/>
        <family val="3"/>
        <charset val="128"/>
      </rPr>
      <t>円</t>
    </r>
    <rPh sb="29" eb="30">
      <t>エン</t>
    </rPh>
    <phoneticPr fontId="4"/>
  </si>
  <si>
    <t>100 m/ art&amp;col&amp;order</t>
    <phoneticPr fontId="4"/>
  </si>
  <si>
    <t xml:space="preserve">€110 per art&amp;col&amp;order </t>
    <phoneticPr fontId="4"/>
  </si>
  <si>
    <t xml:space="preserve">€100 per art&amp;col&amp;order </t>
    <phoneticPr fontId="4"/>
  </si>
  <si>
    <t xml:space="preserve">€150 per art&amp;col&amp;order </t>
    <phoneticPr fontId="4"/>
  </si>
  <si>
    <t>FWL-2300s</t>
    <phoneticPr fontId="4"/>
  </si>
  <si>
    <t>FWL-22758s</t>
    <phoneticPr fontId="4"/>
  </si>
  <si>
    <t>FWL-22759s</t>
    <phoneticPr fontId="4"/>
  </si>
  <si>
    <t>FWL-22859s</t>
    <phoneticPr fontId="4"/>
  </si>
  <si>
    <t>FWL-21935s</t>
    <phoneticPr fontId="4"/>
  </si>
  <si>
    <t>FWL-21643s</t>
    <phoneticPr fontId="4"/>
  </si>
  <si>
    <t>FWL-21313s</t>
    <phoneticPr fontId="4"/>
  </si>
  <si>
    <t>FWL-21667s</t>
    <phoneticPr fontId="4"/>
  </si>
  <si>
    <t>30m</t>
    <phoneticPr fontId="4"/>
  </si>
  <si>
    <t>no stock</t>
    <phoneticPr fontId="4"/>
  </si>
  <si>
    <t>Stock in PFD as of Sep 26th, 2025</t>
    <phoneticPr fontId="4"/>
  </si>
  <si>
    <t xml:space="preserve">€75 per art&amp;col&amp;order </t>
    <phoneticPr fontId="4"/>
  </si>
  <si>
    <t xml:space="preserve">€85 per art&amp;col&amp;order </t>
    <phoneticPr fontId="4"/>
  </si>
  <si>
    <t>1,100m</t>
    <phoneticPr fontId="4"/>
  </si>
  <si>
    <t>2,600m</t>
    <phoneticPr fontId="4"/>
  </si>
  <si>
    <t>40m</t>
    <phoneticPr fontId="4"/>
  </si>
  <si>
    <t>6,600m</t>
    <phoneticPr fontId="4"/>
  </si>
  <si>
    <t>100m</t>
    <phoneticPr fontId="4"/>
  </si>
  <si>
    <t>400m</t>
    <phoneticPr fontId="4"/>
  </si>
  <si>
    <t>PO 7000918460</t>
    <phoneticPr fontId="4"/>
  </si>
  <si>
    <t>KYL-T24361</t>
    <phoneticPr fontId="4"/>
  </si>
  <si>
    <t>KYL-24362</t>
    <phoneticPr fontId="4"/>
  </si>
  <si>
    <t>KYL-24382</t>
    <phoneticPr fontId="4"/>
  </si>
  <si>
    <t>KYL-24363</t>
    <phoneticPr fontId="4"/>
  </si>
  <si>
    <t>KYL-24377</t>
    <phoneticPr fontId="4"/>
  </si>
  <si>
    <t>KYL-5047</t>
    <phoneticPr fontId="4"/>
  </si>
  <si>
    <t xml:space="preserve">Trim Tulle Lace  Base: 100% Nylon /  Front yarn: 100% Rayon /  Back yarn :  100% Cotton </t>
  </si>
  <si>
    <t>Stock as of Sep.29,2025</t>
    <phoneticPr fontId="4"/>
  </si>
  <si>
    <t>600m</t>
    <phoneticPr fontId="4"/>
  </si>
  <si>
    <t>1,000m</t>
    <phoneticPr fontId="4"/>
  </si>
  <si>
    <t>300m</t>
    <phoneticPr fontId="4"/>
  </si>
  <si>
    <t>1,200m</t>
    <phoneticPr fontId="4"/>
  </si>
  <si>
    <t>200m  *This item will be discontinued once the current stock runs out</t>
    <phoneticPr fontId="4"/>
  </si>
  <si>
    <t>750m  *This item will be discontinued once the current stock runs out</t>
    <phoneticPr fontId="4"/>
  </si>
  <si>
    <r>
      <t xml:space="preserve">AS-250902 </t>
    </r>
    <r>
      <rPr>
        <sz val="12"/>
        <color rgb="FF0070C0"/>
        <rFont val="Arial"/>
        <family val="2"/>
      </rPr>
      <t>Ship to Paris</t>
    </r>
    <phoneticPr fontId="4"/>
  </si>
  <si>
    <t>IM-251003</t>
    <phoneticPr fontId="4"/>
  </si>
  <si>
    <t>Mill's Black (piece-dye)</t>
    <phoneticPr fontId="4"/>
  </si>
  <si>
    <t>SEDE PARMAMODA(Zuhair Murad)</t>
    <phoneticPr fontId="4"/>
  </si>
  <si>
    <t>25/0001165 (01/10/2025)</t>
    <phoneticPr fontId="4"/>
  </si>
  <si>
    <t>SAG-6660</t>
    <phoneticPr fontId="4"/>
  </si>
  <si>
    <r>
      <t>Velvet Fabric  P:Rayon100</t>
    </r>
    <r>
      <rPr>
        <sz val="12"/>
        <rFont val="游ゴシック"/>
        <family val="2"/>
        <charset val="128"/>
      </rPr>
      <t>％</t>
    </r>
    <r>
      <rPr>
        <sz val="12"/>
        <rFont val="Arial"/>
        <family val="2"/>
      </rPr>
      <t xml:space="preserve"> G:Cupro100</t>
    </r>
    <r>
      <rPr>
        <sz val="12"/>
        <rFont val="游ゴシック"/>
        <family val="2"/>
        <charset val="128"/>
      </rPr>
      <t>％</t>
    </r>
    <phoneticPr fontId="4"/>
  </si>
  <si>
    <t>COL. BLACK</t>
    <phoneticPr fontId="4"/>
  </si>
  <si>
    <t>Lace Trim 94% Cotton, 4% Rayon, 2% Polyurethane</t>
    <phoneticPr fontId="4"/>
  </si>
  <si>
    <t>Lace Trim 85% Cotton, 10% Rayon, 5% Polyurethane</t>
    <phoneticPr fontId="4"/>
  </si>
  <si>
    <t xml:space="preserve">Total amount </t>
    <phoneticPr fontId="4"/>
  </si>
  <si>
    <r>
      <t>Mill's Black (</t>
    </r>
    <r>
      <rPr>
        <sz val="10"/>
        <color theme="1"/>
        <rFont val="ＭＳ Ｐゴシック"/>
        <family val="2"/>
        <charset val="128"/>
      </rPr>
      <t>先染め</t>
    </r>
    <r>
      <rPr>
        <sz val="10"/>
        <color theme="1"/>
        <rFont val="Arial"/>
        <family val="2"/>
      </rPr>
      <t>)</t>
    </r>
    <rPh sb="14" eb="16">
      <t>サキソメ</t>
    </rPh>
    <phoneticPr fontId="4"/>
  </si>
  <si>
    <t>Mill's Black (yarn-dye)</t>
    <phoneticPr fontId="4"/>
  </si>
  <si>
    <t>Surcharge for below MOQ of Mill's Black(yarn-dye)</t>
    <phoneticPr fontId="4"/>
  </si>
  <si>
    <r>
      <t xml:space="preserve">3032 </t>
    </r>
    <r>
      <rPr>
        <sz val="12"/>
        <color rgb="FF0070C0"/>
        <rFont val="Arial"/>
        <family val="2"/>
      </rPr>
      <t>Thailand</t>
    </r>
    <phoneticPr fontId="4"/>
  </si>
  <si>
    <t xml:space="preserve">Handling Fee (Inland Freight Charge in Japan) </t>
  </si>
  <si>
    <t>The Cloth Shop Ltd</t>
    <phoneticPr fontId="4"/>
  </si>
  <si>
    <t>CS-251016</t>
    <phoneticPr fontId="4"/>
  </si>
  <si>
    <t xml:space="preserve"># 78 </t>
    <phoneticPr fontId="4"/>
  </si>
  <si>
    <t># 20</t>
    <phoneticPr fontId="4"/>
  </si>
  <si>
    <t># 44</t>
    <phoneticPr fontId="4"/>
  </si>
  <si>
    <t># 53</t>
    <phoneticPr fontId="4"/>
  </si>
  <si>
    <t># 79</t>
    <phoneticPr fontId="4"/>
  </si>
  <si>
    <t># 22</t>
    <phoneticPr fontId="4"/>
  </si>
  <si>
    <t xml:space="preserve"># 39 </t>
    <phoneticPr fontId="4"/>
  </si>
  <si>
    <t xml:space="preserve"># 59 </t>
    <phoneticPr fontId="4"/>
  </si>
  <si>
    <t># 18</t>
    <phoneticPr fontId="4"/>
  </si>
  <si>
    <t xml:space="preserve"># 55 </t>
    <phoneticPr fontId="4"/>
  </si>
  <si>
    <t># 29</t>
    <phoneticPr fontId="4"/>
  </si>
  <si>
    <t># 68</t>
    <phoneticPr fontId="4"/>
  </si>
  <si>
    <t xml:space="preserve"># 5 </t>
    <phoneticPr fontId="4"/>
  </si>
  <si>
    <t># 70</t>
    <phoneticPr fontId="4"/>
  </si>
  <si>
    <t># 40</t>
    <phoneticPr fontId="4"/>
  </si>
  <si>
    <t># 78</t>
    <phoneticPr fontId="4"/>
  </si>
  <si>
    <t xml:space="preserve"># 39  </t>
    <phoneticPr fontId="4"/>
  </si>
  <si>
    <t xml:space="preserve"># 55  </t>
    <phoneticPr fontId="4"/>
  </si>
  <si>
    <t xml:space="preserve"># 29 </t>
    <phoneticPr fontId="4"/>
  </si>
  <si>
    <t># 59</t>
    <phoneticPr fontId="4"/>
  </si>
  <si>
    <t>Shape-Memory Ribbons   Polyester-100%</t>
    <phoneticPr fontId="4"/>
  </si>
  <si>
    <t># 6</t>
    <phoneticPr fontId="4"/>
  </si>
  <si>
    <t># 7</t>
    <phoneticPr fontId="4"/>
  </si>
  <si>
    <t># 30</t>
    <phoneticPr fontId="4"/>
  </si>
  <si>
    <t># 45</t>
    <phoneticPr fontId="4"/>
  </si>
  <si>
    <t># 25</t>
    <phoneticPr fontId="4"/>
  </si>
  <si>
    <t># 156</t>
    <phoneticPr fontId="4"/>
  </si>
  <si>
    <t>Mid November</t>
    <phoneticPr fontId="4"/>
  </si>
  <si>
    <t>Early November</t>
    <phoneticPr fontId="4"/>
  </si>
  <si>
    <t>in stock</t>
    <phoneticPr fontId="4"/>
  </si>
  <si>
    <t>EXW JAPAN /roll</t>
    <phoneticPr fontId="4"/>
  </si>
  <si>
    <t>Sub-total</t>
    <phoneticPr fontId="4"/>
  </si>
  <si>
    <t>25/0001240 (16/10/2025)</t>
    <phoneticPr fontId="4"/>
  </si>
  <si>
    <t>R-20251021</t>
    <phoneticPr fontId="4"/>
  </si>
  <si>
    <t>KYL-T8509-1</t>
    <phoneticPr fontId="4"/>
  </si>
  <si>
    <t>OL-354133-1</t>
    <phoneticPr fontId="4"/>
  </si>
  <si>
    <t>KYL-24290</t>
    <phoneticPr fontId="4"/>
  </si>
  <si>
    <t>KYL-24012</t>
    <phoneticPr fontId="4"/>
  </si>
  <si>
    <t>EXW JAPAN /meter</t>
    <phoneticPr fontId="4"/>
  </si>
  <si>
    <t>Stock in Mill's Off White 
as of October 22nd, 2025</t>
    <phoneticPr fontId="4"/>
  </si>
  <si>
    <t xml:space="preserve">abt 20m in stock </t>
    <phoneticPr fontId="4"/>
  </si>
  <si>
    <t xml:space="preserve">abt 500m in stock </t>
    <phoneticPr fontId="4"/>
  </si>
  <si>
    <t xml:space="preserve">abt 1,300m in stock </t>
    <phoneticPr fontId="4"/>
  </si>
  <si>
    <t xml:space="preserve">abt 1,000m in stock </t>
    <phoneticPr fontId="4"/>
  </si>
  <si>
    <t>b</t>
    <phoneticPr fontId="4"/>
  </si>
  <si>
    <t>140/145cm</t>
    <phoneticPr fontId="4"/>
  </si>
  <si>
    <t>Marine Serre</t>
    <phoneticPr fontId="4"/>
  </si>
  <si>
    <t>MS-251029</t>
    <phoneticPr fontId="4"/>
  </si>
  <si>
    <t>Lace fabric    Rayon 54%   Nylon 46%</t>
    <phoneticPr fontId="4"/>
  </si>
  <si>
    <t>GS-NS4-094</t>
    <phoneticPr fontId="4"/>
  </si>
  <si>
    <t xml:space="preserve">Total amount </t>
    <phoneticPr fontId="4"/>
  </si>
  <si>
    <t>CS-251110</t>
    <phoneticPr fontId="4"/>
  </si>
  <si>
    <t>Reversible Satin Velvet Ribbon   Rayon-55%/Polyester-45%</t>
    <phoneticPr fontId="4"/>
  </si>
  <si>
    <t>Single Velvet Ribbon  Rayon-70%/Nylon-30%</t>
    <phoneticPr fontId="4"/>
  </si>
  <si>
    <t>Linen Tapes  Linen-100%</t>
    <phoneticPr fontId="4"/>
  </si>
  <si>
    <t>Organic Cotton Petersham Ribbons  Organic Cotton-100%</t>
    <phoneticPr fontId="4"/>
  </si>
  <si>
    <t>E3709</t>
    <phoneticPr fontId="4"/>
  </si>
  <si>
    <t>Double Face Striped Satin Ribbon  Polyester-100%</t>
    <phoneticPr fontId="4"/>
  </si>
  <si>
    <t>Chiffon Ribbons  Polyester-60% / Cupro-40%</t>
    <phoneticPr fontId="4"/>
  </si>
  <si>
    <t>in stock</t>
    <phoneticPr fontId="4"/>
  </si>
  <si>
    <t># 55</t>
    <phoneticPr fontId="4"/>
  </si>
  <si>
    <t># 30</t>
    <phoneticPr fontId="4"/>
  </si>
  <si>
    <t># 108</t>
    <phoneticPr fontId="4"/>
  </si>
  <si>
    <t># 132</t>
    <phoneticPr fontId="4"/>
  </si>
  <si>
    <t># 124</t>
    <phoneticPr fontId="4"/>
  </si>
  <si>
    <t># 120</t>
    <phoneticPr fontId="4"/>
  </si>
  <si>
    <t># 102</t>
    <phoneticPr fontId="4"/>
  </si>
  <si>
    <t># 26</t>
    <phoneticPr fontId="4"/>
  </si>
  <si>
    <t># 48</t>
    <phoneticPr fontId="4"/>
  </si>
  <si>
    <t># 19</t>
    <phoneticPr fontId="4"/>
  </si>
  <si>
    <t># 20</t>
    <phoneticPr fontId="4"/>
  </si>
  <si>
    <t># 1</t>
    <phoneticPr fontId="4"/>
  </si>
  <si>
    <t># 27</t>
    <phoneticPr fontId="4"/>
  </si>
  <si>
    <t># 12</t>
    <phoneticPr fontId="4"/>
  </si>
  <si>
    <t># 35</t>
    <phoneticPr fontId="4"/>
  </si>
  <si>
    <t># 74</t>
    <phoneticPr fontId="4"/>
  </si>
  <si>
    <t># 71</t>
    <phoneticPr fontId="4"/>
  </si>
  <si>
    <t># 0</t>
    <phoneticPr fontId="4"/>
  </si>
  <si>
    <t># 13</t>
    <phoneticPr fontId="4"/>
  </si>
  <si>
    <t># 164</t>
    <phoneticPr fontId="4"/>
  </si>
  <si>
    <t>no stock, will be ready Dec. 23-24</t>
    <phoneticPr fontId="4"/>
  </si>
  <si>
    <r>
      <t xml:space="preserve">12/23-24 </t>
    </r>
    <r>
      <rPr>
        <sz val="10"/>
        <color rgb="FFFF0000"/>
        <rFont val="ＭＳ Ｐゴシック"/>
        <family val="2"/>
        <charset val="128"/>
      </rPr>
      <t>→</t>
    </r>
    <r>
      <rPr>
        <sz val="10"/>
        <color rgb="FFFF0000"/>
        <rFont val="Arial"/>
        <family val="2"/>
      </rPr>
      <t>cancel</t>
    </r>
    <phoneticPr fontId="4"/>
  </si>
  <si>
    <t>Stock as of November 17th, 2025</t>
    <phoneticPr fontId="4"/>
  </si>
  <si>
    <t xml:space="preserve">300m in stock </t>
    <phoneticPr fontId="4"/>
  </si>
  <si>
    <t xml:space="preserve">144m in stock </t>
    <phoneticPr fontId="4"/>
  </si>
  <si>
    <t xml:space="preserve">6,600m in stock </t>
    <phoneticPr fontId="4"/>
  </si>
  <si>
    <t xml:space="preserve">120m in stock </t>
    <phoneticPr fontId="4"/>
  </si>
  <si>
    <t>55810</t>
    <phoneticPr fontId="4"/>
  </si>
  <si>
    <t>MOQ for Mill's Standard colors</t>
    <phoneticPr fontId="4"/>
  </si>
  <si>
    <t>仕入反単価</t>
    <rPh sb="0" eb="2">
      <t>シイレ</t>
    </rPh>
    <rPh sb="2" eb="3">
      <t>タン</t>
    </rPh>
    <rPh sb="3" eb="5">
      <t>タンカ</t>
    </rPh>
    <phoneticPr fontId="4"/>
  </si>
  <si>
    <t>利益率(regular)</t>
    <rPh sb="0" eb="2">
      <t>リエキ</t>
    </rPh>
    <rPh sb="2" eb="3">
      <t>リツ</t>
    </rPh>
    <phoneticPr fontId="4"/>
  </si>
  <si>
    <r>
      <rPr>
        <b/>
        <sz val="12"/>
        <color rgb="FF0070C0"/>
        <rFont val="ＭＳ Ｐゴシック"/>
        <family val="3"/>
        <charset val="128"/>
      </rPr>
      <t>レート</t>
    </r>
    <phoneticPr fontId="4"/>
  </si>
  <si>
    <t xml:space="preserve">Zuhair Murad 20251119 </t>
    <phoneticPr fontId="4"/>
  </si>
  <si>
    <t xml:space="preserve">EXW JAPAN € / meter </t>
    <phoneticPr fontId="4"/>
  </si>
  <si>
    <r>
      <t xml:space="preserve">3044 </t>
    </r>
    <r>
      <rPr>
        <sz val="12"/>
        <color rgb="FF0070C0"/>
        <rFont val="Arial"/>
        <family val="2"/>
      </rPr>
      <t>Thailand</t>
    </r>
    <phoneticPr fontId="4"/>
  </si>
  <si>
    <t>7543-2</t>
    <phoneticPr fontId="4"/>
  </si>
  <si>
    <t>7543-1</t>
    <phoneticPr fontId="4"/>
  </si>
  <si>
    <t>Marine Serre 20251205</t>
    <phoneticPr fontId="4"/>
  </si>
  <si>
    <t>4142</t>
    <phoneticPr fontId="4"/>
  </si>
  <si>
    <t>E3921</t>
    <phoneticPr fontId="4"/>
  </si>
  <si>
    <t>9 x 9mm</t>
    <phoneticPr fontId="4"/>
  </si>
  <si>
    <t>140/145cm×abt 50m</t>
    <phoneticPr fontId="4"/>
  </si>
  <si>
    <r>
      <t xml:space="preserve">GS-NS3472T (Mill's Off &amp; Black) 
Based on 1 roll </t>
    </r>
    <r>
      <rPr>
        <sz val="10"/>
        <color rgb="FF000000"/>
        <rFont val="ＭＳ ゴシック"/>
        <family val="3"/>
        <charset val="128"/>
      </rPr>
      <t>～</t>
    </r>
    <r>
      <rPr>
        <sz val="10"/>
        <color rgb="FF000000"/>
        <rFont val="Arial  "/>
        <family val="2"/>
      </rPr>
      <t xml:space="preserve"> (1 roll=abt 50m)</t>
    </r>
    <phoneticPr fontId="4"/>
  </si>
  <si>
    <t>通常単価@580円/mでのキバタ生産ロットは20反です。
1〜9反での生産は@100円/mアップ
10〜19反だと@50円/mアップとなります。</t>
    <phoneticPr fontId="4"/>
  </si>
  <si>
    <t>20251210 Saint Laurent  20% レート</t>
    <phoneticPr fontId="4"/>
  </si>
  <si>
    <r>
      <t xml:space="preserve">GS-NS3471T (Mill's Off &amp; Black) 
Based on 1 roll </t>
    </r>
    <r>
      <rPr>
        <sz val="10"/>
        <color rgb="FF000000"/>
        <rFont val="ＭＳ ゴシック"/>
        <family val="3"/>
        <charset val="128"/>
      </rPr>
      <t>～</t>
    </r>
    <r>
      <rPr>
        <sz val="10"/>
        <color rgb="FF000000"/>
        <rFont val="Arial  "/>
        <family val="2"/>
      </rPr>
      <t xml:space="preserve"> (1 roll=abt 50m)</t>
    </r>
    <phoneticPr fontId="4"/>
  </si>
  <si>
    <t xml:space="preserve">20251210 バルク見積もり GS-NS3471T &amp; GS-NS3472T &amp; </t>
    <rPh sb="12" eb="14">
      <t>ミツ</t>
    </rPh>
    <phoneticPr fontId="4"/>
  </si>
  <si>
    <r>
      <t xml:space="preserve">GS-NS3471T (Mill's Off &amp; Black) 
Sample cut price (up to </t>
    </r>
    <r>
      <rPr>
        <sz val="10"/>
        <color rgb="FF000000"/>
        <rFont val="Arial  "/>
        <family val="2"/>
      </rPr>
      <t>10m</t>
    </r>
    <r>
      <rPr>
        <sz val="10"/>
        <color rgb="FF000000"/>
        <rFont val="Arial  "/>
        <family val="2"/>
        <charset val="1"/>
      </rPr>
      <t>→€</t>
    </r>
    <r>
      <rPr>
        <sz val="10"/>
        <color rgb="FF000000"/>
        <rFont val="Arial  "/>
        <family val="2"/>
      </rPr>
      <t>10/cut)</t>
    </r>
    <phoneticPr fontId="4"/>
  </si>
  <si>
    <r>
      <t xml:space="preserve">GS-NS3472T (Mill's Off &amp; Black) 
Sample cut price (up to </t>
    </r>
    <r>
      <rPr>
        <sz val="10"/>
        <color rgb="FF000000"/>
        <rFont val="Arial  "/>
        <family val="2"/>
      </rPr>
      <t>10m</t>
    </r>
    <r>
      <rPr>
        <sz val="10"/>
        <color rgb="FF000000"/>
        <rFont val="Arial  "/>
        <family val="2"/>
        <charset val="1"/>
      </rPr>
      <t>→€</t>
    </r>
    <r>
      <rPr>
        <sz val="10"/>
        <color rgb="FF000000"/>
        <rFont val="Arial  "/>
        <family val="2"/>
      </rPr>
      <t>10/cut)</t>
    </r>
    <phoneticPr fontId="4"/>
  </si>
  <si>
    <t>カット代10m以下は1カット1000円
11m以上は@100円/m</t>
    <phoneticPr fontId="4"/>
  </si>
  <si>
    <t>20251212 Zuhair Murad</t>
    <phoneticPr fontId="4"/>
  </si>
  <si>
    <t xml:space="preserve">CHEVRON FISHNET 100% Polyester   </t>
    <phoneticPr fontId="4"/>
  </si>
  <si>
    <t>GS-NS3472T</t>
    <phoneticPr fontId="4"/>
  </si>
  <si>
    <t>Cut fee</t>
    <phoneticPr fontId="4"/>
  </si>
  <si>
    <t>Width</t>
    <phoneticPr fontId="4"/>
  </si>
  <si>
    <t>Status</t>
    <phoneticPr fontId="4"/>
  </si>
  <si>
    <t>already shipped on December 17th, 2025</t>
    <phoneticPr fontId="4"/>
  </si>
  <si>
    <t>Additional order ??</t>
    <phoneticPr fontId="4"/>
  </si>
  <si>
    <t>15683</t>
    <phoneticPr fontId="4"/>
  </si>
  <si>
    <t># 73 NT  BURNT RED</t>
    <phoneticPr fontId="4"/>
  </si>
  <si>
    <t>56136 (06/01/26)</t>
    <phoneticPr fontId="4"/>
  </si>
  <si>
    <t>5637</t>
  </si>
  <si>
    <t>20260107 Marine Serre</t>
    <phoneticPr fontId="4"/>
  </si>
  <si>
    <t>SSS</t>
    <phoneticPr fontId="4"/>
  </si>
  <si>
    <t>26/0000180 (29/01/2026)</t>
    <phoneticPr fontId="4"/>
  </si>
  <si>
    <t>56136 (06/01/26) addition</t>
    <phoneticPr fontId="4"/>
  </si>
  <si>
    <t>56670 (04/02/26)</t>
    <phoneticPr fontId="4"/>
  </si>
  <si>
    <t>二渡レース株式会社</t>
  </si>
  <si>
    <t>FWL-21667s</t>
  </si>
  <si>
    <t>Mill's Black (yarn-dye)</t>
  </si>
  <si>
    <t>FWL-21935s</t>
  </si>
  <si>
    <t>Mill's Off White (PFD)</t>
  </si>
  <si>
    <t>(Isabel Marant) 56136 (06/01/26)  1&amp;2</t>
    <phoneticPr fontId="4"/>
  </si>
  <si>
    <t xml:space="preserve">                    56670 (04/02/26)   3</t>
    <phoneticPr fontId="4"/>
  </si>
  <si>
    <t>56670 (04/02/26)</t>
  </si>
  <si>
    <t>Lace Trim 85% Cotton, 10% Rayon, 5% Polyurethane</t>
  </si>
  <si>
    <t>26009272(SL-251211)</t>
    <phoneticPr fontId="4"/>
  </si>
  <si>
    <t>abt 100cm×abt.24m</t>
    <phoneticPr fontId="194"/>
  </si>
  <si>
    <t>YV-00180 (silk 100%)</t>
    <phoneticPr fontId="4"/>
  </si>
  <si>
    <t>Article #</t>
  </si>
  <si>
    <t>Width x length</t>
  </si>
  <si>
    <t>Composition</t>
  </si>
  <si>
    <t>EXW JAPAN /m for sample</t>
  </si>
  <si>
    <t>EXW JAPAN /m for production</t>
  </si>
  <si>
    <t>Production Minimum</t>
  </si>
  <si>
    <t>NOTES</t>
  </si>
  <si>
    <r>
      <t>160cm x approx. 30</t>
    </r>
    <r>
      <rPr>
        <sz val="10"/>
        <color rgb="FF000000"/>
        <rFont val="Yu Gothic UI"/>
        <family val="3"/>
        <charset val="128"/>
      </rPr>
      <t>ｍ</t>
    </r>
  </si>
  <si>
    <t>180m/col&amp;order</t>
  </si>
  <si>
    <r>
      <t>Ground col</t>
    </r>
    <r>
      <rPr>
        <sz val="10"/>
        <color rgb="FF000000"/>
        <rFont val="Yu Gothic UI"/>
        <family val="3"/>
        <charset val="128"/>
      </rPr>
      <t>：</t>
    </r>
    <r>
      <rPr>
        <sz val="10"/>
        <color rgb="FF000000"/>
        <rFont val="Arial"/>
        <family val="2"/>
      </rPr>
      <t>BK</t>
    </r>
    <r>
      <rPr>
        <sz val="10"/>
        <color rgb="FF000000"/>
        <rFont val="Yu Gothic UI"/>
        <family val="3"/>
        <charset val="128"/>
      </rPr>
      <t>、</t>
    </r>
    <r>
      <rPr>
        <sz val="10"/>
        <color rgb="FF000000"/>
        <rFont val="Arial"/>
        <family val="2"/>
      </rPr>
      <t>WH</t>
    </r>
  </si>
  <si>
    <t>NOTES:</t>
  </si>
  <si>
    <r>
      <t>Ø</t>
    </r>
    <r>
      <rPr>
        <sz val="7"/>
        <color rgb="FF000000"/>
        <rFont val="Times New Roman"/>
        <family val="1"/>
      </rPr>
      <t xml:space="preserve">  </t>
    </r>
    <r>
      <rPr>
        <sz val="10"/>
        <rFont val="Arial"/>
        <family val="2"/>
      </rPr>
      <t>Inland Freight Charge in Japan will be added if order qty is below production minimum</t>
    </r>
  </si>
  <si>
    <r>
      <t>Ø</t>
    </r>
    <r>
      <rPr>
        <sz val="7"/>
        <color rgb="FF000000"/>
        <rFont val="Times New Roman"/>
        <family val="1"/>
      </rPr>
      <t xml:space="preserve">  </t>
    </r>
    <r>
      <rPr>
        <sz val="10"/>
        <color rgb="FF000000"/>
        <rFont val="Arial"/>
        <family val="2"/>
      </rPr>
      <t xml:space="preserve">The term of validity: End of January, 2025 </t>
    </r>
    <r>
      <rPr>
        <sz val="10"/>
        <rFont val="Arial"/>
        <family val="2"/>
      </rPr>
      <t>( *If there is a significant fluctuation in the exchange rates, we may consider revising the prices)</t>
    </r>
  </si>
  <si>
    <r>
      <t>Ø</t>
    </r>
    <r>
      <rPr>
        <sz val="7"/>
        <color rgb="FF000000"/>
        <rFont val="Times New Roman"/>
        <family val="1"/>
      </rPr>
      <t xml:space="preserve">  </t>
    </r>
    <r>
      <rPr>
        <sz val="10"/>
        <color rgb="FF000000"/>
        <rFont val="Arial"/>
        <family val="2"/>
      </rPr>
      <t>Sample cut is available when in stock, with a cutting fee : US$ 5/cut.</t>
    </r>
  </si>
  <si>
    <r>
      <t>Ø</t>
    </r>
    <r>
      <rPr>
        <sz val="7"/>
        <color rgb="FF000000"/>
        <rFont val="Times New Roman"/>
        <family val="1"/>
      </rPr>
      <t xml:space="preserve">  </t>
    </r>
    <r>
      <rPr>
        <sz val="10"/>
        <color rgb="FF000000"/>
        <rFont val="Arial"/>
        <family val="2"/>
      </rPr>
      <t>Custom Print pattern development fee : US$ 135/pattern &amp; colorway.</t>
    </r>
  </si>
  <si>
    <t>If printing is applied , an additional processing fee of US$ 9.00/m will be added to the prices listed above. *Prints are only available on polyester fabrics.</t>
  </si>
  <si>
    <r>
      <t>Ø</t>
    </r>
    <r>
      <rPr>
        <sz val="7"/>
        <color rgb="FF000000"/>
        <rFont val="Times New Roman"/>
        <family val="1"/>
      </rPr>
      <t xml:space="preserve">  </t>
    </r>
    <r>
      <rPr>
        <sz val="10"/>
        <color rgb="FF000000"/>
        <rFont val="Arial"/>
        <family val="2"/>
      </rPr>
      <t>Rayon → Due to the use of Lame thread, the rayon parts are dyed with direct dyes. As a result, the wet rubbing fastness for dark colors is rated as Grade 2-3.</t>
    </r>
  </si>
  <si>
    <t>P20932- (with print)</t>
    <phoneticPr fontId="4"/>
  </si>
  <si>
    <r>
      <t>Polyester 90</t>
    </r>
    <r>
      <rPr>
        <sz val="10"/>
        <color rgb="FF000000"/>
        <rFont val="Yu Gothic UI"/>
        <family val="3"/>
        <charset val="128"/>
      </rPr>
      <t>％</t>
    </r>
    <r>
      <rPr>
        <sz val="10"/>
        <color rgb="FF000000"/>
        <rFont val="Arial"/>
        <family val="2"/>
      </rPr>
      <t xml:space="preserve"> Lame 10</t>
    </r>
    <r>
      <rPr>
        <sz val="10"/>
        <color rgb="FF000000"/>
        <rFont val="Yu Gothic UI"/>
        <family val="3"/>
        <charset val="128"/>
      </rPr>
      <t>％</t>
    </r>
    <r>
      <rPr>
        <sz val="10"/>
        <color rgb="FF000000"/>
        <rFont val="Arial"/>
        <family val="2"/>
      </rPr>
      <t>(Lame=Polyester)</t>
    </r>
    <phoneticPr fontId="4"/>
  </si>
  <si>
    <t>サンプル単価</t>
    <rPh sb="4" eb="6">
      <t>タンカ</t>
    </rPh>
    <phoneticPr fontId="4"/>
  </si>
  <si>
    <t>バルク単価</t>
    <rPh sb="3" eb="5">
      <t>タンカ</t>
    </rPh>
    <phoneticPr fontId="4"/>
  </si>
  <si>
    <r>
      <t>20260312 Tom Ford 20% 160</t>
    </r>
    <r>
      <rPr>
        <b/>
        <sz val="8"/>
        <color rgb="FF0070C0"/>
        <rFont val="ＭＳ Ｐゴシック"/>
        <family val="2"/>
        <charset val="128"/>
      </rPr>
      <t>円</t>
    </r>
    <rPh sb="25" eb="26">
      <t>エン</t>
    </rPh>
    <phoneticPr fontId="4"/>
  </si>
  <si>
    <t>2 rolls /col</t>
    <phoneticPr fontId="4"/>
  </si>
  <si>
    <t>8 rolls /col</t>
    <phoneticPr fontId="4"/>
  </si>
  <si>
    <r>
      <t xml:space="preserve">sample cut when in stock </t>
    </r>
    <r>
      <rPr>
        <b/>
        <sz val="10"/>
        <rFont val="Arial"/>
        <family val="2"/>
      </rPr>
      <t>OR</t>
    </r>
    <r>
      <rPr>
        <sz val="10"/>
        <rFont val="Arial"/>
        <family val="2"/>
      </rPr>
      <t xml:space="preserve">
1 roll/col</t>
    </r>
    <phoneticPr fontId="4"/>
  </si>
  <si>
    <t>YV-00599 (silk 100%)</t>
    <phoneticPr fontId="4"/>
  </si>
  <si>
    <t>YV-00649 (silk 100%)</t>
    <phoneticPr fontId="4"/>
  </si>
  <si>
    <t>abt 112cm×abt.24m</t>
    <phoneticPr fontId="194"/>
  </si>
  <si>
    <t>フレーム巻き直し費用 + 150円/m</t>
    <rPh sb="4" eb="5">
      <t>マ</t>
    </rPh>
    <rPh sb="6" eb="7">
      <t>ナオ</t>
    </rPh>
    <rPh sb="8" eb="10">
      <t>ヒヨウ</t>
    </rPh>
    <rPh sb="16" eb="17">
      <t>エン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</si>
</sst>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7">
    <numFmt numFmtId="5" formatCode="&quot;¥&quot;#,##0;&quot;¥&quot;\-#,##0"/>
    <numFmt numFmtId="6" formatCode="&quot;¥&quot;#,##0;[Red]&quot;¥&quot;\-#,##0"/>
    <numFmt numFmtId="176" formatCode="#,##0&quot;mm&quot;"/>
    <numFmt numFmtId="177" formatCode="&quot;#&quot;General"/>
    <numFmt numFmtId="178" formatCode="#,##0&quot; m&quot;"/>
    <numFmt numFmtId="179" formatCode="[$-409]d\-mmm;@"/>
    <numFmt numFmtId="180" formatCode="#,##0&quot; rolls&quot;"/>
    <numFmt numFmtId="181" formatCode="&quot;S-&quot;General"/>
    <numFmt numFmtId="182" formatCode="&quot;@&quot;&quot;¥&quot;#,##0.\-"/>
    <numFmt numFmtId="183" formatCode="&quot;SF-&quot;General"/>
    <numFmt numFmtId="184" formatCode="#,##0.0&quot; m&quot;"/>
    <numFmt numFmtId="185" formatCode="#,##0&quot; set&quot;"/>
    <numFmt numFmtId="186" formatCode="&quot;@US$&quot;#,##0.00\-"/>
    <numFmt numFmtId="187" formatCode="#,##0&quot;cm&quot;"/>
    <numFmt numFmtId="188" formatCode="#,##0\ &quot;mm&quot;"/>
    <numFmt numFmtId="189" formatCode="#,##0\ &quot;cm&quot;"/>
    <numFmt numFmtId="190" formatCode="#,##0\ &quot;mmx2&quot;"/>
    <numFmt numFmtId="191" formatCode="&quot;US$&quot;#,##0.00"/>
    <numFmt numFmtId="192" formatCode="&quot;&quot;General"/>
    <numFmt numFmtId="193" formatCode="General&quot; m&quot;"/>
    <numFmt numFmtId="194" formatCode="General&quot; rolls&quot;"/>
    <numFmt numFmtId="195" formatCode="&quot;US$&quot;#,##0.00;\-&quot;US$&quot;#,##0.00"/>
    <numFmt numFmtId="196" formatCode="###0.0\ &quot;m&quot;"/>
    <numFmt numFmtId="197" formatCode="&quot;KYL-&quot;General&quot;-1&quot;"/>
    <numFmt numFmtId="198" formatCode="###0\ &quot;m&quot;"/>
    <numFmt numFmtId="199" formatCode="General\ &quot;m&quot;"/>
    <numFmt numFmtId="200" formatCode="0&quot;mm&quot;"/>
    <numFmt numFmtId="201" formatCode="00&quot;m/roll&quot;"/>
    <numFmt numFmtId="202" formatCode="&quot;@&quot;#,###.#&quot;-&quot;"/>
    <numFmt numFmtId="203" formatCode="#,##0\ &quot;m&quot;"/>
    <numFmt numFmtId="204" formatCode="[$¥-411]#,##0;[$¥-411]#,##0"/>
    <numFmt numFmtId="205" formatCode="#,##0&quot; pcs&quot;"/>
    <numFmt numFmtId="206" formatCode="&quot;US$&quot;#,##0.00_);[Red]\(&quot;US$&quot;#,##0.00\)"/>
    <numFmt numFmtId="207" formatCode="&quot;¥&quot;#,##0_);[Red]\(&quot;¥&quot;#,##0\)"/>
    <numFmt numFmtId="208" formatCode="&quot;US$&quot;#,##0.00;[Red]\-&quot;US$&quot;#,##0.00"/>
    <numFmt numFmtId="209" formatCode="#,##0&quot; sets&quot;"/>
    <numFmt numFmtId="210" formatCode="#,##0&quot;m&quot;"/>
    <numFmt numFmtId="211" formatCode="&quot;No.&quot;General"/>
    <numFmt numFmtId="212" formatCode="General&quot; mm&quot;"/>
    <numFmt numFmtId="213" formatCode="0;\-0;;@"/>
    <numFmt numFmtId="214" formatCode="&quot;@US$&quot;#,##0.00\-&quot;/roll&quot;"/>
    <numFmt numFmtId="215" formatCode="General&quot; pcs&quot;"/>
    <numFmt numFmtId="216" formatCode="&quot;No. 6-&quot;General"/>
    <numFmt numFmtId="217" formatCode="&quot;KYL-&quot;General"/>
    <numFmt numFmtId="218" formatCode="&quot;@&quot;#,###.#0&quot;-&quot;"/>
    <numFmt numFmtId="219" formatCode="&quot;@&quot;#,###.##&quot;-&quot;"/>
    <numFmt numFmtId="220" formatCode="&quot;@&quot;#,###&quot;.-&quot;"/>
    <numFmt numFmtId="221" formatCode="[$¥-411]#,##0.00;[$¥-411]#,##0.00"/>
    <numFmt numFmtId="222" formatCode="General\ &quot;円&quot;"/>
    <numFmt numFmtId="223" formatCode="#,##0&quot; m hank&quot;"/>
    <numFmt numFmtId="224" formatCode="&quot;FWL-&quot;General"/>
    <numFmt numFmtId="225" formatCode="&quot;No. 1-&quot;General"/>
    <numFmt numFmtId="226" formatCode="[$€-2]\ #,##0.00_)&quot;/m&quot;;[Red]\([$€-2]\ #,##0.00\)"/>
    <numFmt numFmtId="227" formatCode="_-* #,##0_-;\-* #,##0_-;_-* &quot;-&quot;_-;_-@_-"/>
    <numFmt numFmtId="228" formatCode="[$$-409]#,##0.00_);\([$$-409]#,##0.00\)"/>
    <numFmt numFmtId="229" formatCode="[$¥-411]#,##0;\-[$¥-411]#,##0"/>
    <numFmt numFmtId="230" formatCode="[$-409]d\-mmm\-yyyy;@"/>
    <numFmt numFmtId="231" formatCode="###0.0&quot; m&quot;"/>
    <numFmt numFmtId="232" formatCode="###0&quot; roll(s)&quot;"/>
    <numFmt numFmtId="233" formatCode="[$$-409]#,##0.00;[$$-409]#,##0.00"/>
    <numFmt numFmtId="234" formatCode="[$-F800]dddd\,\ mmmm\ dd\,\ yyyy"/>
    <numFmt numFmtId="235" formatCode="[$¥-411]#,##0_);\([$¥-411]#,##0\)"/>
    <numFmt numFmtId="236" formatCode="[$€-2]\ #,##0.00_);[Red]\([$€-2]\ #,##0.00\)"/>
    <numFmt numFmtId="237" formatCode="[$€-2]\ #,##0.00;[$€-2]\ #,##0.00"/>
    <numFmt numFmtId="238" formatCode="[$€-2]\ #,##0.00;[$€-2]\ \-#,##0.00"/>
    <numFmt numFmtId="239" formatCode="&quot;SF-0&quot;General"/>
    <numFmt numFmtId="240" formatCode="[$-409]h:mm\ AM/PM;@"/>
    <numFmt numFmtId="241" formatCode="[$€-2]\ #,##0.00;[Red][$€-2]\ \-#,##0.00"/>
    <numFmt numFmtId="242" formatCode="&quot;TRL-&quot;General"/>
    <numFmt numFmtId="243" formatCode="[$€-2]\ #,##0.00;[Red]\-[$€-2]\ #,##0.00"/>
    <numFmt numFmtId="244" formatCode="#,##0&quot; pair&quot;"/>
    <numFmt numFmtId="245" formatCode="General&quot;rolls&quot;"/>
    <numFmt numFmtId="246" formatCode="&quot;abt&quot;\ General\ &quot;m&quot;"/>
    <numFmt numFmtId="247" formatCode="General\ &quot;cm&quot;"/>
    <numFmt numFmtId="248" formatCode="[$JPY]\ #,##0;[Red][$JPY]\ \-#,##0"/>
    <numFmt numFmtId="249" formatCode="&quot;@&quot;#,###.###&quot;-&quot;"/>
    <numFmt numFmtId="250" formatCode="0.0&quot;mm&quot;"/>
    <numFmt numFmtId="251" formatCode="&quot;@&quot;#,###.#####&quot;-&quot;"/>
    <numFmt numFmtId="252" formatCode="&quot;No. 3-&quot;General"/>
    <numFmt numFmtId="253" formatCode="0.0"/>
    <numFmt numFmtId="254" formatCode="&quot;¥&quot;#,##0.00.\-&quot;/m&quot;"/>
    <numFmt numFmtId="255" formatCode="&quot;US$&quot;#,##0.00;[Red]\-&quot;US$&quot;#,##0.00&quot;/m&quot;"/>
    <numFmt numFmtId="256" formatCode="[$€-2]\ #,##0.00_);\([$€-2]\ #,##0.00\)"/>
    <numFmt numFmtId="257" formatCode="&quot;開始行: &quot;#"/>
    <numFmt numFmtId="258" formatCode="&quot;終了行: &quot;#"/>
    <numFmt numFmtId="259" formatCode="&quot;¥&quot;#,##0.\-;\-&quot;¥&quot;#,##0.\-"/>
    <numFmt numFmtId="260" formatCode="\€#,##0.00&quot;/m&quot;"/>
    <numFmt numFmtId="261" formatCode="&quot;US$&quot;#,##0;[Red]\-&quot;US$&quot;#,##0"/>
    <numFmt numFmtId="262" formatCode="\€#,##0&quot;/col&quot;"/>
    <numFmt numFmtId="263" formatCode="0.0%"/>
    <numFmt numFmtId="264" formatCode="&quot;No. 12-&quot;General"/>
    <numFmt numFmtId="265" formatCode="General&quot;m/roll&quot;"/>
    <numFmt numFmtId="266" formatCode="General\ &quot;JPY&quot;"/>
    <numFmt numFmtId="267" formatCode="General\ &quot;mm&quot;"/>
    <numFmt numFmtId="268" formatCode="General\ &quot;m/roll&quot;"/>
    <numFmt numFmtId="269" formatCode="[$€-2]\ #,##0.00;[$€-2]\ \-#,##0.00\ &quot;/m&quot;"/>
    <numFmt numFmtId="270" formatCode="&quot;€&quot;\ General\ &quot;/m&quot;"/>
    <numFmt numFmtId="271" formatCode="&quot;¥&quot;#,##0.0;[Red]&quot;¥&quot;\-#,##0.0"/>
    <numFmt numFmtId="272" formatCode="[$JPY]\ #,##0;[$JPY]\ \-#,##0"/>
    <numFmt numFmtId="273" formatCode="[$JPY]\ #,##0_);[Red]\([$JPY]\ #,##0\)"/>
    <numFmt numFmtId="274" formatCode="&quot;@JPY&quot;#,##0.\-&quot;/m&quot;"/>
    <numFmt numFmtId="275" formatCode="General&quot; roll&quot;"/>
    <numFmt numFmtId="276" formatCode="#,##0.0_ "/>
    <numFmt numFmtId="277" formatCode="#,##0_ "/>
    <numFmt numFmtId="278" formatCode="[$¥-411]#,##0_);[Red]\([$¥-411]#,##0\)"/>
    <numFmt numFmtId="279" formatCode="#,##0\ &quot;m/roll&quot;"/>
    <numFmt numFmtId="280" formatCode="[$¥-411]#,##0.0_);[Red]\([$¥-411]#,##0.0\)"/>
  </numFmts>
  <fonts count="312">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1"/>
      <name val="Arial"/>
      <family val="2"/>
    </font>
    <font>
      <sz val="10"/>
      <name val="Arial"/>
      <family val="2"/>
    </font>
    <font>
      <sz val="12"/>
      <name val="Arial"/>
      <family val="2"/>
    </font>
    <font>
      <sz val="12"/>
      <color indexed="10"/>
      <name val="Arial"/>
      <family val="2"/>
    </font>
    <font>
      <sz val="12"/>
      <color indexed="8"/>
      <name val="Arial"/>
      <family val="2"/>
    </font>
    <font>
      <sz val="12"/>
      <name val="ＭＳ Ｐゴシック"/>
      <family val="3"/>
      <charset val="128"/>
    </font>
    <font>
      <sz val="9"/>
      <color indexed="81"/>
      <name val="ＭＳ Ｐゴシック"/>
      <family val="3"/>
      <charset val="128"/>
    </font>
    <font>
      <b/>
      <sz val="9"/>
      <color indexed="81"/>
      <name val="ＭＳ Ｐゴシック"/>
      <family val="3"/>
      <charset val="128"/>
    </font>
    <font>
      <b/>
      <sz val="11"/>
      <name val="Arial"/>
      <family val="2"/>
    </font>
    <font>
      <sz val="10"/>
      <color indexed="8"/>
      <name val="Arial"/>
      <family val="2"/>
    </font>
    <font>
      <sz val="12"/>
      <name val="Arial  "/>
      <family val="2"/>
    </font>
    <font>
      <b/>
      <sz val="12"/>
      <color indexed="8"/>
      <name val="Arial"/>
      <family val="2"/>
    </font>
    <font>
      <b/>
      <sz val="12"/>
      <name val="Arial"/>
      <family val="2"/>
    </font>
    <font>
      <sz val="11"/>
      <name val="Arial  "/>
      <family val="2"/>
    </font>
    <font>
      <b/>
      <sz val="11"/>
      <name val="ＭＳ Ｐゴシック"/>
      <family val="3"/>
      <charset val="128"/>
    </font>
    <font>
      <sz val="9"/>
      <name val="Arial  "/>
      <family val="2"/>
    </font>
    <font>
      <b/>
      <sz val="11"/>
      <name val="Arial  "/>
      <family val="2"/>
    </font>
    <font>
      <b/>
      <sz val="12"/>
      <name val="ＭＳ Ｐゴシック"/>
      <family val="3"/>
      <charset val="128"/>
    </font>
    <font>
      <sz val="12"/>
      <color indexed="8"/>
      <name val="ＭＳ Ｐゴシック"/>
      <family val="3"/>
      <charset val="128"/>
    </font>
    <font>
      <sz val="9"/>
      <color indexed="81"/>
      <name val="MS P ゴシック"/>
      <family val="3"/>
      <charset val="128"/>
    </font>
    <font>
      <b/>
      <sz val="9"/>
      <color indexed="81"/>
      <name val="MS P ゴシック"/>
      <family val="3"/>
      <charset val="128"/>
    </font>
    <font>
      <sz val="12"/>
      <color indexed="30"/>
      <name val="Arial"/>
      <family val="2"/>
    </font>
    <font>
      <b/>
      <sz val="10"/>
      <color indexed="10"/>
      <name val="Arial"/>
      <family val="2"/>
    </font>
    <font>
      <b/>
      <sz val="10"/>
      <color indexed="10"/>
      <name val="ＭＳ Ｐゴシック"/>
      <family val="3"/>
      <charset val="128"/>
    </font>
    <font>
      <sz val="10"/>
      <name val="ＭＳ Ｐゴシック"/>
      <family val="3"/>
      <charset val="128"/>
    </font>
    <font>
      <sz val="12"/>
      <name val="Arial   "/>
      <family val="2"/>
    </font>
    <font>
      <b/>
      <sz val="10"/>
      <name val="ＭＳ Ｐゴシック"/>
      <family val="3"/>
      <charset val="128"/>
    </font>
    <font>
      <b/>
      <sz val="12"/>
      <name val="Arial   "/>
      <family val="2"/>
    </font>
    <font>
      <sz val="8"/>
      <name val="Arial  "/>
      <family val="2"/>
    </font>
    <font>
      <sz val="8"/>
      <name val="ＭＳ Ｐゴシック"/>
      <family val="3"/>
      <charset val="128"/>
    </font>
    <font>
      <sz val="10"/>
      <name val="Arial  "/>
      <family val="2"/>
    </font>
    <font>
      <b/>
      <sz val="12"/>
      <name val="Arial  "/>
      <family val="2"/>
    </font>
    <font>
      <b/>
      <sz val="12"/>
      <color indexed="8"/>
      <name val="ＭＳ Ｐゴシック"/>
      <family val="3"/>
      <charset val="128"/>
    </font>
    <font>
      <b/>
      <sz val="10"/>
      <name val="Arial"/>
      <family val="2"/>
    </font>
    <font>
      <sz val="11"/>
      <name val="Arial   "/>
      <family val="2"/>
    </font>
    <font>
      <sz val="12"/>
      <color indexed="8"/>
      <name val="Arial  "/>
      <family val="2"/>
    </font>
    <font>
      <sz val="10"/>
      <color indexed="30"/>
      <name val="Arial"/>
      <family val="2"/>
    </font>
    <font>
      <sz val="11"/>
      <color indexed="8"/>
      <name val="ＭＳ Ｐゴシック"/>
      <family val="3"/>
      <charset val="128"/>
    </font>
    <font>
      <sz val="10"/>
      <color indexed="10"/>
      <name val="Arial"/>
      <family val="2"/>
    </font>
    <font>
      <sz val="10"/>
      <name val="游ゴシック"/>
      <family val="3"/>
      <charset val="128"/>
    </font>
    <font>
      <sz val="10"/>
      <color indexed="10"/>
      <name val="ＭＳ Ｐゴシック"/>
      <family val="3"/>
      <charset val="128"/>
    </font>
    <font>
      <b/>
      <sz val="11"/>
      <name val="arial    "/>
      <family val="2"/>
    </font>
    <font>
      <sz val="11"/>
      <color indexed="10"/>
      <name val="Arial"/>
      <family val="2"/>
    </font>
    <font>
      <sz val="11"/>
      <color indexed="10"/>
      <name val="ＭＳ Ｐゴシック"/>
      <family val="3"/>
      <charset val="128"/>
    </font>
    <font>
      <b/>
      <sz val="10"/>
      <name val="arial    "/>
      <family val="2"/>
    </font>
    <font>
      <sz val="10"/>
      <name val="Arial   "/>
      <family val="2"/>
    </font>
    <font>
      <b/>
      <sz val="10"/>
      <name val="Arial  "/>
      <family val="2"/>
    </font>
    <font>
      <b/>
      <sz val="10"/>
      <name val="Arial   "/>
      <family val="2"/>
    </font>
    <font>
      <sz val="10"/>
      <color indexed="8"/>
      <name val="Arial   "/>
      <family val="2"/>
    </font>
    <font>
      <sz val="10"/>
      <color indexed="8"/>
      <name val="ＭＳ Ｐゴシック"/>
      <family val="3"/>
      <charset val="128"/>
    </font>
    <font>
      <sz val="11"/>
      <color indexed="10"/>
      <name val="Arial  "/>
      <family val="2"/>
    </font>
    <font>
      <sz val="10"/>
      <color indexed="8"/>
      <name val="Times New Roman"/>
      <family val="1"/>
    </font>
    <font>
      <sz val="10"/>
      <name val="Times New Roman"/>
      <family val="1"/>
    </font>
    <font>
      <sz val="12"/>
      <name val="游ゴシック"/>
      <family val="3"/>
      <charset val="128"/>
    </font>
    <font>
      <sz val="6"/>
      <name val="ＭＳ Ｐゴシック"/>
      <family val="3"/>
      <charset val="128"/>
    </font>
    <font>
      <b/>
      <sz val="12"/>
      <color indexed="8"/>
      <name val="Times New Roman"/>
      <family val="1"/>
    </font>
    <font>
      <sz val="11"/>
      <name val="Times New Roman"/>
      <family val="1"/>
    </font>
    <font>
      <b/>
      <sz val="20"/>
      <name val="Times New Roman"/>
      <family val="1"/>
    </font>
    <font>
      <b/>
      <sz val="11"/>
      <name val="Times New Roman"/>
      <family val="1"/>
    </font>
    <font>
      <b/>
      <sz val="12"/>
      <name val="Times New Roman"/>
      <family val="1"/>
    </font>
    <font>
      <sz val="11"/>
      <color theme="1"/>
      <name val="ＭＳ Ｐゴシック"/>
      <family val="3"/>
      <charset val="128"/>
      <scheme val="minor"/>
    </font>
    <font>
      <sz val="12"/>
      <color rgb="FF7030A0"/>
      <name val="Arial"/>
      <family val="2"/>
    </font>
    <font>
      <sz val="12"/>
      <color theme="1"/>
      <name val="Arial"/>
      <family val="2"/>
    </font>
    <font>
      <b/>
      <sz val="12"/>
      <color theme="1"/>
      <name val="Arial"/>
      <family val="2"/>
    </font>
    <font>
      <sz val="12"/>
      <color rgb="FF0070C0"/>
      <name val="Arial"/>
      <family val="2"/>
    </font>
    <font>
      <sz val="10"/>
      <color theme="1"/>
      <name val="Arial"/>
      <family val="2"/>
    </font>
    <font>
      <sz val="12"/>
      <color theme="9" tint="-0.249977111117893"/>
      <name val="Arial"/>
      <family val="2"/>
    </font>
    <font>
      <sz val="11"/>
      <color theme="1"/>
      <name val="Arial"/>
      <family val="2"/>
    </font>
    <font>
      <sz val="11"/>
      <color rgb="FF7030A0"/>
      <name val="Arial"/>
      <family val="2"/>
    </font>
    <font>
      <sz val="11"/>
      <color theme="9" tint="-0.249977111117893"/>
      <name val="Arial"/>
      <family val="2"/>
    </font>
    <font>
      <sz val="11"/>
      <color rgb="FFFF0000"/>
      <name val="Arial"/>
      <family val="2"/>
    </font>
    <font>
      <sz val="12"/>
      <color rgb="FFFF0000"/>
      <name val="Arial"/>
      <family val="2"/>
    </font>
    <font>
      <b/>
      <sz val="12"/>
      <color rgb="FF0070C0"/>
      <name val="Arial"/>
      <family val="2"/>
    </font>
    <font>
      <b/>
      <sz val="11"/>
      <color rgb="FFFF0000"/>
      <name val="Arial"/>
      <family val="2"/>
    </font>
    <font>
      <sz val="11"/>
      <color theme="1"/>
      <name val="Arial  "/>
      <family val="2"/>
    </font>
    <font>
      <b/>
      <sz val="11"/>
      <color rgb="FF000000"/>
      <name val="Arial"/>
      <family val="2"/>
    </font>
    <font>
      <b/>
      <sz val="12"/>
      <color rgb="FF000000"/>
      <name val="Arial"/>
      <family val="2"/>
    </font>
    <font>
      <sz val="12"/>
      <color rgb="FF000000"/>
      <name val="Arial"/>
      <family val="2"/>
    </font>
    <font>
      <sz val="10"/>
      <color theme="7" tint="-0.249977111117893"/>
      <name val="Arial"/>
      <family val="2"/>
    </font>
    <font>
      <sz val="10"/>
      <color rgb="FFFF0000"/>
      <name val="Arial"/>
      <family val="2"/>
    </font>
    <font>
      <b/>
      <sz val="11"/>
      <color rgb="FF0070C0"/>
      <name val="Arial"/>
      <family val="2"/>
    </font>
    <font>
      <sz val="12"/>
      <color rgb="FFFF00FF"/>
      <name val="Arial"/>
      <family val="2"/>
    </font>
    <font>
      <sz val="11"/>
      <color theme="1"/>
      <name val="Arial   "/>
      <family val="2"/>
    </font>
    <font>
      <sz val="9"/>
      <color theme="0" tint="-4.9989318521683403E-2"/>
      <name val="Arial  "/>
      <family val="2"/>
    </font>
    <font>
      <b/>
      <sz val="10"/>
      <color rgb="FFFF0000"/>
      <name val="ＭＳ Ｐゴシック"/>
      <family val="3"/>
      <charset val="128"/>
    </font>
    <font>
      <b/>
      <sz val="12"/>
      <color theme="1"/>
      <name val="Arial  "/>
      <family val="2"/>
    </font>
    <font>
      <b/>
      <sz val="12"/>
      <color rgb="FFFFFF00"/>
      <name val="ＭＳ Ｐゴシック"/>
      <family val="3"/>
      <charset val="128"/>
    </font>
    <font>
      <b/>
      <sz val="12"/>
      <color rgb="FFFFFF00"/>
      <name val="Arial"/>
      <family val="2"/>
    </font>
    <font>
      <sz val="10"/>
      <color rgb="FF000000"/>
      <name val="Arial"/>
      <family val="2"/>
    </font>
    <font>
      <sz val="10"/>
      <color theme="9" tint="-0.249977111117893"/>
      <name val="Arial"/>
      <family val="2"/>
    </font>
    <font>
      <sz val="12"/>
      <color rgb="FF000000"/>
      <name val="Arial  "/>
      <family val="2"/>
    </font>
    <font>
      <sz val="11"/>
      <color theme="1"/>
      <name val="Calibri"/>
      <family val="2"/>
    </font>
    <font>
      <b/>
      <sz val="11"/>
      <color theme="1"/>
      <name val="Arial  "/>
      <family val="2"/>
    </font>
    <font>
      <sz val="12"/>
      <color rgb="FF000000"/>
      <name val="arial    "/>
      <family val="2"/>
    </font>
    <font>
      <sz val="11"/>
      <color theme="1"/>
      <name val="arial    "/>
      <family val="2"/>
    </font>
    <font>
      <b/>
      <sz val="11"/>
      <color theme="1"/>
      <name val="arial    "/>
      <family val="2"/>
    </font>
    <font>
      <sz val="12"/>
      <color theme="1"/>
      <name val="Arial   "/>
      <family val="2"/>
    </font>
    <font>
      <sz val="10"/>
      <color rgb="FF000000"/>
      <name val="Arial  "/>
      <family val="2"/>
    </font>
    <font>
      <b/>
      <sz val="10"/>
      <color theme="1"/>
      <name val="Arial"/>
      <family val="2"/>
    </font>
    <font>
      <b/>
      <sz val="10"/>
      <color theme="1"/>
      <name val="Arial  "/>
      <family val="2"/>
    </font>
    <font>
      <sz val="10"/>
      <color theme="1"/>
      <name val="Arial   "/>
      <family val="2"/>
    </font>
    <font>
      <sz val="10"/>
      <color rgb="FF0070C0"/>
      <name val="Arial"/>
      <family val="2"/>
    </font>
    <font>
      <b/>
      <sz val="10"/>
      <color theme="1"/>
      <name val="arial    "/>
      <family val="2"/>
    </font>
    <font>
      <sz val="10"/>
      <color rgb="FF000000"/>
      <name val="arial    "/>
      <family val="2"/>
    </font>
    <font>
      <sz val="10"/>
      <color theme="1"/>
      <name val="Arial  "/>
      <family val="2"/>
    </font>
    <font>
      <sz val="12"/>
      <color theme="1"/>
      <name val="Arial  "/>
      <family val="2"/>
    </font>
    <font>
      <b/>
      <sz val="10"/>
      <color rgb="FF0070C0"/>
      <name val="Arial  "/>
      <family val="2"/>
    </font>
    <font>
      <sz val="10"/>
      <color rgb="FFFF0000"/>
      <name val="Arial  "/>
      <family val="2"/>
    </font>
    <font>
      <sz val="11"/>
      <color theme="1"/>
      <name val="ＭＳ Ｐゴシック"/>
      <family val="3"/>
      <charset val="128"/>
    </font>
    <font>
      <sz val="10"/>
      <color theme="1"/>
      <name val="arial    "/>
      <family val="2"/>
    </font>
    <font>
      <sz val="12"/>
      <color theme="9" tint="-0.249977111117893"/>
      <name val="Arial  "/>
      <family val="2"/>
    </font>
    <font>
      <sz val="10"/>
      <color rgb="FF0070C0"/>
      <name val="Arial  "/>
      <family val="2"/>
    </font>
    <font>
      <sz val="10"/>
      <color theme="1"/>
      <name val="Times New Roman"/>
      <family val="1"/>
    </font>
    <font>
      <sz val="10"/>
      <color rgb="FF000000"/>
      <name val="ＭＳ Ｐゴシック"/>
      <family val="3"/>
      <charset val="128"/>
    </font>
    <font>
      <sz val="9"/>
      <color theme="1"/>
      <name val="Times New Roman"/>
      <family val="1"/>
    </font>
    <font>
      <u/>
      <sz val="9"/>
      <color theme="1"/>
      <name val="Times New Roman"/>
      <family val="1"/>
    </font>
    <font>
      <b/>
      <sz val="9"/>
      <color theme="1"/>
      <name val="Times New Roman"/>
      <family val="1"/>
    </font>
    <font>
      <b/>
      <sz val="20"/>
      <color theme="1"/>
      <name val="Times New Roman"/>
      <family val="1"/>
    </font>
    <font>
      <sz val="14"/>
      <color theme="1"/>
      <name val="Times New Roman"/>
      <family val="1"/>
    </font>
    <font>
      <sz val="9"/>
      <color theme="0" tint="-4.9989318521683403E-2"/>
      <name val="ＭＳ Ｐゴシック"/>
      <family val="3"/>
      <charset val="128"/>
    </font>
    <font>
      <b/>
      <sz val="11"/>
      <color rgb="FF0070C0"/>
      <name val="Arial  "/>
      <family val="2"/>
    </font>
    <font>
      <sz val="11"/>
      <color theme="1"/>
      <name val="Times New Roman"/>
      <family val="1"/>
    </font>
    <font>
      <b/>
      <sz val="11"/>
      <color theme="1"/>
      <name val="Times New Roman"/>
      <family val="1"/>
    </font>
    <font>
      <sz val="11"/>
      <name val="ｔ"/>
      <family val="3"/>
      <charset val="128"/>
    </font>
    <font>
      <sz val="11"/>
      <name val="ＭＳ Ｐ明朝"/>
      <family val="1"/>
      <charset val="128"/>
    </font>
    <font>
      <sz val="11"/>
      <name val="Yu Gothic"/>
      <family val="3"/>
      <charset val="128"/>
    </font>
    <font>
      <sz val="11"/>
      <name val="Times New Roman"/>
      <family val="3"/>
      <charset val="128"/>
    </font>
    <font>
      <b/>
      <sz val="14"/>
      <name val="Times New Roman"/>
      <family val="1"/>
    </font>
    <font>
      <sz val="11"/>
      <color rgb="FFFF0000"/>
      <name val="Times New Roman"/>
      <family val="1"/>
    </font>
    <font>
      <u/>
      <sz val="11"/>
      <name val="Times New Roman"/>
      <family val="1"/>
    </font>
    <font>
      <b/>
      <u/>
      <sz val="11"/>
      <name val="Times New Roman"/>
      <family val="1"/>
    </font>
    <font>
      <sz val="11"/>
      <color rgb="FF000000"/>
      <name val="Times New Roman"/>
      <family val="1"/>
    </font>
    <font>
      <sz val="11"/>
      <color rgb="FF000000"/>
      <name val="ＭＳ Ｐ明朝"/>
      <family val="1"/>
      <charset val="128"/>
    </font>
    <font>
      <sz val="11"/>
      <name val="MS UI Gothic"/>
      <family val="3"/>
      <charset val="128"/>
    </font>
    <font>
      <sz val="11"/>
      <name val="Yu Gothic"/>
      <family val="1"/>
      <charset val="128"/>
    </font>
    <font>
      <b/>
      <sz val="16"/>
      <name val="ＭＳ Ｐゴシック"/>
      <family val="3"/>
      <charset val="128"/>
      <scheme val="minor"/>
    </font>
    <font>
      <sz val="11"/>
      <name val="ＭＳ Ｐゴシック"/>
      <family val="3"/>
      <charset val="128"/>
      <scheme val="minor"/>
    </font>
    <font>
      <sz val="11"/>
      <color rgb="FFFF0000"/>
      <name val="ＭＳ Ｐゴシック"/>
      <family val="3"/>
      <charset val="128"/>
      <scheme val="minor"/>
    </font>
    <font>
      <b/>
      <u/>
      <sz val="11"/>
      <color rgb="FFFF0000"/>
      <name val="ＭＳ Ｐゴシック"/>
      <family val="3"/>
      <charset val="128"/>
      <scheme val="minor"/>
    </font>
    <font>
      <b/>
      <u/>
      <sz val="11"/>
      <name val="ＭＳ Ｐゴシック"/>
      <family val="3"/>
      <charset val="128"/>
      <scheme val="minor"/>
    </font>
    <font>
      <b/>
      <u/>
      <sz val="20"/>
      <name val="ＭＳ Ｐゴシック"/>
      <family val="3"/>
      <charset val="128"/>
      <scheme val="minor"/>
    </font>
    <font>
      <b/>
      <sz val="11"/>
      <name val="ＭＳ Ｐゴシック"/>
      <family val="3"/>
      <charset val="128"/>
      <scheme val="minor"/>
    </font>
    <font>
      <sz val="11"/>
      <color theme="0"/>
      <name val="ＭＳ Ｐゴシック"/>
      <family val="3"/>
      <charset val="128"/>
      <scheme val="minor"/>
    </font>
    <font>
      <b/>
      <sz val="14"/>
      <color rgb="FF000000"/>
      <name val="ＭＳ Ｐゴシック"/>
      <family val="3"/>
      <charset val="128"/>
    </font>
    <font>
      <b/>
      <sz val="11"/>
      <name val="MS UI Gothic"/>
      <family val="3"/>
      <charset val="128"/>
    </font>
    <font>
      <b/>
      <sz val="11"/>
      <color rgb="FFFF0000"/>
      <name val="ＭＳ Ｐゴシック"/>
      <family val="3"/>
      <charset val="128"/>
      <scheme val="minor"/>
    </font>
    <font>
      <sz val="9"/>
      <name val="Arial"/>
      <family val="2"/>
    </font>
    <font>
      <sz val="10"/>
      <color theme="7" tint="-0.249977111117893"/>
      <name val="Arial  "/>
      <family val="2"/>
    </font>
    <font>
      <sz val="11"/>
      <color rgb="FF00B050"/>
      <name val="Arial"/>
      <family val="2"/>
    </font>
    <font>
      <b/>
      <sz val="11"/>
      <color rgb="FFFF0000"/>
      <name val="Arial  "/>
      <family val="2"/>
    </font>
    <font>
      <b/>
      <sz val="11"/>
      <color rgb="FF00B050"/>
      <name val="Arial  "/>
      <family val="2"/>
    </font>
    <font>
      <sz val="10"/>
      <color rgb="FF7030A0"/>
      <name val="Arial"/>
      <family val="2"/>
    </font>
    <font>
      <sz val="12"/>
      <color theme="7" tint="-0.249977111117893"/>
      <name val="Arial  "/>
      <family val="2"/>
    </font>
    <font>
      <b/>
      <sz val="14"/>
      <color rgb="FFFF0000"/>
      <name val="Arial  "/>
      <family val="2"/>
    </font>
    <font>
      <b/>
      <sz val="14"/>
      <name val="Arial  "/>
      <family val="2"/>
    </font>
    <font>
      <b/>
      <sz val="14"/>
      <color rgb="FFFF0000"/>
      <name val="ＭＳ Ｐゴシック"/>
      <family val="3"/>
      <charset val="128"/>
    </font>
    <font>
      <sz val="12"/>
      <color rgb="FFFF0000"/>
      <name val="Arial  "/>
      <family val="2"/>
    </font>
    <font>
      <sz val="10"/>
      <color rgb="FF7030A0"/>
      <name val="Arial  "/>
      <family val="2"/>
    </font>
    <font>
      <b/>
      <sz val="11"/>
      <color indexed="10"/>
      <name val="Arial"/>
      <family val="2"/>
    </font>
    <font>
      <b/>
      <sz val="11"/>
      <color theme="1"/>
      <name val="Arial"/>
      <family val="2"/>
    </font>
    <font>
      <b/>
      <sz val="11"/>
      <color indexed="30"/>
      <name val="Arial  "/>
      <family val="2"/>
    </font>
    <font>
      <b/>
      <sz val="11"/>
      <color indexed="10"/>
      <name val="Arial  "/>
      <family val="2"/>
    </font>
    <font>
      <b/>
      <sz val="11"/>
      <color indexed="30"/>
      <name val="Arial"/>
      <family val="2"/>
    </font>
    <font>
      <sz val="11"/>
      <color indexed="8"/>
      <name val="Arial  "/>
      <family val="2"/>
    </font>
    <font>
      <b/>
      <sz val="12"/>
      <color rgb="FFFF00FF"/>
      <name val="Arial"/>
      <family val="2"/>
    </font>
    <font>
      <sz val="12"/>
      <color indexed="14"/>
      <name val="Arial"/>
      <family val="2"/>
    </font>
    <font>
      <b/>
      <sz val="11"/>
      <color rgb="FFFF00FF"/>
      <name val="Arial"/>
      <family val="2"/>
    </font>
    <font>
      <b/>
      <sz val="12"/>
      <color rgb="FF000000"/>
      <name val="ＭＳ Ｐゴシック"/>
      <family val="3"/>
      <charset val="128"/>
    </font>
    <font>
      <b/>
      <sz val="12"/>
      <color rgb="FF000000"/>
      <name val="Arial  "/>
      <family val="2"/>
    </font>
    <font>
      <sz val="11"/>
      <color rgb="FFFF0000"/>
      <name val="Arial  "/>
      <family val="2"/>
    </font>
    <font>
      <b/>
      <sz val="11"/>
      <color theme="1"/>
      <name val="ＭＳ Ｐゴシック"/>
      <family val="3"/>
      <charset val="128"/>
    </font>
    <font>
      <b/>
      <sz val="11"/>
      <color indexed="8"/>
      <name val="ＭＳ Ｐゴシック"/>
      <family val="3"/>
      <charset val="128"/>
    </font>
    <font>
      <b/>
      <sz val="11"/>
      <color indexed="8"/>
      <name val="Arial  "/>
      <family val="2"/>
    </font>
    <font>
      <sz val="14"/>
      <name val="Arial  "/>
      <family val="2"/>
    </font>
    <font>
      <sz val="14"/>
      <color theme="1"/>
      <name val="Arial  "/>
      <family val="2"/>
    </font>
    <font>
      <sz val="14"/>
      <color indexed="8"/>
      <name val="ＭＳ Ｐゴシック"/>
      <family val="3"/>
      <charset val="128"/>
    </font>
    <font>
      <b/>
      <sz val="11"/>
      <color rgb="FF000000"/>
      <name val="Arial  "/>
      <family val="2"/>
    </font>
    <font>
      <b/>
      <sz val="10"/>
      <color rgb="FF000000"/>
      <name val="Arial  "/>
      <family val="2"/>
    </font>
    <font>
      <sz val="10"/>
      <name val="Arial  ]"/>
      <family val="2"/>
    </font>
    <font>
      <sz val="11"/>
      <name val="Arial  ]"/>
      <family val="2"/>
    </font>
    <font>
      <sz val="11"/>
      <name val="游ゴシック"/>
      <family val="3"/>
      <charset val="128"/>
    </font>
    <font>
      <sz val="10"/>
      <name val="arial    "/>
      <family val="2"/>
    </font>
    <font>
      <sz val="10"/>
      <color rgb="FF0070C0"/>
      <name val="arial    "/>
      <family val="2"/>
    </font>
    <font>
      <sz val="11"/>
      <color rgb="FF000000"/>
      <name val="ＭＳ Ｐゴシック"/>
      <family val="3"/>
      <charset val="128"/>
    </font>
    <font>
      <sz val="14"/>
      <name val="ＭＳ Ｐゴシック"/>
      <family val="3"/>
      <charset val="128"/>
      <scheme val="minor"/>
    </font>
    <font>
      <b/>
      <sz val="14"/>
      <name val="ＭＳ Ｐゴシック"/>
      <family val="3"/>
      <charset val="128"/>
      <scheme val="minor"/>
    </font>
    <font>
      <b/>
      <sz val="9"/>
      <color rgb="FFFF0000"/>
      <name val="ＭＳ Ｐゴシック"/>
      <family val="3"/>
      <charset val="128"/>
      <scheme val="minor"/>
    </font>
    <font>
      <sz val="10"/>
      <color theme="9" tint="-0.249977111117893"/>
      <name val="Arial  "/>
      <family val="2"/>
    </font>
    <font>
      <sz val="10"/>
      <name val="Arial  "/>
    </font>
    <font>
      <sz val="6"/>
      <name val="ＭＳ Ｐゴシック"/>
      <family val="2"/>
      <charset val="128"/>
      <scheme val="minor"/>
    </font>
    <font>
      <b/>
      <sz val="10"/>
      <name val="Arial  "/>
    </font>
    <font>
      <b/>
      <sz val="10"/>
      <color rgb="FFFF0000"/>
      <name val="Arial  "/>
      <family val="2"/>
    </font>
    <font>
      <sz val="24"/>
      <color indexed="8"/>
      <name val="Arial"/>
      <family val="2"/>
    </font>
    <font>
      <sz val="11"/>
      <color indexed="8"/>
      <name val="Arial"/>
      <family val="2"/>
    </font>
    <font>
      <sz val="24"/>
      <color indexed="8"/>
      <name val="ＭＳ Ｐゴシック"/>
      <family val="3"/>
      <charset val="128"/>
    </font>
    <font>
      <sz val="20"/>
      <color indexed="8"/>
      <name val="Arial"/>
      <family val="2"/>
    </font>
    <font>
      <sz val="18"/>
      <name val="Arial"/>
      <family val="2"/>
    </font>
    <font>
      <sz val="24"/>
      <name val="Arial"/>
      <family val="2"/>
    </font>
    <font>
      <sz val="12"/>
      <name val="arial    "/>
      <family val="2"/>
    </font>
    <font>
      <b/>
      <sz val="10"/>
      <color rgb="FF0070C0"/>
      <name val="ＭＳ Ｐゴシック"/>
      <family val="3"/>
      <charset val="128"/>
    </font>
    <font>
      <sz val="10"/>
      <name val="Arial"/>
      <family val="2"/>
      <charset val="128"/>
    </font>
    <font>
      <sz val="11"/>
      <name val="Calibri"/>
      <family val="2"/>
    </font>
    <font>
      <b/>
      <sz val="10"/>
      <color rgb="FF000000"/>
      <name val="Arial"/>
      <family val="2"/>
    </font>
    <font>
      <sz val="10"/>
      <name val="Arila "/>
    </font>
    <font>
      <sz val="10"/>
      <name val="Arila "/>
      <family val="2"/>
    </font>
    <font>
      <sz val="12"/>
      <name val="Arial"/>
      <family val="3"/>
      <charset val="128"/>
    </font>
    <font>
      <sz val="10.5"/>
      <color rgb="FF000000"/>
      <name val="Calibri"/>
      <family val="2"/>
    </font>
    <font>
      <sz val="10.5"/>
      <name val="游ゴシック"/>
      <family val="3"/>
      <charset val="128"/>
    </font>
    <font>
      <sz val="11"/>
      <color theme="1"/>
      <name val="Arial  "/>
    </font>
    <font>
      <sz val="11"/>
      <color theme="1"/>
      <name val="游ゴシック"/>
      <family val="3"/>
      <charset val="128"/>
    </font>
    <font>
      <sz val="6"/>
      <name val="ＭＳ Ｐゴシック"/>
      <family val="3"/>
      <charset val="128"/>
      <scheme val="minor"/>
    </font>
    <font>
      <sz val="11"/>
      <color rgb="FF000000"/>
      <name val="Arial  "/>
      <family val="2"/>
    </font>
    <font>
      <sz val="11"/>
      <color theme="1"/>
      <name val="Arial  "/>
      <family val="3"/>
      <charset val="128"/>
    </font>
    <font>
      <sz val="10"/>
      <color rgb="FF1F497D"/>
      <name val="Arial"/>
      <family val="2"/>
    </font>
    <font>
      <sz val="10"/>
      <color rgb="FF000000"/>
      <name val="游ゴシック"/>
      <family val="3"/>
      <charset val="128"/>
    </font>
    <font>
      <sz val="10"/>
      <color rgb="FF000000"/>
      <name val="Arial  "/>
    </font>
    <font>
      <b/>
      <sz val="11"/>
      <color rgb="FF0070C0"/>
      <name val="ＭＳ Ｐゴシック"/>
      <family val="3"/>
      <charset val="128"/>
    </font>
    <font>
      <sz val="11"/>
      <color rgb="FF0070C0"/>
      <name val="ＭＳ Ｐゴシック"/>
      <family val="3"/>
      <charset val="128"/>
    </font>
    <font>
      <sz val="12"/>
      <name val="Arial  "/>
    </font>
    <font>
      <sz val="10"/>
      <color rgb="FF0070C0"/>
      <name val="ＭＳ Ｐゴシック"/>
      <family val="3"/>
      <charset val="128"/>
    </font>
    <font>
      <sz val="10"/>
      <name val="メイリオ"/>
      <family val="3"/>
      <charset val="128"/>
    </font>
    <font>
      <sz val="10"/>
      <color rgb="FFFF0000"/>
      <name val="ＭＳ Ｐゴシック"/>
      <family val="3"/>
      <charset val="128"/>
    </font>
    <font>
      <b/>
      <sz val="10"/>
      <color rgb="FF0070C0"/>
      <name val="Arial"/>
      <family val="2"/>
    </font>
    <font>
      <b/>
      <sz val="11"/>
      <color rgb="FFFF0000"/>
      <name val="ＭＳ Ｐゴシック"/>
      <family val="3"/>
      <charset val="128"/>
    </font>
    <font>
      <b/>
      <sz val="10"/>
      <color theme="1"/>
      <name val="Arial  "/>
      <family val="3"/>
      <charset val="128"/>
    </font>
    <font>
      <b/>
      <sz val="10"/>
      <color theme="1"/>
      <name val="ＭＳ Ｐゴシック"/>
      <family val="3"/>
      <charset val="128"/>
    </font>
    <font>
      <sz val="10"/>
      <color rgb="FF000000"/>
      <name val="Calibri"/>
      <family val="2"/>
    </font>
    <font>
      <sz val="12"/>
      <color rgb="FF7030A0"/>
      <name val="Arial  "/>
      <family val="2"/>
    </font>
    <font>
      <b/>
      <sz val="12"/>
      <color rgb="FF7030A0"/>
      <name val="Arial"/>
      <family val="2"/>
    </font>
    <font>
      <b/>
      <sz val="10"/>
      <color rgb="FFFF0000"/>
      <name val="Arial"/>
      <family val="2"/>
    </font>
    <font>
      <b/>
      <sz val="8"/>
      <color rgb="FF0070C0"/>
      <name val="Arial"/>
      <family val="2"/>
    </font>
    <font>
      <b/>
      <sz val="8"/>
      <color rgb="FF0070C0"/>
      <name val="ＭＳ Ｐゴシック"/>
      <family val="3"/>
      <charset val="128"/>
    </font>
    <font>
      <sz val="10"/>
      <name val="Wingdings"/>
      <charset val="2"/>
    </font>
    <font>
      <sz val="7"/>
      <name val="Times New Roman"/>
      <family val="1"/>
    </font>
    <font>
      <b/>
      <sz val="12"/>
      <color rgb="FF000000"/>
      <name val="Calibri"/>
      <family val="2"/>
    </font>
    <font>
      <sz val="11"/>
      <color rgb="FF000000"/>
      <name val="Calibri"/>
      <family val="2"/>
    </font>
    <font>
      <sz val="11"/>
      <color rgb="FF0070C0"/>
      <name val="Calibri"/>
      <family val="2"/>
    </font>
    <font>
      <sz val="12"/>
      <color rgb="FF0070C0"/>
      <name val="Arial  "/>
      <family val="2"/>
    </font>
    <font>
      <b/>
      <sz val="12"/>
      <color rgb="FFFF00FF"/>
      <name val="Arial  "/>
      <family val="3"/>
      <charset val="128"/>
    </font>
    <font>
      <b/>
      <sz val="12"/>
      <color rgb="FFFF00FF"/>
      <name val="ＭＳ Ｐゴシック"/>
      <family val="3"/>
      <charset val="128"/>
    </font>
    <font>
      <b/>
      <sz val="12"/>
      <color rgb="FFFF00FF"/>
      <name val="Arial  "/>
      <family val="2"/>
    </font>
    <font>
      <b/>
      <sz val="10"/>
      <color rgb="FF000000"/>
      <name val="ＭＳ Ｐゴシック"/>
      <family val="3"/>
      <charset val="128"/>
    </font>
    <font>
      <b/>
      <sz val="12"/>
      <color rgb="FF0070C0"/>
      <name val="Arial  "/>
      <family val="2"/>
    </font>
    <font>
      <sz val="12"/>
      <color rgb="FFFF00FF"/>
      <name val="Arial  "/>
      <family val="2"/>
    </font>
    <font>
      <b/>
      <sz val="10"/>
      <color rgb="FF000000"/>
      <name val="Arial  "/>
    </font>
    <font>
      <sz val="12"/>
      <color rgb="FF0070C0"/>
      <name val="ＭＳ Ｐゴシック"/>
      <family val="3"/>
      <charset val="128"/>
    </font>
    <font>
      <b/>
      <sz val="10"/>
      <name val="Arial"/>
      <family val="3"/>
      <charset val="128"/>
    </font>
    <font>
      <sz val="10"/>
      <name val="Arial"/>
      <family val="3"/>
      <charset val="128"/>
    </font>
    <font>
      <sz val="10"/>
      <color rgb="FF0070C0"/>
      <name val="Arial  "/>
    </font>
    <font>
      <sz val="10"/>
      <name val="BIZ UDPゴシック"/>
      <family val="3"/>
      <charset val="128"/>
    </font>
    <font>
      <b/>
      <sz val="10"/>
      <color rgb="FF0070C0"/>
      <name val="BIZ UDPゴシック"/>
      <family val="3"/>
      <charset val="128"/>
    </font>
    <font>
      <b/>
      <sz val="10"/>
      <color rgb="FF0070C0"/>
      <name val="Arial  "/>
    </font>
    <font>
      <b/>
      <sz val="10"/>
      <name val="Arial  "/>
      <family val="3"/>
      <charset val="128"/>
    </font>
    <font>
      <b/>
      <sz val="10"/>
      <name val="Arial  "/>
      <family val="2"/>
      <charset val="128"/>
    </font>
    <font>
      <sz val="12"/>
      <color rgb="FF00B050"/>
      <name val="Arial"/>
      <family val="2"/>
    </font>
    <font>
      <sz val="11"/>
      <color rgb="FF00B050"/>
      <name val="ＭＳ Ｐゴシック"/>
      <family val="3"/>
      <charset val="128"/>
    </font>
    <font>
      <b/>
      <sz val="12"/>
      <color theme="9" tint="-0.249977111117893"/>
      <name val="Arial"/>
      <family val="2"/>
    </font>
    <font>
      <sz val="12"/>
      <color theme="7"/>
      <name val="Arial"/>
      <family val="2"/>
    </font>
    <font>
      <sz val="11"/>
      <color rgb="FFFF0000"/>
      <name val="ＭＳ Ｐゴシック"/>
      <family val="3"/>
      <charset val="128"/>
    </font>
    <font>
      <b/>
      <sz val="12"/>
      <color rgb="FF00B050"/>
      <name val="ＭＳ Ｐゴシック"/>
      <family val="3"/>
      <charset val="128"/>
    </font>
    <font>
      <sz val="10"/>
      <name val="Arial  "/>
      <family val="3"/>
      <charset val="128"/>
    </font>
    <font>
      <b/>
      <sz val="11"/>
      <name val="ＭＳ Ｐゴシック"/>
      <family val="2"/>
      <charset val="128"/>
    </font>
    <font>
      <sz val="10"/>
      <name val="ＭＳ Ｐゴシック"/>
      <family val="2"/>
      <charset val="128"/>
    </font>
    <font>
      <b/>
      <sz val="10"/>
      <name val="ＭＳ Ｐゴシック"/>
      <family val="2"/>
      <charset val="128"/>
    </font>
    <font>
      <b/>
      <sz val="10"/>
      <name val="Arial"/>
      <family val="2"/>
      <charset val="128"/>
    </font>
    <font>
      <b/>
      <sz val="10"/>
      <color theme="1"/>
      <name val="Arial  "/>
      <family val="2"/>
      <charset val="128"/>
    </font>
    <font>
      <sz val="12"/>
      <color theme="1"/>
      <name val="ＭＳ Ｐゴシック"/>
      <family val="3"/>
      <charset val="128"/>
    </font>
    <font>
      <b/>
      <sz val="8"/>
      <color rgb="FF0070C0"/>
      <name val="ＭＳ Ｐゴシック"/>
      <family val="2"/>
      <charset val="128"/>
    </font>
    <font>
      <sz val="11"/>
      <name val="Times New Roman"/>
      <family val="3"/>
    </font>
    <font>
      <b/>
      <sz val="11"/>
      <color rgb="FF7030A0"/>
      <name val="Arial"/>
      <family val="2"/>
    </font>
    <font>
      <b/>
      <sz val="11"/>
      <color theme="0"/>
      <name val="ＭＳ Ｐゴシック"/>
      <family val="3"/>
      <charset val="128"/>
      <scheme val="minor"/>
    </font>
    <font>
      <sz val="10"/>
      <name val="ＭＳ ゴシック"/>
      <family val="3"/>
      <charset val="128"/>
    </font>
    <font>
      <sz val="10.5"/>
      <name val="メイリオ"/>
      <family val="3"/>
      <charset val="128"/>
    </font>
    <font>
      <b/>
      <sz val="10"/>
      <color theme="1"/>
      <name val="Arial  "/>
      <family val="2"/>
      <charset val="129"/>
    </font>
    <font>
      <b/>
      <sz val="10"/>
      <color theme="1"/>
      <name val="Malgun Gothic"/>
      <family val="2"/>
      <charset val="129"/>
    </font>
    <font>
      <b/>
      <sz val="10"/>
      <color theme="1"/>
      <name val="Microsoft JhengHei"/>
      <family val="2"/>
      <charset val="136"/>
    </font>
    <font>
      <sz val="12"/>
      <name val="ＭＳ Ｐゴシック"/>
      <family val="2"/>
      <charset val="128"/>
    </font>
    <font>
      <sz val="9"/>
      <name val="ＭＳ Ｐゴシック"/>
      <family val="3"/>
      <charset val="128"/>
    </font>
    <font>
      <sz val="6"/>
      <name val="Arial  "/>
      <family val="2"/>
    </font>
    <font>
      <u/>
      <sz val="10"/>
      <name val="Arial  "/>
      <family val="2"/>
    </font>
    <font>
      <b/>
      <sz val="10"/>
      <name val="ＭＳ ゴシック"/>
      <family val="3"/>
      <charset val="128"/>
    </font>
    <font>
      <b/>
      <sz val="12"/>
      <color rgb="FF000000"/>
      <name val="Arial  "/>
    </font>
    <font>
      <sz val="11"/>
      <color rgb="FF000000"/>
      <name val="游ゴシック"/>
      <family val="3"/>
      <charset val="128"/>
    </font>
    <font>
      <b/>
      <sz val="14"/>
      <color indexed="81"/>
      <name val="MS P ゴシック"/>
      <family val="3"/>
      <charset val="128"/>
    </font>
    <font>
      <sz val="14"/>
      <color indexed="81"/>
      <name val="MS P ゴシック"/>
      <family val="3"/>
      <charset val="128"/>
    </font>
    <font>
      <b/>
      <sz val="10"/>
      <name val="Arial Black"/>
      <family val="2"/>
    </font>
    <font>
      <sz val="12"/>
      <color theme="1"/>
      <name val="Arial  "/>
    </font>
    <font>
      <b/>
      <sz val="10"/>
      <name val="Yu Gothic"/>
      <family val="2"/>
      <charset val="128"/>
    </font>
    <font>
      <sz val="11"/>
      <name val="Arial  "/>
    </font>
    <font>
      <sz val="10"/>
      <color rgb="FF000000"/>
      <name val="Arial   "/>
      <family val="2"/>
    </font>
    <font>
      <sz val="12"/>
      <name val="游ゴシック"/>
      <family val="2"/>
      <charset val="128"/>
    </font>
    <font>
      <sz val="10"/>
      <color theme="1"/>
      <name val="Arial  "/>
    </font>
    <font>
      <sz val="10"/>
      <color theme="1"/>
      <name val="ＭＳ Ｐゴシック"/>
      <family val="2"/>
      <charset val="128"/>
    </font>
    <font>
      <sz val="10"/>
      <color rgb="FFFF0000"/>
      <name val="ＭＳ Ｐゴシック"/>
      <family val="2"/>
      <charset val="128"/>
    </font>
    <font>
      <b/>
      <sz val="12"/>
      <name val="Arial  "/>
    </font>
    <font>
      <b/>
      <sz val="12"/>
      <color theme="9" tint="-0.249977111117893"/>
      <name val="ＭＳ Ｐゴシック"/>
      <family val="3"/>
      <charset val="128"/>
    </font>
    <font>
      <b/>
      <sz val="12"/>
      <color rgb="FF0070C0"/>
      <name val="ＭＳ Ｐゴシック"/>
      <family val="3"/>
      <charset val="128"/>
    </font>
    <font>
      <b/>
      <sz val="12"/>
      <color theme="9" tint="-0.249977111117893"/>
      <name val="Arial  "/>
      <family val="2"/>
    </font>
    <font>
      <u/>
      <sz val="11"/>
      <color theme="10"/>
      <name val="ＭＳ Ｐゴシック"/>
      <family val="3"/>
      <charset val="128"/>
    </font>
    <font>
      <sz val="10"/>
      <color rgb="FF000000"/>
      <name val="Arial  "/>
      <family val="2"/>
      <charset val="1"/>
    </font>
    <font>
      <sz val="10"/>
      <color rgb="FF000000"/>
      <name val="ＭＳ ゴシック"/>
      <family val="3"/>
      <charset val="128"/>
    </font>
    <font>
      <sz val="12"/>
      <color rgb="FF000000"/>
      <name val="Calibri"/>
      <family val="2"/>
    </font>
    <font>
      <sz val="12"/>
      <color rgb="FF000000"/>
      <name val="ＭＳ Ｐゴシック"/>
      <family val="3"/>
      <charset val="128"/>
    </font>
    <font>
      <sz val="10"/>
      <color rgb="FF000000"/>
      <name val="Yu Gothic UI"/>
      <family val="3"/>
      <charset val="128"/>
    </font>
    <font>
      <b/>
      <u/>
      <sz val="10"/>
      <color rgb="FF000000"/>
      <name val="Arial"/>
      <family val="2"/>
    </font>
    <font>
      <sz val="10"/>
      <color rgb="FF000000"/>
      <name val="Wingdings"/>
      <charset val="2"/>
    </font>
    <font>
      <sz val="7"/>
      <color rgb="FF000000"/>
      <name val="Times New Roman"/>
      <family val="1"/>
    </font>
  </fonts>
  <fills count="2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2CC"/>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rgb="FFFF00FF"/>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5" tint="0.39997558519241921"/>
        <bgColor indexed="64"/>
      </patternFill>
    </fill>
    <fill>
      <patternFill patternType="solid">
        <fgColor theme="1"/>
        <bgColor indexed="64"/>
      </patternFill>
    </fill>
    <fill>
      <patternFill patternType="solid">
        <fgColor rgb="FFF2F2F2"/>
        <bgColor indexed="64"/>
      </patternFill>
    </fill>
    <fill>
      <patternFill patternType="solid">
        <fgColor rgb="FFFFFFFF"/>
        <bgColor indexed="64"/>
      </patternFill>
    </fill>
    <fill>
      <patternFill patternType="solid">
        <fgColor theme="8" tint="0.59999389629810485"/>
        <bgColor indexed="64"/>
      </patternFill>
    </fill>
  </fills>
  <borders count="1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ck">
        <color indexed="64"/>
      </left>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medium">
        <color indexed="64"/>
      </right>
      <top/>
      <bottom/>
      <diagonal/>
    </border>
    <border>
      <left/>
      <right style="thin">
        <color indexed="64"/>
      </right>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bottom style="hair">
        <color indexed="64"/>
      </bottom>
      <diagonal/>
    </border>
    <border>
      <left/>
      <right style="thin">
        <color indexed="64"/>
      </right>
      <top/>
      <bottom style="hair">
        <color indexed="64"/>
      </bottom>
      <diagonal/>
    </border>
    <border>
      <left/>
      <right/>
      <top style="thin">
        <color indexed="64"/>
      </top>
      <bottom/>
      <diagonal/>
    </border>
    <border>
      <left/>
      <right/>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diagonal/>
    </border>
    <border>
      <left/>
      <right/>
      <top/>
      <bottom style="double">
        <color indexed="64"/>
      </bottom>
      <diagonal/>
    </border>
    <border>
      <left style="thin">
        <color indexed="64"/>
      </left>
      <right/>
      <top style="hair">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bottom style="double">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double">
        <color indexed="64"/>
      </bottom>
      <diagonal/>
    </border>
    <border>
      <left/>
      <right style="hair">
        <color indexed="64"/>
      </right>
      <top/>
      <bottom style="double">
        <color indexed="64"/>
      </bottom>
      <diagonal/>
    </border>
    <border>
      <left style="hair">
        <color indexed="64"/>
      </left>
      <right/>
      <top style="hair">
        <color indexed="64"/>
      </top>
      <bottom style="hair">
        <color indexed="64"/>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bottom style="hair">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double">
        <color indexed="64"/>
      </bottom>
      <diagonal/>
    </border>
    <border>
      <left style="thin">
        <color indexed="64"/>
      </left>
      <right style="thin">
        <color indexed="64"/>
      </right>
      <top/>
      <bottom style="hair">
        <color indexed="64"/>
      </bottom>
      <diagonal/>
    </border>
    <border>
      <left style="thin">
        <color indexed="64"/>
      </left>
      <right/>
      <top style="thin">
        <color indexed="64"/>
      </top>
      <bottom/>
      <diagonal/>
    </border>
    <border>
      <left style="thin">
        <color indexed="64"/>
      </left>
      <right/>
      <top/>
      <bottom/>
      <diagonal/>
    </border>
    <border>
      <left style="hair">
        <color indexed="64"/>
      </left>
      <right/>
      <top style="thin">
        <color indexed="64"/>
      </top>
      <bottom style="hair">
        <color indexed="64"/>
      </bottom>
      <diagonal/>
    </border>
    <border>
      <left style="hair">
        <color indexed="64"/>
      </left>
      <right/>
      <top/>
      <bottom style="hair">
        <color indexed="64"/>
      </bottom>
      <diagonal/>
    </border>
    <border>
      <left style="thin">
        <color indexed="64"/>
      </left>
      <right/>
      <top style="hair">
        <color indexed="64"/>
      </top>
      <bottom style="thin">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right style="thin">
        <color indexed="64"/>
      </right>
      <top style="thin">
        <color indexed="64"/>
      </top>
      <bottom/>
      <diagonal/>
    </border>
    <border>
      <left/>
      <right style="hair">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
      <left style="thin">
        <color indexed="64"/>
      </left>
      <right/>
      <top style="medium">
        <color indexed="64"/>
      </top>
      <bottom style="medium">
        <color indexed="64"/>
      </bottom>
      <diagonal/>
    </border>
    <border>
      <left style="hair">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hair">
        <color indexed="64"/>
      </left>
      <right/>
      <top style="hair">
        <color indexed="64"/>
      </top>
      <bottom style="double">
        <color indexed="64"/>
      </bottom>
      <diagonal/>
    </border>
    <border>
      <left/>
      <right style="hair">
        <color indexed="64"/>
      </right>
      <top style="thin">
        <color indexed="64"/>
      </top>
      <bottom style="double">
        <color indexed="64"/>
      </bottom>
      <diagonal/>
    </border>
    <border>
      <left style="thin">
        <color indexed="64"/>
      </left>
      <right/>
      <top style="thin">
        <color indexed="64"/>
      </top>
      <bottom style="double">
        <color indexed="64"/>
      </bottom>
      <diagonal/>
    </border>
    <border>
      <left/>
      <right style="hair">
        <color indexed="64"/>
      </right>
      <top/>
      <bottom style="hair">
        <color indexed="64"/>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right style="thin">
        <color indexed="64"/>
      </right>
      <top style="double">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hair">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hair">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hair">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top style="thin">
        <color indexed="64"/>
      </top>
      <bottom style="dotted">
        <color indexed="64"/>
      </bottom>
      <diagonal/>
    </border>
    <border>
      <left style="thin">
        <color indexed="64"/>
      </left>
      <right/>
      <top style="dotted">
        <color indexed="64"/>
      </top>
      <bottom style="thin">
        <color indexed="64"/>
      </bottom>
      <diagonal/>
    </border>
    <border>
      <left style="thin">
        <color indexed="64"/>
      </left>
      <right/>
      <top style="dotted">
        <color indexed="64"/>
      </top>
      <bottom style="dotted">
        <color indexed="64"/>
      </bottom>
      <diagonal/>
    </border>
    <border>
      <left style="dotted">
        <color indexed="64"/>
      </left>
      <right/>
      <top style="dotted">
        <color indexed="64"/>
      </top>
      <bottom style="thin">
        <color indexed="64"/>
      </bottom>
      <diagonal/>
    </border>
    <border>
      <left style="dotted">
        <color indexed="64"/>
      </left>
      <right/>
      <top style="dotted">
        <color indexed="64"/>
      </top>
      <bottom style="dotted">
        <color indexed="64"/>
      </bottom>
      <diagonal/>
    </border>
    <border>
      <left style="thin">
        <color indexed="64"/>
      </left>
      <right/>
      <top style="dotted">
        <color indexed="64"/>
      </top>
      <bottom style="double">
        <color indexed="64"/>
      </bottom>
      <diagonal/>
    </border>
    <border>
      <left/>
      <right style="thin">
        <color indexed="64"/>
      </right>
      <top style="dotted">
        <color indexed="64"/>
      </top>
      <bottom style="double">
        <color indexed="64"/>
      </bottom>
      <diagonal/>
    </border>
    <border>
      <left/>
      <right/>
      <top style="dotted">
        <color indexed="64"/>
      </top>
      <bottom style="double">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dotted">
        <color indexed="64"/>
      </left>
      <right/>
      <top style="thin">
        <color indexed="64"/>
      </top>
      <bottom style="double">
        <color indexed="64"/>
      </bottom>
      <diagonal/>
    </border>
    <border>
      <left style="thin">
        <color indexed="64"/>
      </left>
      <right/>
      <top style="double">
        <color indexed="64"/>
      </top>
      <bottom style="dotted">
        <color indexed="64"/>
      </bottom>
      <diagonal/>
    </border>
    <border>
      <left style="thin">
        <color indexed="64"/>
      </left>
      <right style="thin">
        <color indexed="64"/>
      </right>
      <top style="double">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double">
        <color indexed="64"/>
      </top>
      <bottom style="dotted">
        <color indexed="64"/>
      </bottom>
      <diagonal/>
    </border>
    <border>
      <left/>
      <right style="thin">
        <color indexed="64"/>
      </right>
      <top style="double">
        <color indexed="64"/>
      </top>
      <bottom style="dotted">
        <color indexed="64"/>
      </bottom>
      <diagonal/>
    </border>
    <border>
      <left style="thin">
        <color indexed="64"/>
      </left>
      <right style="thin">
        <color indexed="64"/>
      </right>
      <top style="dotted">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dotted">
        <color indexed="64"/>
      </bottom>
      <diagonal/>
    </border>
    <border>
      <left/>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thin">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top style="dotted">
        <color indexed="64"/>
      </top>
      <bottom style="medium">
        <color indexed="64"/>
      </bottom>
      <diagonal/>
    </border>
    <border>
      <left/>
      <right/>
      <top style="dotted">
        <color indexed="64"/>
      </top>
      <bottom style="medium">
        <color indexed="64"/>
      </bottom>
      <diagonal/>
    </border>
    <border>
      <left/>
      <right style="medium">
        <color indexed="64"/>
      </right>
      <top style="dotted">
        <color indexed="64"/>
      </top>
      <bottom style="medium">
        <color indexed="64"/>
      </bottom>
      <diagonal/>
    </border>
    <border>
      <left style="thin">
        <color indexed="64"/>
      </left>
      <right/>
      <top style="thin">
        <color indexed="64"/>
      </top>
      <bottom style="medium">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double">
        <color indexed="64"/>
      </top>
      <bottom style="dotted">
        <color indexed="64"/>
      </bottom>
      <diagonal/>
    </border>
    <border>
      <left style="thin">
        <color indexed="64"/>
      </left>
      <right style="medium">
        <color indexed="64"/>
      </right>
      <top style="double">
        <color indexed="64"/>
      </top>
      <bottom style="dotted">
        <color indexed="64"/>
      </bottom>
      <diagonal/>
    </border>
    <border>
      <left style="thick">
        <color indexed="64"/>
      </left>
      <right style="thick">
        <color indexed="64"/>
      </right>
      <top/>
      <bottom/>
      <diagonal/>
    </border>
    <border>
      <left/>
      <right style="medium">
        <color indexed="64"/>
      </right>
      <top style="medium">
        <color indexed="64"/>
      </top>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medium">
        <color rgb="FF000000"/>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ck">
        <color indexed="64"/>
      </left>
      <right style="thick">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s>
  <cellStyleXfs count="33">
    <xf numFmtId="0" fontId="0" fillId="0" borderId="0">
      <alignment vertical="center"/>
    </xf>
    <xf numFmtId="0" fontId="3" fillId="0" borderId="0"/>
    <xf numFmtId="38" fontId="42" fillId="0" borderId="0" applyFont="0" applyFill="0" applyBorder="0" applyAlignment="0" applyProtection="0">
      <alignment vertical="center"/>
    </xf>
    <xf numFmtId="227" fontId="65" fillId="0" borderId="0" applyFont="0" applyFill="0" applyBorder="0" applyAlignment="0" applyProtection="0"/>
    <xf numFmtId="6" fontId="3" fillId="0" borderId="0" applyFont="0" applyFill="0" applyBorder="0" applyAlignment="0" applyProtection="0">
      <alignment vertical="center"/>
    </xf>
    <xf numFmtId="207" fontId="65" fillId="0" borderId="0" applyFont="0" applyFill="0" applyBorder="0" applyAlignment="0" applyProtection="0">
      <alignment vertical="center"/>
    </xf>
    <xf numFmtId="207" fontId="3" fillId="0" borderId="0" applyFont="0" applyFill="0" applyBorder="0" applyAlignment="0" applyProtection="0">
      <alignment vertical="center"/>
    </xf>
    <xf numFmtId="0" fontId="65" fillId="0" borderId="0">
      <alignment vertical="center"/>
    </xf>
    <xf numFmtId="0" fontId="65" fillId="0" borderId="0">
      <alignment vertical="center"/>
    </xf>
    <xf numFmtId="0" fontId="42" fillId="0" borderId="0" applyNumberFormat="0" applyFill="0" applyBorder="0" applyAlignment="0" applyProtection="0">
      <alignment vertical="center"/>
    </xf>
    <xf numFmtId="0" fontId="65" fillId="0" borderId="0">
      <alignment vertical="center"/>
    </xf>
    <xf numFmtId="0" fontId="65" fillId="0" borderId="0"/>
    <xf numFmtId="0" fontId="29" fillId="0" borderId="0"/>
    <xf numFmtId="0" fontId="96" fillId="0" borderId="0">
      <alignment vertical="center"/>
    </xf>
    <xf numFmtId="0" fontId="3" fillId="0" borderId="0"/>
    <xf numFmtId="0" fontId="3" fillId="0" borderId="0">
      <alignment vertical="center"/>
    </xf>
    <xf numFmtId="9" fontId="3" fillId="0" borderId="0" applyFont="0" applyFill="0" applyBorder="0" applyAlignment="0" applyProtection="0">
      <alignment vertical="center"/>
    </xf>
    <xf numFmtId="6" fontId="3" fillId="0" borderId="0" applyFont="0" applyFill="0" applyBorder="0" applyAlignment="0" applyProtection="0">
      <alignment vertical="center"/>
    </xf>
    <xf numFmtId="6" fontId="3" fillId="0" borderId="0" applyFont="0" applyFill="0" applyBorder="0" applyAlignment="0" applyProtection="0">
      <alignment vertical="center"/>
    </xf>
    <xf numFmtId="6" fontId="65" fillId="0" borderId="0" applyFont="0" applyFill="0" applyBorder="0" applyAlignment="0" applyProtection="0">
      <alignment vertical="center"/>
    </xf>
    <xf numFmtId="38" fontId="65" fillId="0" borderId="0" applyFont="0" applyFill="0" applyBorder="0" applyAlignment="0" applyProtection="0">
      <alignment vertical="center"/>
    </xf>
    <xf numFmtId="0" fontId="3" fillId="0" borderId="0"/>
    <xf numFmtId="0" fontId="3" fillId="0" borderId="0"/>
    <xf numFmtId="38" fontId="3" fillId="0" borderId="0" applyFont="0" applyFill="0" applyBorder="0" applyAlignment="0" applyProtection="0">
      <alignment vertical="center"/>
    </xf>
    <xf numFmtId="0" fontId="3" fillId="0" borderId="0"/>
    <xf numFmtId="6" fontId="3" fillId="0" borderId="0" applyFont="0" applyFill="0" applyBorder="0" applyAlignment="0" applyProtection="0">
      <alignment vertical="center"/>
    </xf>
    <xf numFmtId="6" fontId="65" fillId="0" borderId="0" applyFont="0" applyFill="0" applyBorder="0" applyAlignment="0" applyProtection="0">
      <alignment vertical="center"/>
    </xf>
    <xf numFmtId="6" fontId="3" fillId="0" borderId="0" applyFont="0" applyFill="0" applyBorder="0" applyAlignment="0" applyProtection="0">
      <alignment vertical="center"/>
    </xf>
    <xf numFmtId="6" fontId="3" fillId="0" borderId="0" applyFont="0" applyFill="0" applyBorder="0" applyAlignment="0" applyProtection="0">
      <alignment vertical="center"/>
    </xf>
    <xf numFmtId="6" fontId="65" fillId="0" borderId="0" applyFont="0" applyFill="0" applyBorder="0" applyAlignment="0" applyProtection="0">
      <alignment vertical="center"/>
    </xf>
    <xf numFmtId="0" fontId="2" fillId="0" borderId="0">
      <alignment vertical="center"/>
    </xf>
    <xf numFmtId="0" fontId="1" fillId="0" borderId="0">
      <alignment vertical="center"/>
    </xf>
    <xf numFmtId="0" fontId="303" fillId="0" borderId="0" applyNumberFormat="0" applyFill="0" applyBorder="0" applyAlignment="0" applyProtection="0">
      <alignment vertical="center"/>
    </xf>
  </cellStyleXfs>
  <cellXfs count="2278">
    <xf numFmtId="0" fontId="0" fillId="0" borderId="0" xfId="0">
      <alignment vertical="center"/>
    </xf>
    <xf numFmtId="0" fontId="5" fillId="0" borderId="0" xfId="0" applyFont="1">
      <alignment vertical="center"/>
    </xf>
    <xf numFmtId="179" fontId="5" fillId="0" borderId="0" xfId="0" applyNumberFormat="1" applyFont="1">
      <alignment vertical="center"/>
    </xf>
    <xf numFmtId="183" fontId="6" fillId="0" borderId="0" xfId="0" applyNumberFormat="1" applyFont="1" applyAlignment="1">
      <alignment horizontal="left" vertical="center"/>
    </xf>
    <xf numFmtId="49" fontId="6" fillId="0" borderId="1" xfId="0" applyNumberFormat="1" applyFont="1" applyBorder="1" applyAlignment="1">
      <alignment horizontal="left" vertical="center"/>
    </xf>
    <xf numFmtId="0" fontId="5" fillId="0" borderId="2" xfId="0" applyFont="1" applyBorder="1" applyAlignment="1">
      <alignment horizontal="center" vertical="center"/>
    </xf>
    <xf numFmtId="49" fontId="7" fillId="0" borderId="1" xfId="0" applyNumberFormat="1" applyFont="1" applyBorder="1" applyAlignment="1">
      <alignment horizontal="left" vertical="center"/>
    </xf>
    <xf numFmtId="0" fontId="7" fillId="0" borderId="0" xfId="0" applyFont="1">
      <alignment vertical="center"/>
    </xf>
    <xf numFmtId="178" fontId="7" fillId="0" borderId="1" xfId="0" applyNumberFormat="1" applyFont="1" applyBorder="1" applyAlignment="1">
      <alignment horizontal="right" vertical="center"/>
    </xf>
    <xf numFmtId="0" fontId="9" fillId="0" borderId="3" xfId="0" applyFont="1" applyBorder="1" applyAlignment="1">
      <alignment horizontal="center"/>
    </xf>
    <xf numFmtId="179" fontId="7" fillId="0" borderId="1" xfId="0" applyNumberFormat="1" applyFont="1" applyBorder="1" applyAlignment="1">
      <alignment horizontal="center" vertical="center" wrapText="1"/>
    </xf>
    <xf numFmtId="0" fontId="7" fillId="0" borderId="0" xfId="0" applyFont="1" applyAlignment="1">
      <alignment horizontal="center" vertical="center"/>
    </xf>
    <xf numFmtId="179" fontId="66" fillId="0" borderId="1" xfId="0" applyNumberFormat="1" applyFont="1" applyBorder="1" applyAlignment="1">
      <alignment horizontal="center" vertical="center"/>
    </xf>
    <xf numFmtId="0" fontId="7" fillId="0" borderId="1" xfId="0" applyFont="1" applyBorder="1">
      <alignment vertical="center"/>
    </xf>
    <xf numFmtId="188" fontId="7" fillId="0" borderId="1" xfId="0" applyNumberFormat="1" applyFont="1" applyBorder="1" applyAlignment="1"/>
    <xf numFmtId="0" fontId="9" fillId="0" borderId="1" xfId="0" applyFont="1" applyBorder="1" applyAlignment="1">
      <alignment horizontal="center"/>
    </xf>
    <xf numFmtId="0" fontId="7" fillId="0" borderId="0" xfId="0" applyFont="1" applyAlignment="1"/>
    <xf numFmtId="184" fontId="67" fillId="0" borderId="1" xfId="0" applyNumberFormat="1" applyFont="1" applyBorder="1" applyAlignment="1">
      <alignment horizontal="right" vertical="center"/>
    </xf>
    <xf numFmtId="0" fontId="7" fillId="0" borderId="1" xfId="0" applyFont="1" applyBorder="1" applyAlignment="1">
      <alignment horizontal="left" vertical="center"/>
    </xf>
    <xf numFmtId="0" fontId="7" fillId="0" borderId="1" xfId="0" applyFont="1" applyBorder="1" applyAlignment="1"/>
    <xf numFmtId="186" fontId="7" fillId="0" borderId="1" xfId="0" applyNumberFormat="1" applyFont="1" applyBorder="1">
      <alignment vertical="center"/>
    </xf>
    <xf numFmtId="0" fontId="7" fillId="0" borderId="1" xfId="0" applyFont="1" applyBorder="1" applyAlignment="1">
      <alignment horizontal="center" vertical="center"/>
    </xf>
    <xf numFmtId="191" fontId="67" fillId="0" borderId="1" xfId="0" applyNumberFormat="1" applyFont="1" applyBorder="1">
      <alignment vertical="center"/>
    </xf>
    <xf numFmtId="188" fontId="7" fillId="0" borderId="1" xfId="0" applyNumberFormat="1" applyFont="1" applyBorder="1" applyAlignment="1">
      <alignment horizontal="center"/>
    </xf>
    <xf numFmtId="0" fontId="69" fillId="0" borderId="1" xfId="0" applyFont="1" applyBorder="1" applyAlignment="1">
      <alignment horizontal="center" vertical="center"/>
    </xf>
    <xf numFmtId="0" fontId="5" fillId="0" borderId="0" xfId="0" applyFont="1" applyAlignment="1">
      <alignment horizontal="center" vertical="center"/>
    </xf>
    <xf numFmtId="188" fontId="7" fillId="0" borderId="1" xfId="0" applyNumberFormat="1" applyFont="1" applyBorder="1" applyAlignment="1">
      <alignment horizontal="center" vertical="center"/>
    </xf>
    <xf numFmtId="49" fontId="7" fillId="0" borderId="1" xfId="0" applyNumberFormat="1" applyFont="1" applyBorder="1" applyAlignment="1">
      <alignment horizontal="center" vertical="center"/>
    </xf>
    <xf numFmtId="0" fontId="7" fillId="0" borderId="1" xfId="0" applyFont="1" applyBorder="1" applyAlignment="1">
      <alignment horizontal="center"/>
    </xf>
    <xf numFmtId="178" fontId="5" fillId="0" borderId="1" xfId="0" applyNumberFormat="1" applyFont="1" applyBorder="1" applyAlignment="1">
      <alignment horizontal="right" vertical="center"/>
    </xf>
    <xf numFmtId="185" fontId="5" fillId="0" borderId="1" xfId="0" applyNumberFormat="1" applyFont="1" applyBorder="1" applyAlignment="1">
      <alignment horizontal="right" vertical="center"/>
    </xf>
    <xf numFmtId="180" fontId="5" fillId="0" borderId="1" xfId="0" applyNumberFormat="1" applyFont="1" applyBorder="1" applyAlignment="1">
      <alignment horizontal="right" vertical="center"/>
    </xf>
    <xf numFmtId="192" fontId="13" fillId="0" borderId="1" xfId="0" applyNumberFormat="1" applyFont="1" applyBorder="1" applyAlignment="1">
      <alignment horizontal="center" vertical="center"/>
    </xf>
    <xf numFmtId="179" fontId="6" fillId="0" borderId="1" xfId="0" applyNumberFormat="1" applyFont="1" applyBorder="1" applyAlignment="1">
      <alignment horizontal="center" vertical="center" wrapText="1"/>
    </xf>
    <xf numFmtId="191" fontId="5" fillId="0" borderId="1" xfId="0" applyNumberFormat="1" applyFont="1" applyBorder="1">
      <alignment vertical="center"/>
    </xf>
    <xf numFmtId="180" fontId="7" fillId="0" borderId="1" xfId="0" applyNumberFormat="1" applyFont="1" applyBorder="1" applyAlignment="1">
      <alignment horizontal="right" vertical="center"/>
    </xf>
    <xf numFmtId="176" fontId="66" fillId="0" borderId="1" xfId="0" applyNumberFormat="1" applyFont="1" applyBorder="1" applyAlignment="1">
      <alignment horizontal="center" vertical="center"/>
    </xf>
    <xf numFmtId="185" fontId="66" fillId="0" borderId="1" xfId="0" applyNumberFormat="1" applyFont="1" applyBorder="1" applyAlignment="1">
      <alignment horizontal="right" vertical="center"/>
    </xf>
    <xf numFmtId="176" fontId="7" fillId="0" borderId="1" xfId="0" applyNumberFormat="1" applyFont="1" applyBorder="1" applyAlignment="1">
      <alignment horizontal="center" vertical="center"/>
    </xf>
    <xf numFmtId="185" fontId="7" fillId="0" borderId="1" xfId="0" applyNumberFormat="1" applyFont="1" applyBorder="1" applyAlignment="1">
      <alignment horizontal="right" vertical="center"/>
    </xf>
    <xf numFmtId="191" fontId="7" fillId="0" borderId="1" xfId="0" applyNumberFormat="1" applyFont="1" applyBorder="1">
      <alignment vertical="center"/>
    </xf>
    <xf numFmtId="0" fontId="6" fillId="0" borderId="1" xfId="0" applyFont="1" applyBorder="1" applyAlignment="1">
      <alignment horizontal="center" vertical="center"/>
    </xf>
    <xf numFmtId="188" fontId="6" fillId="0" borderId="1" xfId="0" applyNumberFormat="1" applyFont="1" applyBorder="1" applyAlignment="1">
      <alignment horizontal="center"/>
    </xf>
    <xf numFmtId="178" fontId="70" fillId="0" borderId="1" xfId="0" applyNumberFormat="1" applyFont="1" applyBorder="1" applyAlignment="1">
      <alignment horizontal="right" vertical="center"/>
    </xf>
    <xf numFmtId="0" fontId="6" fillId="0" borderId="1" xfId="0" applyFont="1" applyBorder="1" applyAlignment="1">
      <alignment horizontal="center"/>
    </xf>
    <xf numFmtId="0" fontId="14" fillId="0" borderId="1" xfId="0" applyFont="1" applyBorder="1" applyAlignment="1">
      <alignment horizontal="center"/>
    </xf>
    <xf numFmtId="193" fontId="5" fillId="0" borderId="1" xfId="0" applyNumberFormat="1" applyFont="1" applyBorder="1">
      <alignment vertical="center"/>
    </xf>
    <xf numFmtId="0" fontId="5" fillId="0" borderId="1" xfId="0" applyFont="1" applyBorder="1" applyAlignment="1">
      <alignment horizontal="center" vertical="center"/>
    </xf>
    <xf numFmtId="0" fontId="71" fillId="0" borderId="1" xfId="0" applyFont="1" applyBorder="1" applyAlignment="1">
      <alignment horizontal="center" vertical="center"/>
    </xf>
    <xf numFmtId="0" fontId="15" fillId="0" borderId="0" xfId="0" applyFont="1">
      <alignment vertical="center"/>
    </xf>
    <xf numFmtId="0" fontId="5" fillId="0" borderId="1" xfId="0" applyFont="1" applyBorder="1">
      <alignment vertical="center"/>
    </xf>
    <xf numFmtId="0" fontId="5" fillId="0" borderId="1" xfId="0" applyFont="1" applyBorder="1" applyAlignment="1">
      <alignment horizontal="left" vertical="center"/>
    </xf>
    <xf numFmtId="187" fontId="5" fillId="0" borderId="1" xfId="0" applyNumberFormat="1" applyFont="1" applyBorder="1">
      <alignment vertical="center"/>
    </xf>
    <xf numFmtId="194" fontId="5" fillId="0" borderId="1" xfId="0" applyNumberFormat="1" applyFont="1" applyBorder="1">
      <alignment vertical="center"/>
    </xf>
    <xf numFmtId="49" fontId="5" fillId="0" borderId="1" xfId="0" applyNumberFormat="1" applyFont="1" applyBorder="1" applyAlignment="1">
      <alignment horizontal="left" vertical="center"/>
    </xf>
    <xf numFmtId="178" fontId="67" fillId="0" borderId="1" xfId="0" applyNumberFormat="1" applyFont="1" applyBorder="1" applyAlignment="1">
      <alignment horizontal="right" vertical="center"/>
    </xf>
    <xf numFmtId="180" fontId="67" fillId="0" borderId="1" xfId="0" applyNumberFormat="1" applyFont="1" applyBorder="1" applyAlignment="1">
      <alignment horizontal="right" vertical="center"/>
    </xf>
    <xf numFmtId="196" fontId="5" fillId="0" borderId="1" xfId="0" applyNumberFormat="1" applyFont="1" applyBorder="1">
      <alignment vertical="center"/>
    </xf>
    <xf numFmtId="0" fontId="5" fillId="0" borderId="3" xfId="0" applyFont="1" applyBorder="1" applyAlignment="1">
      <alignment horizontal="center"/>
    </xf>
    <xf numFmtId="176" fontId="5" fillId="0" borderId="1" xfId="0" applyNumberFormat="1" applyFont="1" applyBorder="1" applyAlignment="1">
      <alignment horizontal="center" vertical="center"/>
    </xf>
    <xf numFmtId="0" fontId="73" fillId="0" borderId="1" xfId="0" applyFont="1" applyBorder="1" applyAlignment="1">
      <alignment horizontal="center" vertical="center"/>
    </xf>
    <xf numFmtId="0" fontId="74" fillId="0" borderId="1" xfId="0" applyFont="1" applyBorder="1" applyAlignment="1">
      <alignment horizontal="center" vertical="center"/>
    </xf>
    <xf numFmtId="198" fontId="5" fillId="0" borderId="1" xfId="0" applyNumberFormat="1" applyFont="1" applyBorder="1">
      <alignment vertical="center"/>
    </xf>
    <xf numFmtId="0" fontId="7" fillId="0" borderId="0" xfId="0" applyFont="1" applyAlignment="1">
      <alignment horizontal="left" vertical="center"/>
    </xf>
    <xf numFmtId="193" fontId="5" fillId="0" borderId="1" xfId="0" applyNumberFormat="1" applyFont="1" applyBorder="1" applyAlignment="1">
      <alignment horizontal="center" vertical="center"/>
    </xf>
    <xf numFmtId="185" fontId="5" fillId="0" borderId="1" xfId="0" applyNumberFormat="1" applyFont="1" applyBorder="1" applyAlignment="1">
      <alignment horizontal="center" vertical="center"/>
    </xf>
    <xf numFmtId="0" fontId="75" fillId="0" borderId="1" xfId="0" applyFont="1" applyBorder="1" applyAlignment="1">
      <alignment horizontal="center" vertical="center"/>
    </xf>
    <xf numFmtId="49" fontId="17" fillId="0" borderId="1" xfId="0" applyNumberFormat="1" applyFont="1" applyBorder="1" applyAlignment="1">
      <alignment horizontal="center" vertical="center"/>
    </xf>
    <xf numFmtId="0" fontId="17" fillId="0" borderId="1" xfId="0" applyFont="1" applyBorder="1" applyAlignment="1">
      <alignment horizontal="center" vertical="center"/>
    </xf>
    <xf numFmtId="49" fontId="5" fillId="0" borderId="1" xfId="0" applyNumberFormat="1" applyFont="1" applyBorder="1" applyAlignment="1">
      <alignment horizontal="center" vertical="center"/>
    </xf>
    <xf numFmtId="0" fontId="7" fillId="0" borderId="1" xfId="0" applyFont="1" applyBorder="1" applyAlignment="1">
      <alignment horizontal="right" vertical="center"/>
    </xf>
    <xf numFmtId="0" fontId="76" fillId="0" borderId="1" xfId="0" applyFont="1" applyBorder="1" applyAlignment="1">
      <alignment horizontal="center" vertical="center"/>
    </xf>
    <xf numFmtId="0" fontId="77" fillId="0" borderId="1" xfId="0" applyFont="1" applyBorder="1" applyAlignment="1">
      <alignment horizontal="center" vertical="center"/>
    </xf>
    <xf numFmtId="179" fontId="66" fillId="0" borderId="1" xfId="0" applyNumberFormat="1" applyFont="1" applyBorder="1" applyAlignment="1">
      <alignment horizontal="center" vertical="center" wrapText="1"/>
    </xf>
    <xf numFmtId="0" fontId="13" fillId="0" borderId="1" xfId="0" applyFont="1" applyBorder="1" applyAlignment="1">
      <alignment horizontal="center" vertical="center"/>
    </xf>
    <xf numFmtId="176" fontId="13" fillId="0" borderId="1" xfId="0" applyNumberFormat="1" applyFont="1" applyBorder="1" applyAlignment="1">
      <alignment horizontal="center" vertical="center"/>
    </xf>
    <xf numFmtId="0" fontId="13" fillId="0" borderId="1" xfId="0" applyFont="1" applyBorder="1" applyAlignment="1">
      <alignment horizontal="center"/>
    </xf>
    <xf numFmtId="193" fontId="5" fillId="0" borderId="1" xfId="0" applyNumberFormat="1" applyFont="1" applyBorder="1" applyAlignment="1">
      <alignment horizontal="right" vertical="center"/>
    </xf>
    <xf numFmtId="0" fontId="18" fillId="0" borderId="1" xfId="0" applyFont="1" applyBorder="1" applyAlignment="1">
      <alignment horizontal="center" vertical="center"/>
    </xf>
    <xf numFmtId="0" fontId="79" fillId="0" borderId="1" xfId="0" applyFont="1" applyBorder="1" applyAlignment="1">
      <alignment horizontal="center" vertical="center"/>
    </xf>
    <xf numFmtId="0" fontId="19" fillId="0" borderId="1" xfId="0" applyFont="1" applyBorder="1" applyAlignment="1">
      <alignment horizontal="center" vertical="center"/>
    </xf>
    <xf numFmtId="0" fontId="66" fillId="0" borderId="1" xfId="0" applyFont="1" applyBorder="1">
      <alignment vertical="center"/>
    </xf>
    <xf numFmtId="191" fontId="7" fillId="0" borderId="1" xfId="0" applyNumberFormat="1" applyFont="1" applyBorder="1" applyAlignment="1">
      <alignment horizontal="center" vertical="center"/>
    </xf>
    <xf numFmtId="0" fontId="7" fillId="0" borderId="0" xfId="0" applyFont="1" applyAlignment="1">
      <alignment horizontal="right" vertical="center"/>
    </xf>
    <xf numFmtId="191" fontId="5" fillId="0" borderId="1" xfId="0" applyNumberFormat="1" applyFont="1" applyBorder="1" applyAlignment="1">
      <alignment horizontal="right" vertical="center"/>
    </xf>
    <xf numFmtId="0" fontId="18" fillId="0" borderId="1" xfId="0" applyFont="1" applyBorder="1">
      <alignment vertical="center"/>
    </xf>
    <xf numFmtId="189" fontId="7" fillId="0" borderId="1" xfId="0" applyNumberFormat="1" applyFont="1" applyBorder="1" applyAlignment="1"/>
    <xf numFmtId="0" fontId="17" fillId="0" borderId="0" xfId="0" applyFont="1" applyAlignment="1">
      <alignment horizontal="center" vertical="center"/>
    </xf>
    <xf numFmtId="49" fontId="7" fillId="0" borderId="0" xfId="0" applyNumberFormat="1" applyFont="1" applyAlignment="1">
      <alignment horizontal="center" vertical="center"/>
    </xf>
    <xf numFmtId="0" fontId="17" fillId="0" borderId="1" xfId="0" applyFont="1" applyBorder="1" applyAlignment="1">
      <alignment horizontal="center"/>
    </xf>
    <xf numFmtId="49" fontId="7" fillId="0" borderId="1" xfId="0" applyNumberFormat="1" applyFont="1" applyBorder="1" applyAlignment="1">
      <alignment horizontal="center"/>
    </xf>
    <xf numFmtId="203" fontId="7" fillId="0" borderId="1" xfId="0" applyNumberFormat="1" applyFont="1" applyBorder="1" applyAlignment="1"/>
    <xf numFmtId="187" fontId="7" fillId="0" borderId="1" xfId="0" applyNumberFormat="1" applyFont="1" applyBorder="1">
      <alignment vertical="center"/>
    </xf>
    <xf numFmtId="193" fontId="7" fillId="0" borderId="1" xfId="0" applyNumberFormat="1" applyFont="1" applyBorder="1">
      <alignment vertical="center"/>
    </xf>
    <xf numFmtId="194" fontId="7" fillId="0" borderId="1" xfId="0" applyNumberFormat="1" applyFont="1" applyBorder="1">
      <alignment vertical="center"/>
    </xf>
    <xf numFmtId="0" fontId="7" fillId="0" borderId="3" xfId="0" applyFont="1" applyBorder="1" applyAlignment="1">
      <alignment horizontal="center"/>
    </xf>
    <xf numFmtId="0" fontId="22" fillId="0" borderId="1" xfId="0" applyFont="1" applyBorder="1" applyAlignment="1">
      <alignment horizontal="center" vertical="center"/>
    </xf>
    <xf numFmtId="191" fontId="17" fillId="0" borderId="1" xfId="0" applyNumberFormat="1" applyFont="1" applyBorder="1" applyAlignment="1">
      <alignment horizontal="center" vertical="center"/>
    </xf>
    <xf numFmtId="0" fontId="81" fillId="0" borderId="5" xfId="0" applyFont="1" applyBorder="1" applyAlignment="1">
      <alignment horizontal="center" vertical="center"/>
    </xf>
    <xf numFmtId="0" fontId="81" fillId="0" borderId="1" xfId="0" applyFont="1" applyBorder="1" applyAlignment="1">
      <alignment horizontal="center" vertical="center"/>
    </xf>
    <xf numFmtId="186" fontId="67" fillId="0" borderId="1" xfId="0" applyNumberFormat="1" applyFont="1" applyBorder="1">
      <alignment vertical="center"/>
    </xf>
    <xf numFmtId="188" fontId="7" fillId="4" borderId="1" xfId="0" applyNumberFormat="1" applyFont="1" applyFill="1" applyBorder="1" applyAlignment="1">
      <alignment horizontal="center"/>
    </xf>
    <xf numFmtId="0" fontId="7" fillId="4" borderId="1" xfId="0" applyFont="1" applyFill="1" applyBorder="1" applyAlignment="1">
      <alignment horizontal="center" vertical="center"/>
    </xf>
    <xf numFmtId="49" fontId="7" fillId="3" borderId="1" xfId="0" applyNumberFormat="1" applyFont="1" applyFill="1" applyBorder="1" applyAlignment="1">
      <alignment horizontal="left" vertical="center"/>
    </xf>
    <xf numFmtId="191" fontId="7" fillId="0" borderId="0" xfId="0" applyNumberFormat="1" applyFont="1">
      <alignment vertical="center"/>
    </xf>
    <xf numFmtId="176" fontId="7" fillId="4" borderId="1" xfId="0" applyNumberFormat="1" applyFont="1" applyFill="1" applyBorder="1" applyAlignment="1">
      <alignment horizontal="center" vertical="center"/>
    </xf>
    <xf numFmtId="0" fontId="18" fillId="0" borderId="0" xfId="0" applyFont="1">
      <alignment vertical="center"/>
    </xf>
    <xf numFmtId="184" fontId="7" fillId="0" borderId="1" xfId="0" applyNumberFormat="1" applyFont="1" applyBorder="1" applyAlignment="1">
      <alignment horizontal="right" vertical="center"/>
    </xf>
    <xf numFmtId="196" fontId="7" fillId="0" borderId="1" xfId="0" applyNumberFormat="1" applyFont="1" applyBorder="1">
      <alignment vertical="center"/>
    </xf>
    <xf numFmtId="191" fontId="7" fillId="4" borderId="1" xfId="0" applyNumberFormat="1" applyFont="1" applyFill="1" applyBorder="1">
      <alignment vertical="center"/>
    </xf>
    <xf numFmtId="192" fontId="13" fillId="4" borderId="1" xfId="0" applyNumberFormat="1" applyFont="1" applyFill="1" applyBorder="1" applyAlignment="1">
      <alignment horizontal="center" vertical="center"/>
    </xf>
    <xf numFmtId="179" fontId="83" fillId="4" borderId="1" xfId="0" applyNumberFormat="1" applyFont="1" applyFill="1" applyBorder="1" applyAlignment="1">
      <alignment horizontal="center" vertical="center" wrapText="1"/>
    </xf>
    <xf numFmtId="176" fontId="7" fillId="3" borderId="1" xfId="0" applyNumberFormat="1" applyFont="1" applyFill="1" applyBorder="1" applyAlignment="1">
      <alignment horizontal="center" vertical="center"/>
    </xf>
    <xf numFmtId="193" fontId="18" fillId="0" borderId="1" xfId="0" applyNumberFormat="1" applyFont="1" applyBorder="1">
      <alignment vertical="center"/>
    </xf>
    <xf numFmtId="181" fontId="68" fillId="0" borderId="1" xfId="0" applyNumberFormat="1" applyFont="1" applyBorder="1" applyAlignment="1">
      <alignment horizontal="center" vertical="center"/>
    </xf>
    <xf numFmtId="179" fontId="83" fillId="0" borderId="1" xfId="0" applyNumberFormat="1" applyFont="1" applyBorder="1" applyAlignment="1">
      <alignment horizontal="center" vertical="center" wrapText="1"/>
    </xf>
    <xf numFmtId="49" fontId="66" fillId="0" borderId="1" xfId="0" applyNumberFormat="1" applyFont="1" applyBorder="1" applyAlignment="1">
      <alignment horizontal="left" vertical="center"/>
    </xf>
    <xf numFmtId="0" fontId="73" fillId="0" borderId="0" xfId="0" applyFont="1">
      <alignment vertical="center"/>
    </xf>
    <xf numFmtId="0" fontId="66" fillId="0" borderId="0" xfId="0" applyFont="1">
      <alignment vertical="center"/>
    </xf>
    <xf numFmtId="49" fontId="7" fillId="4" borderId="1" xfId="0" applyNumberFormat="1" applyFont="1" applyFill="1" applyBorder="1" applyAlignment="1">
      <alignment horizontal="left" vertical="center"/>
    </xf>
    <xf numFmtId="178" fontId="67" fillId="4" borderId="1" xfId="0" applyNumberFormat="1" applyFont="1" applyFill="1" applyBorder="1" applyAlignment="1">
      <alignment horizontal="right" vertical="center"/>
    </xf>
    <xf numFmtId="0" fontId="7" fillId="4" borderId="0" xfId="0" applyFont="1" applyFill="1">
      <alignment vertical="center"/>
    </xf>
    <xf numFmtId="193" fontId="7" fillId="4" borderId="1" xfId="0" applyNumberFormat="1" applyFont="1" applyFill="1" applyBorder="1">
      <alignment vertical="center"/>
    </xf>
    <xf numFmtId="0" fontId="7" fillId="4" borderId="1" xfId="0" applyFont="1" applyFill="1" applyBorder="1">
      <alignment vertical="center"/>
    </xf>
    <xf numFmtId="0" fontId="71" fillId="4" borderId="1" xfId="0" applyFont="1" applyFill="1" applyBorder="1" applyAlignment="1">
      <alignment horizontal="center" vertical="center"/>
    </xf>
    <xf numFmtId="178" fontId="7" fillId="4" borderId="1" xfId="0" applyNumberFormat="1" applyFont="1" applyFill="1" applyBorder="1" applyAlignment="1">
      <alignment horizontal="right" vertical="center"/>
    </xf>
    <xf numFmtId="0" fontId="66" fillId="0" borderId="1" xfId="0" applyFont="1" applyBorder="1" applyAlignment="1">
      <alignment horizontal="center" vertical="center"/>
    </xf>
    <xf numFmtId="191" fontId="66" fillId="0" borderId="1" xfId="0" applyNumberFormat="1" applyFont="1" applyBorder="1">
      <alignment vertical="center"/>
    </xf>
    <xf numFmtId="186" fontId="7" fillId="0" borderId="0" xfId="0" applyNumberFormat="1" applyFont="1">
      <alignment vertical="center"/>
    </xf>
    <xf numFmtId="194" fontId="7" fillId="4" borderId="1" xfId="0" applyNumberFormat="1" applyFont="1" applyFill="1" applyBorder="1">
      <alignment vertical="center"/>
    </xf>
    <xf numFmtId="0" fontId="7" fillId="4" borderId="0" xfId="0" applyFont="1" applyFill="1" applyAlignment="1">
      <alignment horizontal="center" vertical="center"/>
    </xf>
    <xf numFmtId="0" fontId="0" fillId="0" borderId="1" xfId="0" applyBorder="1">
      <alignment vertical="center"/>
    </xf>
    <xf numFmtId="179" fontId="84" fillId="0" borderId="1" xfId="0" applyNumberFormat="1" applyFont="1" applyBorder="1" applyAlignment="1">
      <alignment horizontal="center" vertical="center" wrapText="1"/>
    </xf>
    <xf numFmtId="49" fontId="7" fillId="0" borderId="9" xfId="0" applyNumberFormat="1" applyFont="1" applyBorder="1" applyAlignment="1">
      <alignment horizontal="left" vertical="center"/>
    </xf>
    <xf numFmtId="188" fontId="7" fillId="0" borderId="1" xfId="0" applyNumberFormat="1" applyFont="1" applyBorder="1" applyAlignment="1">
      <alignment horizontal="right"/>
    </xf>
    <xf numFmtId="193" fontId="7" fillId="0" borderId="1" xfId="0" applyNumberFormat="1" applyFont="1" applyBorder="1" applyAlignment="1">
      <alignment horizontal="center" vertical="center"/>
    </xf>
    <xf numFmtId="176" fontId="6" fillId="0" borderId="1" xfId="0" applyNumberFormat="1" applyFont="1" applyBorder="1" applyAlignment="1">
      <alignment horizontal="center" vertical="center"/>
    </xf>
    <xf numFmtId="176" fontId="18" fillId="0" borderId="1" xfId="0" applyNumberFormat="1" applyFont="1" applyBorder="1" applyAlignment="1">
      <alignment horizontal="center" vertical="center"/>
    </xf>
    <xf numFmtId="0" fontId="9" fillId="0" borderId="0" xfId="0" applyFont="1" applyAlignment="1">
      <alignment horizontal="center"/>
    </xf>
    <xf numFmtId="0" fontId="8" fillId="3" borderId="1" xfId="0" applyFont="1" applyFill="1" applyBorder="1" applyAlignment="1">
      <alignment horizontal="center" vertical="center"/>
    </xf>
    <xf numFmtId="176" fontId="67" fillId="3" borderId="0" xfId="0" applyNumberFormat="1" applyFont="1" applyFill="1" applyAlignment="1">
      <alignment horizontal="center" vertical="center"/>
    </xf>
    <xf numFmtId="177" fontId="8" fillId="3" borderId="1" xfId="0" applyNumberFormat="1" applyFont="1" applyFill="1" applyBorder="1" applyAlignment="1">
      <alignment horizontal="center" vertical="center"/>
    </xf>
    <xf numFmtId="178" fontId="7" fillId="3" borderId="1" xfId="0" applyNumberFormat="1" applyFont="1" applyFill="1" applyBorder="1" applyAlignment="1">
      <alignment horizontal="right" vertical="center"/>
    </xf>
    <xf numFmtId="185" fontId="67" fillId="3" borderId="1" xfId="0" applyNumberFormat="1" applyFont="1" applyFill="1" applyBorder="1" applyAlignment="1">
      <alignment horizontal="right" vertical="center"/>
    </xf>
    <xf numFmtId="182" fontId="8" fillId="3" borderId="1" xfId="0" applyNumberFormat="1" applyFont="1" applyFill="1" applyBorder="1" applyAlignment="1">
      <alignment horizontal="right" vertical="center"/>
    </xf>
    <xf numFmtId="181" fontId="68" fillId="3" borderId="1" xfId="0" applyNumberFormat="1" applyFont="1" applyFill="1" applyBorder="1" applyAlignment="1">
      <alignment horizontal="center" vertical="center"/>
    </xf>
    <xf numFmtId="179" fontId="67" fillId="3" borderId="1" xfId="0" applyNumberFormat="1" applyFont="1" applyFill="1" applyBorder="1" applyAlignment="1">
      <alignment horizontal="center" vertical="center"/>
    </xf>
    <xf numFmtId="0" fontId="77" fillId="0" borderId="1" xfId="0" applyFont="1" applyBorder="1" applyAlignment="1">
      <alignment horizontal="center"/>
    </xf>
    <xf numFmtId="0" fontId="5" fillId="3" borderId="0" xfId="0" applyFont="1" applyFill="1">
      <alignment vertical="center"/>
    </xf>
    <xf numFmtId="49" fontId="7" fillId="7" borderId="1" xfId="0" applyNumberFormat="1" applyFont="1" applyFill="1" applyBorder="1" applyAlignment="1">
      <alignment horizontal="left" vertical="center"/>
    </xf>
    <xf numFmtId="0" fontId="7" fillId="7" borderId="1" xfId="0" applyFont="1" applyFill="1" applyBorder="1">
      <alignment vertical="center"/>
    </xf>
    <xf numFmtId="0" fontId="71" fillId="7" borderId="1" xfId="0" applyFont="1" applyFill="1" applyBorder="1" applyAlignment="1">
      <alignment horizontal="center" vertical="center"/>
    </xf>
    <xf numFmtId="176" fontId="7" fillId="7" borderId="1" xfId="0" applyNumberFormat="1" applyFont="1" applyFill="1" applyBorder="1" applyAlignment="1">
      <alignment horizontal="center" vertical="center"/>
    </xf>
    <xf numFmtId="193" fontId="7" fillId="7" borderId="1" xfId="0" applyNumberFormat="1" applyFont="1" applyFill="1" applyBorder="1">
      <alignment vertical="center"/>
    </xf>
    <xf numFmtId="185" fontId="7" fillId="7" borderId="1" xfId="0" applyNumberFormat="1" applyFont="1" applyFill="1" applyBorder="1" applyAlignment="1">
      <alignment horizontal="right" vertical="center"/>
    </xf>
    <xf numFmtId="194" fontId="7" fillId="7" borderId="1" xfId="0" applyNumberFormat="1" applyFont="1" applyFill="1" applyBorder="1">
      <alignment vertical="center"/>
    </xf>
    <xf numFmtId="192" fontId="13" fillId="7" borderId="1" xfId="0" applyNumberFormat="1" applyFont="1" applyFill="1" applyBorder="1" applyAlignment="1">
      <alignment horizontal="center" vertical="center"/>
    </xf>
    <xf numFmtId="179" fontId="6" fillId="7" borderId="1" xfId="0" applyNumberFormat="1" applyFont="1" applyFill="1" applyBorder="1" applyAlignment="1">
      <alignment horizontal="center" vertical="center" wrapText="1"/>
    </xf>
    <xf numFmtId="179" fontId="83" fillId="7" borderId="1" xfId="0" applyNumberFormat="1" applyFont="1" applyFill="1" applyBorder="1" applyAlignment="1">
      <alignment horizontal="center" vertical="center" wrapText="1"/>
    </xf>
    <xf numFmtId="0" fontId="5" fillId="7" borderId="0" xfId="0" applyFont="1" applyFill="1">
      <alignment vertical="center"/>
    </xf>
    <xf numFmtId="208" fontId="7" fillId="7" borderId="1" xfId="0" applyNumberFormat="1" applyFont="1" applyFill="1" applyBorder="1">
      <alignment vertical="center"/>
    </xf>
    <xf numFmtId="0" fontId="0" fillId="0" borderId="0" xfId="0" applyAlignment="1">
      <alignment horizontal="center" vertical="center"/>
    </xf>
    <xf numFmtId="209" fontId="7" fillId="0" borderId="1" xfId="0" applyNumberFormat="1" applyFont="1" applyBorder="1" applyAlignment="1">
      <alignment horizontal="right" vertical="center"/>
    </xf>
    <xf numFmtId="198" fontId="7" fillId="0" borderId="1" xfId="0" applyNumberFormat="1" applyFont="1" applyBorder="1">
      <alignment vertical="center"/>
    </xf>
    <xf numFmtId="0" fontId="7" fillId="7" borderId="0" xfId="0" applyFont="1" applyFill="1" applyAlignment="1">
      <alignment horizontal="right" vertical="center"/>
    </xf>
    <xf numFmtId="0" fontId="5" fillId="7" borderId="0" xfId="0" applyFont="1" applyFill="1" applyAlignment="1">
      <alignment horizontal="right" vertical="center"/>
    </xf>
    <xf numFmtId="194" fontId="66" fillId="0" borderId="1" xfId="0" applyNumberFormat="1" applyFont="1" applyBorder="1">
      <alignment vertical="center"/>
    </xf>
    <xf numFmtId="49" fontId="7" fillId="8" borderId="1" xfId="0" applyNumberFormat="1" applyFont="1" applyFill="1" applyBorder="1" applyAlignment="1">
      <alignment horizontal="left" vertical="center"/>
    </xf>
    <xf numFmtId="0" fontId="7" fillId="8" borderId="1" xfId="0" applyFont="1" applyFill="1" applyBorder="1">
      <alignment vertical="center"/>
    </xf>
    <xf numFmtId="0" fontId="7" fillId="8" borderId="1" xfId="0" applyFont="1" applyFill="1" applyBorder="1" applyAlignment="1">
      <alignment horizontal="left" vertical="center"/>
    </xf>
    <xf numFmtId="188" fontId="7" fillId="8" borderId="1" xfId="0" applyNumberFormat="1" applyFont="1" applyFill="1" applyBorder="1" applyAlignment="1">
      <alignment horizontal="center"/>
    </xf>
    <xf numFmtId="0" fontId="7" fillId="8" borderId="1" xfId="0" applyFont="1" applyFill="1" applyBorder="1" applyAlignment="1">
      <alignment horizontal="center" vertical="center"/>
    </xf>
    <xf numFmtId="185" fontId="7" fillId="8" borderId="1" xfId="0" applyNumberFormat="1" applyFont="1" applyFill="1" applyBorder="1" applyAlignment="1">
      <alignment horizontal="right" vertical="center"/>
    </xf>
    <xf numFmtId="178" fontId="67" fillId="8" borderId="1" xfId="0" applyNumberFormat="1" applyFont="1" applyFill="1" applyBorder="1" applyAlignment="1">
      <alignment horizontal="right" vertical="center"/>
    </xf>
    <xf numFmtId="180" fontId="67" fillId="8" borderId="1" xfId="0" applyNumberFormat="1" applyFont="1" applyFill="1" applyBorder="1" applyAlignment="1">
      <alignment horizontal="right" vertical="center"/>
    </xf>
    <xf numFmtId="192" fontId="13" fillId="8" borderId="1" xfId="0" applyNumberFormat="1" applyFont="1" applyFill="1" applyBorder="1" applyAlignment="1">
      <alignment horizontal="center" vertical="center"/>
    </xf>
    <xf numFmtId="179" fontId="83" fillId="8" borderId="1" xfId="0" applyNumberFormat="1" applyFont="1" applyFill="1" applyBorder="1" applyAlignment="1">
      <alignment horizontal="center" vertical="center" wrapText="1"/>
    </xf>
    <xf numFmtId="0" fontId="7" fillId="8" borderId="0" xfId="0" applyFont="1" applyFill="1">
      <alignment vertical="center"/>
    </xf>
    <xf numFmtId="0" fontId="19" fillId="0" borderId="0" xfId="0" applyFont="1">
      <alignment vertical="center"/>
    </xf>
    <xf numFmtId="3" fontId="7" fillId="7" borderId="0" xfId="0" applyNumberFormat="1" applyFont="1" applyFill="1" applyAlignment="1">
      <alignment horizontal="right" vertical="center"/>
    </xf>
    <xf numFmtId="0" fontId="7" fillId="3" borderId="1" xfId="0" applyFont="1" applyFill="1" applyBorder="1">
      <alignment vertical="center"/>
    </xf>
    <xf numFmtId="0" fontId="7" fillId="3" borderId="0" xfId="0" applyFont="1" applyFill="1">
      <alignment vertical="center"/>
    </xf>
    <xf numFmtId="185" fontId="7" fillId="3" borderId="1" xfId="0" applyNumberFormat="1" applyFont="1" applyFill="1" applyBorder="1" applyAlignment="1">
      <alignment horizontal="right" vertical="center"/>
    </xf>
    <xf numFmtId="212" fontId="7" fillId="0" borderId="1" xfId="0" applyNumberFormat="1" applyFont="1" applyBorder="1" applyAlignment="1">
      <alignment horizontal="center"/>
    </xf>
    <xf numFmtId="0" fontId="88" fillId="10" borderId="11" xfId="0" applyFont="1" applyFill="1" applyBorder="1" applyAlignment="1">
      <alignment horizontal="center" vertical="center"/>
    </xf>
    <xf numFmtId="0" fontId="88" fillId="10" borderId="3" xfId="0" applyFont="1" applyFill="1" applyBorder="1" applyAlignment="1">
      <alignment horizontal="center" vertical="center"/>
    </xf>
    <xf numFmtId="0" fontId="20" fillId="0" borderId="3" xfId="0" applyFont="1" applyBorder="1" applyAlignment="1">
      <alignment horizontal="center" vertical="center"/>
    </xf>
    <xf numFmtId="0" fontId="20" fillId="0" borderId="11" xfId="0" applyFont="1" applyBorder="1" applyAlignment="1">
      <alignment horizontal="center" vertical="center"/>
    </xf>
    <xf numFmtId="213" fontId="20" fillId="0" borderId="1" xfId="0" applyNumberFormat="1" applyFont="1" applyBorder="1" applyAlignment="1">
      <alignment horizontal="center" vertical="center" shrinkToFit="1"/>
    </xf>
    <xf numFmtId="49" fontId="35" fillId="0" borderId="1" xfId="0" applyNumberFormat="1" applyFont="1" applyBorder="1" applyAlignment="1">
      <alignment horizontal="center" vertical="center" shrinkToFit="1"/>
    </xf>
    <xf numFmtId="213" fontId="33" fillId="0" borderId="1" xfId="0" applyNumberFormat="1" applyFont="1" applyBorder="1" applyAlignment="1">
      <alignment horizontal="center" shrinkToFit="1"/>
    </xf>
    <xf numFmtId="0" fontId="7" fillId="7" borderId="1" xfId="0" applyFont="1" applyFill="1" applyBorder="1" applyAlignment="1">
      <alignment horizontal="center" vertical="center"/>
    </xf>
    <xf numFmtId="179" fontId="89" fillId="4" borderId="1" xfId="0" applyNumberFormat="1" applyFont="1" applyFill="1" applyBorder="1" applyAlignment="1">
      <alignment horizontal="center" vertical="center" wrapText="1"/>
    </xf>
    <xf numFmtId="0" fontId="7" fillId="7" borderId="0" xfId="0" applyFont="1" applyFill="1">
      <alignment vertical="center"/>
    </xf>
    <xf numFmtId="210" fontId="36" fillId="8" borderId="1" xfId="0" applyNumberFormat="1" applyFont="1" applyFill="1" applyBorder="1" applyAlignment="1">
      <alignment horizontal="center" wrapText="1"/>
    </xf>
    <xf numFmtId="0" fontId="17" fillId="8" borderId="1" xfId="0" applyFont="1" applyFill="1" applyBorder="1" applyAlignment="1">
      <alignment horizontal="center" vertical="center"/>
    </xf>
    <xf numFmtId="0" fontId="13" fillId="8" borderId="1" xfId="0" applyFont="1" applyFill="1" applyBorder="1" applyAlignment="1">
      <alignment horizontal="center" vertical="center"/>
    </xf>
    <xf numFmtId="0" fontId="80" fillId="8" borderId="1" xfId="0" applyFont="1" applyFill="1" applyBorder="1" applyAlignment="1">
      <alignment horizontal="center" vertical="center"/>
    </xf>
    <xf numFmtId="178" fontId="7" fillId="0" borderId="10" xfId="0" applyNumberFormat="1" applyFont="1" applyBorder="1" applyAlignment="1">
      <alignment horizontal="center" vertical="center"/>
    </xf>
    <xf numFmtId="178" fontId="18" fillId="0" borderId="1" xfId="0" applyNumberFormat="1" applyFont="1" applyBorder="1">
      <alignment vertical="center"/>
    </xf>
    <xf numFmtId="185" fontId="18" fillId="0" borderId="1" xfId="0" applyNumberFormat="1" applyFont="1" applyBorder="1">
      <alignment vertical="center"/>
    </xf>
    <xf numFmtId="0" fontId="36" fillId="0" borderId="1" xfId="0" applyFont="1" applyBorder="1" applyAlignment="1">
      <alignment horizontal="center" vertical="center"/>
    </xf>
    <xf numFmtId="184" fontId="18" fillId="0" borderId="1" xfId="0" applyNumberFormat="1" applyFont="1" applyBorder="1">
      <alignment vertical="center"/>
    </xf>
    <xf numFmtId="0" fontId="15" fillId="0" borderId="1" xfId="0" applyFont="1" applyBorder="1" applyAlignment="1">
      <alignment horizontal="center" vertical="center"/>
    </xf>
    <xf numFmtId="200" fontId="15" fillId="0" borderId="1" xfId="0" applyNumberFormat="1" applyFont="1" applyBorder="1" applyAlignment="1">
      <alignment horizontal="center" vertical="center"/>
    </xf>
    <xf numFmtId="0" fontId="36" fillId="0" borderId="1" xfId="0" applyFont="1" applyBorder="1" applyAlignment="1">
      <alignment horizontal="center"/>
    </xf>
    <xf numFmtId="191" fontId="7" fillId="0" borderId="10" xfId="0" applyNumberFormat="1" applyFont="1" applyBorder="1" applyAlignment="1">
      <alignment horizontal="center" vertical="center"/>
    </xf>
    <xf numFmtId="0" fontId="0" fillId="0" borderId="1" xfId="0" applyBorder="1" applyAlignment="1">
      <alignment horizontal="center" vertical="center"/>
    </xf>
    <xf numFmtId="179" fontId="31" fillId="0" borderId="1" xfId="0" applyNumberFormat="1" applyFont="1" applyBorder="1" applyAlignment="1">
      <alignment horizontal="center" vertical="center" wrapText="1"/>
    </xf>
    <xf numFmtId="0" fontId="21" fillId="0" borderId="1" xfId="0" applyFont="1" applyBorder="1" applyAlignment="1">
      <alignment horizontal="center" vertical="center"/>
    </xf>
    <xf numFmtId="192" fontId="13" fillId="2" borderId="1" xfId="0" applyNumberFormat="1" applyFont="1" applyFill="1" applyBorder="1" applyAlignment="1">
      <alignment horizontal="center" vertical="center"/>
    </xf>
    <xf numFmtId="179" fontId="83" fillId="2" borderId="1" xfId="0" applyNumberFormat="1" applyFont="1" applyFill="1" applyBorder="1" applyAlignment="1">
      <alignment horizontal="center" vertical="center" wrapText="1"/>
    </xf>
    <xf numFmtId="49" fontId="7" fillId="8" borderId="0" xfId="0" applyNumberFormat="1" applyFont="1" applyFill="1" applyAlignment="1">
      <alignment horizontal="left" vertical="center"/>
    </xf>
    <xf numFmtId="192" fontId="5" fillId="0" borderId="1" xfId="0" applyNumberFormat="1" applyFont="1" applyBorder="1" applyAlignment="1">
      <alignment horizontal="center" vertical="center"/>
    </xf>
    <xf numFmtId="178" fontId="7" fillId="0" borderId="0" xfId="0" applyNumberFormat="1" applyFont="1" applyAlignment="1">
      <alignment horizontal="right" vertical="center"/>
    </xf>
    <xf numFmtId="0" fontId="38" fillId="3" borderId="0" xfId="0" applyFont="1" applyFill="1" applyAlignment="1">
      <alignment horizontal="left" vertical="center"/>
    </xf>
    <xf numFmtId="0" fontId="17" fillId="3" borderId="0" xfId="0" applyFont="1" applyFill="1" applyAlignment="1">
      <alignment horizontal="center" vertical="center"/>
    </xf>
    <xf numFmtId="176" fontId="17" fillId="3" borderId="0" xfId="0" applyNumberFormat="1" applyFont="1" applyFill="1" applyAlignment="1">
      <alignment horizontal="center" vertical="center"/>
    </xf>
    <xf numFmtId="177" fontId="17" fillId="3" borderId="0" xfId="0" applyNumberFormat="1" applyFont="1" applyFill="1" applyAlignment="1">
      <alignment horizontal="center" vertical="center"/>
    </xf>
    <xf numFmtId="178" fontId="17" fillId="3" borderId="0" xfId="0" applyNumberFormat="1" applyFont="1" applyFill="1" applyAlignment="1">
      <alignment horizontal="right" vertical="center"/>
    </xf>
    <xf numFmtId="185" fontId="17" fillId="3" borderId="0" xfId="0" applyNumberFormat="1" applyFont="1" applyFill="1" applyAlignment="1">
      <alignment horizontal="right" vertical="center"/>
    </xf>
    <xf numFmtId="181" fontId="17" fillId="3" borderId="0" xfId="0" applyNumberFormat="1" applyFont="1" applyFill="1" applyAlignment="1">
      <alignment horizontal="center" vertical="center"/>
    </xf>
    <xf numFmtId="179" fontId="17" fillId="3" borderId="0" xfId="0" applyNumberFormat="1" applyFont="1" applyFill="1" applyAlignment="1">
      <alignment horizontal="center" vertical="center"/>
    </xf>
    <xf numFmtId="49" fontId="17" fillId="3" borderId="0" xfId="0" applyNumberFormat="1" applyFont="1" applyFill="1" applyAlignment="1">
      <alignment horizontal="center" vertical="center"/>
    </xf>
    <xf numFmtId="0" fontId="5" fillId="0" borderId="0" xfId="0" applyFont="1" applyAlignment="1">
      <alignment horizontal="right" vertical="center"/>
    </xf>
    <xf numFmtId="0" fontId="66" fillId="0" borderId="0" xfId="0" applyFont="1" applyAlignment="1">
      <alignment horizontal="right" vertical="center"/>
    </xf>
    <xf numFmtId="0" fontId="7" fillId="4" borderId="0" xfId="0" applyFont="1" applyFill="1" applyAlignment="1">
      <alignment horizontal="right" vertical="center"/>
    </xf>
    <xf numFmtId="185" fontId="7" fillId="0" borderId="1" xfId="0" applyNumberFormat="1" applyFont="1" applyBorder="1" applyAlignment="1">
      <alignment horizontal="center" vertical="center"/>
    </xf>
    <xf numFmtId="179" fontId="6" fillId="2" borderId="1" xfId="0" applyNumberFormat="1" applyFont="1" applyFill="1" applyBorder="1" applyAlignment="1">
      <alignment horizontal="center" vertical="center" wrapText="1"/>
    </xf>
    <xf numFmtId="179" fontId="38" fillId="3" borderId="0" xfId="0" applyNumberFormat="1" applyFont="1" applyFill="1" applyAlignment="1">
      <alignment horizontal="center" vertical="center"/>
    </xf>
    <xf numFmtId="193" fontId="18" fillId="0" borderId="1" xfId="0" applyNumberFormat="1" applyFont="1" applyBorder="1" applyAlignment="1">
      <alignment horizontal="center" vertical="center"/>
    </xf>
    <xf numFmtId="178" fontId="18" fillId="0" borderId="1" xfId="0" applyNumberFormat="1" applyFont="1" applyBorder="1" applyAlignment="1">
      <alignment horizontal="center" vertical="center"/>
    </xf>
    <xf numFmtId="191" fontId="18" fillId="0" borderId="1" xfId="0" applyNumberFormat="1" applyFont="1" applyBorder="1" applyAlignment="1">
      <alignment horizontal="center" vertical="center"/>
    </xf>
    <xf numFmtId="185" fontId="18" fillId="0" borderId="1" xfId="0" applyNumberFormat="1" applyFont="1" applyBorder="1" applyAlignment="1">
      <alignment horizontal="center" vertical="center"/>
    </xf>
    <xf numFmtId="0" fontId="5" fillId="7" borderId="1" xfId="0" applyFont="1" applyFill="1" applyBorder="1">
      <alignment vertical="center"/>
    </xf>
    <xf numFmtId="179" fontId="6" fillId="8" borderId="1" xfId="0" applyNumberFormat="1" applyFont="1" applyFill="1" applyBorder="1" applyAlignment="1">
      <alignment horizontal="center" vertical="center" wrapText="1"/>
    </xf>
    <xf numFmtId="0" fontId="94" fillId="0" borderId="1" xfId="0" applyFont="1" applyBorder="1" applyAlignment="1">
      <alignment horizontal="center" vertical="center"/>
    </xf>
    <xf numFmtId="0" fontId="7" fillId="0" borderId="15" xfId="0" applyFont="1" applyBorder="1" applyAlignment="1">
      <alignment horizontal="center" vertical="center"/>
    </xf>
    <xf numFmtId="178" fontId="7" fillId="0" borderId="15" xfId="0" applyNumberFormat="1" applyFont="1" applyBorder="1" applyAlignment="1">
      <alignment horizontal="right" vertical="center"/>
    </xf>
    <xf numFmtId="210" fontId="36" fillId="8" borderId="1" xfId="0" applyNumberFormat="1" applyFont="1" applyFill="1" applyBorder="1" applyAlignment="1">
      <alignment horizontal="center" vertical="center" wrapText="1"/>
    </xf>
    <xf numFmtId="188" fontId="32" fillId="8" borderId="1" xfId="0" applyNumberFormat="1" applyFont="1" applyFill="1" applyBorder="1" applyAlignment="1">
      <alignment horizontal="center" vertical="center"/>
    </xf>
    <xf numFmtId="210" fontId="32" fillId="8" borderId="1" xfId="0" applyNumberFormat="1" applyFont="1" applyFill="1" applyBorder="1" applyAlignment="1">
      <alignment horizontal="center" vertical="center"/>
    </xf>
    <xf numFmtId="210" fontId="32" fillId="8" borderId="1" xfId="0" applyNumberFormat="1" applyFont="1" applyFill="1" applyBorder="1" applyAlignment="1">
      <alignment horizontal="center" vertical="center" wrapText="1"/>
    </xf>
    <xf numFmtId="214" fontId="32" fillId="8" borderId="1" xfId="0" applyNumberFormat="1" applyFont="1" applyFill="1" applyBorder="1" applyAlignment="1">
      <alignment horizontal="center" vertical="center" wrapText="1"/>
    </xf>
    <xf numFmtId="211" fontId="32" fillId="8" borderId="1" xfId="0" applyNumberFormat="1" applyFont="1" applyFill="1" applyBorder="1" applyAlignment="1">
      <alignment horizontal="center" vertical="center"/>
    </xf>
    <xf numFmtId="203" fontId="7" fillId="0" borderId="1" xfId="0" applyNumberFormat="1" applyFont="1" applyBorder="1" applyAlignment="1">
      <alignment horizontal="center"/>
    </xf>
    <xf numFmtId="49" fontId="32" fillId="8" borderId="1" xfId="0" applyNumberFormat="1" applyFont="1" applyFill="1" applyBorder="1" applyAlignment="1">
      <alignment horizontal="center" vertical="center"/>
    </xf>
    <xf numFmtId="0" fontId="10" fillId="0" borderId="0" xfId="0" applyFont="1">
      <alignment vertical="center"/>
    </xf>
    <xf numFmtId="178" fontId="67" fillId="0" borderId="0" xfId="0" applyNumberFormat="1" applyFont="1" applyAlignment="1">
      <alignment horizontal="right" vertical="center"/>
    </xf>
    <xf numFmtId="0" fontId="32" fillId="8" borderId="1" xfId="0" applyFont="1" applyFill="1" applyBorder="1" applyAlignment="1">
      <alignment horizontal="center" vertical="center"/>
    </xf>
    <xf numFmtId="0" fontId="32" fillId="0" borderId="0" xfId="0" applyFont="1">
      <alignment vertical="center"/>
    </xf>
    <xf numFmtId="216" fontId="7" fillId="0" borderId="1" xfId="0" applyNumberFormat="1" applyFont="1" applyBorder="1" applyAlignment="1"/>
    <xf numFmtId="0" fontId="30" fillId="0" borderId="0" xfId="0" applyFont="1">
      <alignment vertical="center"/>
    </xf>
    <xf numFmtId="188" fontId="7" fillId="0" borderId="15" xfId="0" applyNumberFormat="1" applyFont="1" applyBorder="1" applyAlignment="1"/>
    <xf numFmtId="180" fontId="7" fillId="0" borderId="15" xfId="0" applyNumberFormat="1" applyFont="1" applyBorder="1" applyAlignment="1">
      <alignment horizontal="right" vertical="center"/>
    </xf>
    <xf numFmtId="193" fontId="7" fillId="0" borderId="15" xfId="0" applyNumberFormat="1" applyFont="1" applyBorder="1">
      <alignment vertical="center"/>
    </xf>
    <xf numFmtId="3" fontId="7" fillId="12" borderId="17" xfId="0" applyNumberFormat="1" applyFont="1" applyFill="1" applyBorder="1" applyAlignment="1">
      <alignment horizontal="right" vertical="center"/>
    </xf>
    <xf numFmtId="3" fontId="7" fillId="12" borderId="0" xfId="0" applyNumberFormat="1" applyFont="1" applyFill="1" applyAlignment="1">
      <alignment horizontal="right" vertical="center"/>
    </xf>
    <xf numFmtId="0" fontId="87" fillId="0" borderId="1" xfId="0" applyFont="1" applyBorder="1" applyAlignment="1">
      <alignment horizontal="center" vertical="center"/>
    </xf>
    <xf numFmtId="217" fontId="87" fillId="0" borderId="1" xfId="0" applyNumberFormat="1" applyFont="1" applyBorder="1" applyAlignment="1">
      <alignment horizontal="center" vertical="center"/>
    </xf>
    <xf numFmtId="218" fontId="0" fillId="0" borderId="0" xfId="0" applyNumberFormat="1" applyAlignment="1">
      <alignment horizontal="center" vertical="center"/>
    </xf>
    <xf numFmtId="219" fontId="0" fillId="0" borderId="0" xfId="0" applyNumberFormat="1" applyAlignment="1">
      <alignment horizontal="center" vertical="center"/>
    </xf>
    <xf numFmtId="0" fontId="77" fillId="0" borderId="0" xfId="0" applyFont="1" applyAlignment="1">
      <alignment horizontal="center" vertical="center"/>
    </xf>
    <xf numFmtId="0" fontId="87" fillId="0" borderId="0" xfId="0" applyFont="1" applyAlignment="1">
      <alignment horizontal="center" vertical="center"/>
    </xf>
    <xf numFmtId="218" fontId="3" fillId="0" borderId="0" xfId="0" applyNumberFormat="1" applyFont="1" applyAlignment="1">
      <alignment horizontal="center" vertical="center"/>
    </xf>
    <xf numFmtId="219" fontId="3" fillId="0" borderId="0" xfId="0" applyNumberFormat="1" applyFont="1" applyAlignment="1">
      <alignment horizontal="center" vertical="center"/>
    </xf>
    <xf numFmtId="0" fontId="6" fillId="0" borderId="0" xfId="0" applyFont="1">
      <alignment vertical="center"/>
    </xf>
    <xf numFmtId="179" fontId="31" fillId="4" borderId="1" xfId="0" applyNumberFormat="1" applyFont="1" applyFill="1" applyBorder="1" applyAlignment="1">
      <alignment horizontal="center" vertical="center" wrapText="1"/>
    </xf>
    <xf numFmtId="191" fontId="67" fillId="7" borderId="1" xfId="0" applyNumberFormat="1" applyFont="1" applyFill="1" applyBorder="1">
      <alignment vertical="center"/>
    </xf>
    <xf numFmtId="0" fontId="20" fillId="0" borderId="0" xfId="0" applyFont="1" applyAlignment="1">
      <alignment horizontal="center" vertical="center"/>
    </xf>
    <xf numFmtId="208" fontId="20" fillId="8" borderId="11" xfId="0" applyNumberFormat="1" applyFont="1" applyFill="1" applyBorder="1" applyAlignment="1">
      <alignment horizontal="center" vertical="center"/>
    </xf>
    <xf numFmtId="213" fontId="20" fillId="0" borderId="11" xfId="0" applyNumberFormat="1" applyFont="1" applyBorder="1" applyAlignment="1">
      <alignment horizontal="center" vertical="center" shrinkToFit="1"/>
    </xf>
    <xf numFmtId="0" fontId="98" fillId="0" borderId="1" xfId="0" applyFont="1" applyBorder="1" applyAlignment="1">
      <alignment horizontal="center" vertical="center" wrapText="1"/>
    </xf>
    <xf numFmtId="0" fontId="98" fillId="0" borderId="1" xfId="0" applyFont="1" applyBorder="1" applyAlignment="1">
      <alignment horizontal="left" vertical="center" wrapText="1"/>
    </xf>
    <xf numFmtId="0" fontId="98" fillId="0" borderId="1" xfId="0" applyFont="1" applyBorder="1" applyAlignment="1">
      <alignment vertical="center" wrapText="1"/>
    </xf>
    <xf numFmtId="208" fontId="98" fillId="0" borderId="1" xfId="0" applyNumberFormat="1" applyFont="1" applyBorder="1" applyAlignment="1">
      <alignment horizontal="right" vertical="center" wrapText="1"/>
    </xf>
    <xf numFmtId="0" fontId="95" fillId="0" borderId="1" xfId="0" applyFont="1" applyBorder="1" applyAlignment="1">
      <alignment horizontal="center" vertical="center" wrapText="1"/>
    </xf>
    <xf numFmtId="0" fontId="99" fillId="0" borderId="0" xfId="0" applyFont="1">
      <alignment vertical="center"/>
    </xf>
    <xf numFmtId="49" fontId="46" fillId="0" borderId="1" xfId="0" applyNumberFormat="1" applyFont="1" applyBorder="1" applyAlignment="1">
      <alignment horizontal="center" vertical="center" shrinkToFit="1"/>
    </xf>
    <xf numFmtId="0" fontId="46" fillId="0" borderId="1" xfId="0" applyFont="1" applyBorder="1" applyAlignment="1">
      <alignment horizontal="center" vertical="center" wrapText="1" shrinkToFit="1"/>
    </xf>
    <xf numFmtId="0" fontId="46" fillId="0" borderId="1" xfId="0" applyFont="1" applyBorder="1" applyAlignment="1">
      <alignment horizontal="center" vertical="center" shrinkToFit="1"/>
    </xf>
    <xf numFmtId="210" fontId="32" fillId="0" borderId="1" xfId="0" applyNumberFormat="1" applyFont="1" applyBorder="1" applyAlignment="1">
      <alignment horizontal="center" vertical="center"/>
    </xf>
    <xf numFmtId="214" fontId="32" fillId="0" borderId="1" xfId="0" applyNumberFormat="1" applyFont="1" applyBorder="1" applyAlignment="1">
      <alignment horizontal="center" vertical="center" wrapText="1"/>
    </xf>
    <xf numFmtId="49" fontId="32" fillId="0" borderId="1" xfId="0" applyNumberFormat="1" applyFont="1" applyBorder="1" applyAlignment="1">
      <alignment horizontal="center" vertical="center"/>
    </xf>
    <xf numFmtId="49" fontId="22" fillId="0" borderId="1" xfId="0" applyNumberFormat="1" applyFont="1" applyBorder="1" applyAlignment="1">
      <alignment horizontal="center" vertical="center"/>
    </xf>
    <xf numFmtId="189" fontId="7" fillId="0" borderId="1" xfId="0" applyNumberFormat="1" applyFont="1" applyBorder="1">
      <alignment vertical="center"/>
    </xf>
    <xf numFmtId="0" fontId="101" fillId="0" borderId="1" xfId="0" applyFont="1" applyBorder="1" applyAlignment="1">
      <alignment horizontal="center" vertical="center"/>
    </xf>
    <xf numFmtId="0" fontId="0" fillId="0" borderId="0" xfId="0" applyAlignment="1">
      <alignment horizontal="left" vertical="center"/>
    </xf>
    <xf numFmtId="49" fontId="49" fillId="0" borderId="1" xfId="0" applyNumberFormat="1" applyFont="1" applyBorder="1" applyAlignment="1">
      <alignment horizontal="center" vertical="center" shrinkToFit="1"/>
    </xf>
    <xf numFmtId="0" fontId="38" fillId="0" borderId="1" xfId="0" applyFont="1" applyBorder="1" applyAlignment="1">
      <alignment horizontal="center" vertical="center"/>
    </xf>
    <xf numFmtId="0" fontId="29" fillId="0" borderId="0" xfId="0" applyFont="1">
      <alignment vertical="center"/>
    </xf>
    <xf numFmtId="189" fontId="6" fillId="0" borderId="1" xfId="0" applyNumberFormat="1" applyFont="1" applyBorder="1" applyAlignment="1"/>
    <xf numFmtId="185" fontId="6" fillId="0" borderId="1" xfId="0" applyNumberFormat="1" applyFont="1" applyBorder="1" applyAlignment="1">
      <alignment horizontal="right" vertical="center"/>
    </xf>
    <xf numFmtId="178" fontId="6" fillId="0" borderId="15" xfId="0" applyNumberFormat="1" applyFont="1" applyBorder="1" applyAlignment="1">
      <alignment horizontal="right" vertical="center"/>
    </xf>
    <xf numFmtId="180" fontId="6" fillId="0" borderId="15" xfId="0" applyNumberFormat="1" applyFont="1" applyBorder="1" applyAlignment="1">
      <alignment horizontal="right" vertical="center"/>
    </xf>
    <xf numFmtId="0" fontId="51" fillId="0" borderId="1" xfId="0" applyFont="1" applyBorder="1" applyAlignment="1">
      <alignment horizontal="center" vertical="center"/>
    </xf>
    <xf numFmtId="193" fontId="6" fillId="0" borderId="1" xfId="0" applyNumberFormat="1" applyFont="1" applyBorder="1">
      <alignment vertical="center"/>
    </xf>
    <xf numFmtId="194" fontId="6" fillId="0" borderId="1" xfId="0" applyNumberFormat="1" applyFont="1" applyBorder="1">
      <alignment vertical="center"/>
    </xf>
    <xf numFmtId="178" fontId="6" fillId="0" borderId="1" xfId="0" applyNumberFormat="1" applyFont="1" applyBorder="1" applyAlignment="1">
      <alignment horizontal="right" vertical="center"/>
    </xf>
    <xf numFmtId="180" fontId="6" fillId="0" borderId="1" xfId="0" applyNumberFormat="1" applyFont="1" applyBorder="1" applyAlignment="1">
      <alignment horizontal="right" vertical="center"/>
    </xf>
    <xf numFmtId="187" fontId="6" fillId="0" borderId="1" xfId="0" applyNumberFormat="1" applyFont="1" applyBorder="1">
      <alignment vertical="center"/>
    </xf>
    <xf numFmtId="0" fontId="102" fillId="0" borderId="1" xfId="0" applyFont="1" applyBorder="1" applyAlignment="1">
      <alignment horizontal="center" vertical="center"/>
    </xf>
    <xf numFmtId="0" fontId="35" fillId="0" borderId="1" xfId="0" applyFont="1" applyBorder="1" applyAlignment="1">
      <alignment horizontal="center" vertical="center"/>
    </xf>
    <xf numFmtId="180" fontId="70" fillId="0" borderId="1" xfId="0" applyNumberFormat="1" applyFont="1" applyBorder="1" applyAlignment="1">
      <alignment horizontal="right" vertical="center"/>
    </xf>
    <xf numFmtId="188" fontId="6" fillId="0" borderId="15" xfId="0" applyNumberFormat="1" applyFont="1" applyBorder="1" applyAlignment="1"/>
    <xf numFmtId="0" fontId="6" fillId="0" borderId="15" xfId="0" applyFont="1" applyBorder="1" applyAlignment="1">
      <alignment horizontal="center" vertical="center"/>
    </xf>
    <xf numFmtId="193" fontId="6" fillId="0" borderId="15" xfId="0" applyNumberFormat="1" applyFont="1" applyBorder="1">
      <alignment vertical="center"/>
    </xf>
    <xf numFmtId="0" fontId="6" fillId="0" borderId="3" xfId="0" applyFont="1" applyBorder="1" applyAlignment="1">
      <alignment horizontal="center"/>
    </xf>
    <xf numFmtId="0" fontId="14" fillId="0" borderId="3" xfId="0" applyFont="1" applyBorder="1" applyAlignment="1">
      <alignment horizontal="center"/>
    </xf>
    <xf numFmtId="49" fontId="52" fillId="0" borderId="1" xfId="0" applyNumberFormat="1" applyFont="1" applyBorder="1" applyAlignment="1">
      <alignment horizontal="center" vertical="center"/>
    </xf>
    <xf numFmtId="49" fontId="6" fillId="0" borderId="1" xfId="0" applyNumberFormat="1" applyFont="1" applyBorder="1" applyAlignment="1">
      <alignment horizontal="center"/>
    </xf>
    <xf numFmtId="0" fontId="104" fillId="0" borderId="1" xfId="10" applyFont="1" applyBorder="1" applyAlignment="1">
      <alignment horizontal="center" vertical="center"/>
    </xf>
    <xf numFmtId="0" fontId="104" fillId="0" borderId="1" xfId="10" applyFont="1" applyBorder="1" applyAlignment="1">
      <alignment horizontal="center" vertical="center" wrapText="1"/>
    </xf>
    <xf numFmtId="0" fontId="105" fillId="0" borderId="1" xfId="0" applyFont="1" applyBorder="1" applyAlignment="1">
      <alignment horizontal="center" vertical="center"/>
    </xf>
    <xf numFmtId="49" fontId="6" fillId="0" borderId="1" xfId="0" applyNumberFormat="1" applyFont="1" applyBorder="1" applyAlignment="1">
      <alignment horizontal="center" vertical="center"/>
    </xf>
    <xf numFmtId="0" fontId="49" fillId="0" borderId="1" xfId="0" applyFont="1" applyBorder="1" applyAlignment="1">
      <alignment horizontal="center" vertical="center" shrinkToFit="1"/>
    </xf>
    <xf numFmtId="0" fontId="49" fillId="0" borderId="1" xfId="0" applyFont="1" applyBorder="1" applyAlignment="1">
      <alignment horizontal="center" vertical="center" wrapText="1" shrinkToFit="1"/>
    </xf>
    <xf numFmtId="0" fontId="108" fillId="0" borderId="1" xfId="0" applyFont="1" applyBorder="1" applyAlignment="1">
      <alignment horizontal="center" vertical="center" wrapText="1"/>
    </xf>
    <xf numFmtId="208" fontId="108" fillId="0" borderId="1" xfId="0" applyNumberFormat="1" applyFont="1" applyBorder="1" applyAlignment="1">
      <alignment horizontal="right" vertical="center" wrapText="1"/>
    </xf>
    <xf numFmtId="188" fontId="52" fillId="0" borderId="1" xfId="0" applyNumberFormat="1" applyFont="1" applyBorder="1" applyAlignment="1">
      <alignment horizontal="center" vertical="center"/>
    </xf>
    <xf numFmtId="210" fontId="52" fillId="0" borderId="1" xfId="0" applyNumberFormat="1" applyFont="1" applyBorder="1" applyAlignment="1">
      <alignment horizontal="center" vertical="center" wrapText="1"/>
    </xf>
    <xf numFmtId="214" fontId="52" fillId="0" borderId="1" xfId="0" applyNumberFormat="1" applyFont="1" applyBorder="1" applyAlignment="1">
      <alignment horizontal="center" vertical="center" wrapText="1"/>
    </xf>
    <xf numFmtId="188" fontId="52" fillId="8" borderId="1" xfId="0" applyNumberFormat="1" applyFont="1" applyFill="1" applyBorder="1" applyAlignment="1">
      <alignment horizontal="center" vertical="center"/>
    </xf>
    <xf numFmtId="210" fontId="52" fillId="8" borderId="1" xfId="0" applyNumberFormat="1" applyFont="1" applyFill="1" applyBorder="1" applyAlignment="1">
      <alignment horizontal="center" vertical="center"/>
    </xf>
    <xf numFmtId="210" fontId="52" fillId="8" borderId="1" xfId="0" applyNumberFormat="1" applyFont="1" applyFill="1" applyBorder="1" applyAlignment="1">
      <alignment horizontal="center" vertical="center" wrapText="1"/>
    </xf>
    <xf numFmtId="0" fontId="52" fillId="8" borderId="1" xfId="0" applyFont="1" applyFill="1" applyBorder="1" applyAlignment="1">
      <alignment horizontal="center" vertical="center"/>
    </xf>
    <xf numFmtId="214" fontId="52" fillId="8" borderId="1" xfId="0" applyNumberFormat="1" applyFont="1" applyFill="1" applyBorder="1" applyAlignment="1">
      <alignment horizontal="center" vertical="center" wrapText="1"/>
    </xf>
    <xf numFmtId="203" fontId="6" fillId="0" borderId="1" xfId="0" applyNumberFormat="1" applyFont="1" applyBorder="1" applyAlignment="1"/>
    <xf numFmtId="184" fontId="6" fillId="0" borderId="1" xfId="0" applyNumberFormat="1" applyFont="1" applyBorder="1" applyAlignment="1">
      <alignment horizontal="right" vertical="center"/>
    </xf>
    <xf numFmtId="0" fontId="38" fillId="0" borderId="1" xfId="0" applyFont="1" applyBorder="1" applyAlignment="1">
      <alignment horizontal="center" vertical="center" wrapText="1"/>
    </xf>
    <xf numFmtId="0" fontId="7" fillId="4" borderId="1" xfId="0" applyFont="1" applyFill="1" applyBorder="1" applyAlignment="1">
      <alignment horizontal="left" vertical="center"/>
    </xf>
    <xf numFmtId="187" fontId="7" fillId="4" borderId="1" xfId="0" applyNumberFormat="1" applyFont="1" applyFill="1" applyBorder="1">
      <alignment vertical="center"/>
    </xf>
    <xf numFmtId="184" fontId="67" fillId="4" borderId="1" xfId="0" applyNumberFormat="1" applyFont="1" applyFill="1" applyBorder="1" applyAlignment="1">
      <alignment horizontal="right" vertical="center"/>
    </xf>
    <xf numFmtId="180" fontId="67" fillId="4" borderId="1" xfId="0" applyNumberFormat="1" applyFont="1" applyFill="1" applyBorder="1" applyAlignment="1">
      <alignment horizontal="right" vertical="center"/>
    </xf>
    <xf numFmtId="191" fontId="67" fillId="4" borderId="1" xfId="0" applyNumberFormat="1" applyFont="1" applyFill="1" applyBorder="1">
      <alignment vertical="center"/>
    </xf>
    <xf numFmtId="191" fontId="17" fillId="4" borderId="1" xfId="0" applyNumberFormat="1" applyFont="1" applyFill="1" applyBorder="1" applyAlignment="1">
      <alignment horizontal="center" vertical="center"/>
    </xf>
    <xf numFmtId="0" fontId="6" fillId="0" borderId="1" xfId="0" applyFont="1" applyBorder="1" applyAlignment="1"/>
    <xf numFmtId="0" fontId="35" fillId="0" borderId="0" xfId="0" applyFont="1">
      <alignment vertical="center"/>
    </xf>
    <xf numFmtId="0" fontId="7" fillId="4" borderId="3" xfId="0" applyFont="1" applyFill="1" applyBorder="1" applyAlignment="1">
      <alignment horizontal="center"/>
    </xf>
    <xf numFmtId="185" fontId="7" fillId="4" borderId="1" xfId="0" applyNumberFormat="1" applyFont="1" applyFill="1" applyBorder="1" applyAlignment="1">
      <alignment horizontal="right" vertical="center"/>
    </xf>
    <xf numFmtId="0" fontId="5" fillId="4" borderId="0" xfId="0" applyFont="1" applyFill="1" applyAlignment="1">
      <alignment horizontal="right" vertical="center"/>
    </xf>
    <xf numFmtId="0" fontId="5" fillId="4" borderId="0" xfId="0" applyFont="1" applyFill="1">
      <alignment vertical="center"/>
    </xf>
    <xf numFmtId="0" fontId="112" fillId="0" borderId="1" xfId="0" applyFont="1" applyBorder="1" applyAlignment="1">
      <alignment horizontal="center" vertical="center"/>
    </xf>
    <xf numFmtId="0" fontId="6" fillId="0" borderId="1" xfId="0" applyFont="1" applyBorder="1">
      <alignment vertical="center"/>
    </xf>
    <xf numFmtId="179" fontId="31" fillId="7" borderId="1" xfId="0" applyNumberFormat="1" applyFont="1" applyFill="1" applyBorder="1" applyAlignment="1">
      <alignment horizontal="center" vertical="center" wrapText="1"/>
    </xf>
    <xf numFmtId="49" fontId="6" fillId="0" borderId="0" xfId="0" applyNumberFormat="1" applyFont="1" applyAlignment="1">
      <alignment horizontal="left" vertical="center"/>
    </xf>
    <xf numFmtId="179" fontId="6" fillId="0" borderId="1" xfId="0" applyNumberFormat="1" applyFont="1" applyBorder="1" applyAlignment="1">
      <alignment horizontal="center" vertical="center"/>
    </xf>
    <xf numFmtId="225" fontId="7" fillId="0" borderId="1" xfId="0" applyNumberFormat="1" applyFont="1" applyBorder="1" applyAlignment="1"/>
    <xf numFmtId="0" fontId="38" fillId="0" borderId="4" xfId="0" applyFont="1" applyBorder="1" applyAlignment="1">
      <alignment horizontal="center" vertical="center"/>
    </xf>
    <xf numFmtId="0" fontId="6" fillId="0" borderId="7" xfId="0" applyFont="1" applyBorder="1" applyAlignment="1">
      <alignment horizontal="center" vertical="center"/>
    </xf>
    <xf numFmtId="192" fontId="38" fillId="0" borderId="1" xfId="0" applyNumberFormat="1" applyFont="1" applyBorder="1" applyAlignment="1">
      <alignment horizontal="center" vertical="center"/>
    </xf>
    <xf numFmtId="0" fontId="6" fillId="0" borderId="4" xfId="0" applyFont="1" applyBorder="1" applyAlignment="1">
      <alignment horizontal="center" vertical="center"/>
    </xf>
    <xf numFmtId="211" fontId="36" fillId="8" borderId="1" xfId="0" applyNumberFormat="1" applyFont="1" applyFill="1" applyBorder="1" applyAlignment="1">
      <alignment horizontal="center" vertical="center"/>
    </xf>
    <xf numFmtId="0" fontId="36" fillId="0" borderId="0" xfId="0" applyFont="1">
      <alignment vertical="center"/>
    </xf>
    <xf numFmtId="0" fontId="110" fillId="0" borderId="0" xfId="0" applyFont="1">
      <alignment vertical="center"/>
    </xf>
    <xf numFmtId="49" fontId="35" fillId="0" borderId="1" xfId="0" applyNumberFormat="1" applyFont="1" applyBorder="1" applyAlignment="1">
      <alignment horizontal="center"/>
    </xf>
    <xf numFmtId="203" fontId="35" fillId="0" borderId="1" xfId="0" applyNumberFormat="1" applyFont="1" applyBorder="1" applyAlignment="1">
      <alignment horizontal="center"/>
    </xf>
    <xf numFmtId="0" fontId="35" fillId="0" borderId="1" xfId="0" applyFont="1" applyBorder="1" applyAlignment="1">
      <alignment horizontal="center"/>
    </xf>
    <xf numFmtId="0" fontId="76" fillId="0" borderId="0" xfId="0" applyFont="1" applyAlignment="1">
      <alignment horizontal="right" vertical="center"/>
    </xf>
    <xf numFmtId="0" fontId="51" fillId="0" borderId="0" xfId="0" applyFont="1">
      <alignment vertical="center"/>
    </xf>
    <xf numFmtId="188" fontId="35" fillId="0" borderId="1" xfId="0" applyNumberFormat="1" applyFont="1" applyBorder="1" applyAlignment="1">
      <alignment horizontal="center"/>
    </xf>
    <xf numFmtId="0" fontId="102" fillId="0" borderId="1" xfId="0" applyFont="1" applyBorder="1" applyAlignment="1">
      <alignment horizontal="center" vertical="center" wrapText="1"/>
    </xf>
    <xf numFmtId="0" fontId="114" fillId="0" borderId="0" xfId="0" applyFont="1">
      <alignment vertical="center"/>
    </xf>
    <xf numFmtId="191" fontId="38" fillId="0" borderId="1" xfId="0" applyNumberFormat="1" applyFont="1" applyBorder="1" applyAlignment="1">
      <alignment horizontal="center" vertical="center"/>
    </xf>
    <xf numFmtId="0" fontId="6" fillId="0" borderId="0" xfId="0" applyFont="1" applyAlignment="1">
      <alignment horizontal="right" vertical="center"/>
    </xf>
    <xf numFmtId="0" fontId="35" fillId="0" borderId="1" xfId="0" applyFont="1" applyBorder="1">
      <alignment vertical="center"/>
    </xf>
    <xf numFmtId="0" fontId="35" fillId="0" borderId="1" xfId="0" applyFont="1" applyBorder="1" applyAlignment="1">
      <alignment horizontal="center" vertical="center" shrinkToFit="1"/>
    </xf>
    <xf numFmtId="0" fontId="35" fillId="0" borderId="0" xfId="0" applyFont="1" applyAlignment="1">
      <alignment horizontal="center" vertical="center" shrinkToFit="1"/>
    </xf>
    <xf numFmtId="0" fontId="29" fillId="0" borderId="0" xfId="0" applyFont="1" applyAlignment="1">
      <alignment horizontal="center" vertical="center" shrinkToFit="1"/>
    </xf>
    <xf numFmtId="0" fontId="35" fillId="0" borderId="0" xfId="0" applyFont="1" applyAlignment="1">
      <alignment vertical="center" shrinkToFit="1"/>
    </xf>
    <xf numFmtId="226" fontId="35" fillId="0" borderId="1" xfId="0" applyNumberFormat="1" applyFont="1" applyBorder="1" applyAlignment="1">
      <alignment horizontal="center" vertical="center" shrinkToFit="1"/>
    </xf>
    <xf numFmtId="207" fontId="35" fillId="0" borderId="0" xfId="0" applyNumberFormat="1" applyFont="1" applyAlignment="1">
      <alignment horizontal="center" vertical="center" shrinkToFit="1"/>
    </xf>
    <xf numFmtId="226" fontId="35" fillId="0" borderId="1" xfId="0" applyNumberFormat="1" applyFont="1" applyBorder="1" applyAlignment="1">
      <alignment horizontal="center" vertical="center" wrapText="1" shrinkToFit="1"/>
    </xf>
    <xf numFmtId="0" fontId="15" fillId="0" borderId="1" xfId="0" applyFont="1" applyBorder="1" applyAlignment="1">
      <alignment horizontal="left" vertical="center"/>
    </xf>
    <xf numFmtId="0" fontId="6" fillId="0" borderId="23" xfId="0" applyFont="1" applyBorder="1" applyAlignment="1">
      <alignment horizontal="center"/>
    </xf>
    <xf numFmtId="0" fontId="58" fillId="0" borderId="0" xfId="0" applyFont="1" applyAlignment="1">
      <alignment horizontal="left" vertical="center"/>
    </xf>
    <xf numFmtId="0" fontId="35" fillId="0" borderId="0" xfId="0" applyFont="1" applyAlignment="1">
      <alignment horizontal="center" vertical="center"/>
    </xf>
    <xf numFmtId="191" fontId="35" fillId="0" borderId="1" xfId="0" applyNumberFormat="1" applyFont="1" applyBorder="1" applyAlignment="1">
      <alignment horizontal="center" vertical="center"/>
    </xf>
    <xf numFmtId="179" fontId="84" fillId="0" borderId="1" xfId="0" applyNumberFormat="1" applyFont="1" applyBorder="1" applyAlignment="1">
      <alignment horizontal="center" vertical="center"/>
    </xf>
    <xf numFmtId="49" fontId="51" fillId="8" borderId="1" xfId="0" applyNumberFormat="1" applyFont="1" applyFill="1" applyBorder="1" applyAlignment="1">
      <alignment horizontal="center" vertical="center"/>
    </xf>
    <xf numFmtId="188" fontId="51" fillId="8" borderId="1" xfId="0" applyNumberFormat="1" applyFont="1" applyFill="1" applyBorder="1" applyAlignment="1">
      <alignment horizontal="center" vertical="center"/>
    </xf>
    <xf numFmtId="210" fontId="51" fillId="8" borderId="1" xfId="0" applyNumberFormat="1" applyFont="1" applyFill="1" applyBorder="1" applyAlignment="1">
      <alignment horizontal="center" vertical="center"/>
    </xf>
    <xf numFmtId="210" fontId="51" fillId="8" borderId="1" xfId="0" applyNumberFormat="1" applyFont="1" applyFill="1" applyBorder="1" applyAlignment="1">
      <alignment horizontal="center" vertical="center" wrapText="1"/>
    </xf>
    <xf numFmtId="214" fontId="51" fillId="8" borderId="1" xfId="0" applyNumberFormat="1" applyFont="1" applyFill="1" applyBorder="1" applyAlignment="1">
      <alignment horizontal="center" vertical="center" wrapText="1"/>
    </xf>
    <xf numFmtId="0" fontId="119" fillId="0" borderId="0" xfId="0" applyFont="1">
      <alignment vertical="center"/>
    </xf>
    <xf numFmtId="0" fontId="120" fillId="0" borderId="24" xfId="0" applyFont="1" applyBorder="1">
      <alignment vertical="center"/>
    </xf>
    <xf numFmtId="0" fontId="120" fillId="0" borderId="25" xfId="0" applyFont="1" applyBorder="1">
      <alignment vertical="center"/>
    </xf>
    <xf numFmtId="0" fontId="119" fillId="0" borderId="25" xfId="0" applyFont="1" applyBorder="1">
      <alignment vertical="center"/>
    </xf>
    <xf numFmtId="0" fontId="120" fillId="0" borderId="26" xfId="0" applyFont="1" applyBorder="1">
      <alignment vertical="center"/>
    </xf>
    <xf numFmtId="0" fontId="120" fillId="0" borderId="27" xfId="0" applyFont="1" applyBorder="1">
      <alignment vertical="center"/>
    </xf>
    <xf numFmtId="0" fontId="120" fillId="0" borderId="28" xfId="0" applyFont="1" applyBorder="1">
      <alignment vertical="center"/>
    </xf>
    <xf numFmtId="0" fontId="119" fillId="0" borderId="0" xfId="0" applyFont="1" applyAlignment="1">
      <alignment horizontal="center" vertical="center"/>
    </xf>
    <xf numFmtId="0" fontId="121" fillId="0" borderId="29" xfId="0" applyFont="1" applyBorder="1">
      <alignment vertical="center"/>
    </xf>
    <xf numFmtId="230" fontId="119" fillId="0" borderId="30" xfId="0" applyNumberFormat="1" applyFont="1" applyBorder="1">
      <alignment vertical="center"/>
    </xf>
    <xf numFmtId="0" fontId="119" fillId="0" borderId="31" xfId="0" applyFont="1" applyBorder="1">
      <alignment vertical="center"/>
    </xf>
    <xf numFmtId="0" fontId="119" fillId="0" borderId="32" xfId="0" applyFont="1" applyBorder="1">
      <alignment vertical="center"/>
    </xf>
    <xf numFmtId="0" fontId="119" fillId="0" borderId="33" xfId="0" applyFont="1" applyBorder="1">
      <alignment vertical="center"/>
    </xf>
    <xf numFmtId="0" fontId="119" fillId="0" borderId="30" xfId="0" applyFont="1" applyBorder="1">
      <alignment vertical="center"/>
    </xf>
    <xf numFmtId="0" fontId="119" fillId="0" borderId="34" xfId="0" applyFont="1" applyBorder="1">
      <alignment vertical="center"/>
    </xf>
    <xf numFmtId="2" fontId="120" fillId="0" borderId="34" xfId="0" applyNumberFormat="1" applyFont="1" applyBorder="1">
      <alignment vertical="center"/>
    </xf>
    <xf numFmtId="230" fontId="119" fillId="0" borderId="35" xfId="0" applyNumberFormat="1" applyFont="1" applyBorder="1">
      <alignment vertical="center"/>
    </xf>
    <xf numFmtId="0" fontId="119" fillId="0" borderId="23" xfId="0" applyFont="1" applyBorder="1">
      <alignment vertical="center"/>
    </xf>
    <xf numFmtId="0" fontId="119" fillId="0" borderId="36" xfId="0" applyFont="1" applyBorder="1">
      <alignment vertical="center"/>
    </xf>
    <xf numFmtId="0" fontId="119" fillId="0" borderId="37" xfId="0" applyFont="1" applyBorder="1">
      <alignment vertical="center"/>
    </xf>
    <xf numFmtId="0" fontId="119" fillId="0" borderId="38" xfId="0" applyFont="1" applyBorder="1">
      <alignment vertical="center"/>
    </xf>
    <xf numFmtId="0" fontId="119" fillId="0" borderId="39" xfId="0" applyFont="1" applyBorder="1" applyAlignment="1">
      <alignment horizontal="left" vertical="center" shrinkToFit="1"/>
    </xf>
    <xf numFmtId="0" fontId="119" fillId="0" borderId="31" xfId="0" applyFont="1" applyBorder="1" applyAlignment="1">
      <alignment horizontal="left" vertical="center" shrinkToFit="1"/>
    </xf>
    <xf numFmtId="0" fontId="121" fillId="0" borderId="0" xfId="0" applyFont="1">
      <alignment vertical="center"/>
    </xf>
    <xf numFmtId="0" fontId="119" fillId="0" borderId="40" xfId="0" applyFont="1" applyBorder="1">
      <alignment vertical="center"/>
    </xf>
    <xf numFmtId="0" fontId="119" fillId="0" borderId="39" xfId="0" applyFont="1" applyBorder="1">
      <alignment vertical="center"/>
    </xf>
    <xf numFmtId="0" fontId="119" fillId="0" borderId="41" xfId="0" applyFont="1" applyBorder="1">
      <alignment vertical="center"/>
    </xf>
    <xf numFmtId="0" fontId="119" fillId="0" borderId="42" xfId="0" applyFont="1" applyBorder="1">
      <alignment vertical="center"/>
    </xf>
    <xf numFmtId="0" fontId="61" fillId="0" borderId="0" xfId="0" applyFont="1">
      <alignment vertical="center"/>
    </xf>
    <xf numFmtId="0" fontId="119" fillId="0" borderId="59" xfId="0" applyFont="1" applyBorder="1">
      <alignment vertical="center"/>
    </xf>
    <xf numFmtId="0" fontId="61" fillId="0" borderId="0" xfId="0" applyFont="1" applyAlignment="1">
      <alignment horizontal="left" vertical="center"/>
    </xf>
    <xf numFmtId="0" fontId="61" fillId="0" borderId="0" xfId="0" quotePrefix="1" applyFont="1" applyAlignment="1">
      <alignment horizontal="left" vertical="center"/>
    </xf>
    <xf numFmtId="0" fontId="61" fillId="0" borderId="0" xfId="0" applyFont="1" applyAlignment="1">
      <alignment horizontal="left" vertical="center" wrapText="1"/>
    </xf>
    <xf numFmtId="0" fontId="129" fillId="0" borderId="0" xfId="0" applyFont="1" applyAlignment="1">
      <alignment horizontal="left" vertical="center"/>
    </xf>
    <xf numFmtId="0" fontId="131" fillId="0" borderId="0" xfId="0" applyFont="1" applyAlignment="1">
      <alignment horizontal="left" vertical="center"/>
    </xf>
    <xf numFmtId="0" fontId="129" fillId="0" borderId="0" xfId="0" applyFont="1">
      <alignment vertical="center"/>
    </xf>
    <xf numFmtId="0" fontId="140" fillId="0" borderId="0" xfId="0" applyFont="1">
      <alignment vertical="center"/>
    </xf>
    <xf numFmtId="0" fontId="141" fillId="0" borderId="0" xfId="0" applyFont="1">
      <alignment vertical="center"/>
    </xf>
    <xf numFmtId="0" fontId="141" fillId="2" borderId="1" xfId="0" applyFont="1" applyFill="1" applyBorder="1" applyAlignment="1">
      <alignment horizontal="center" vertical="center"/>
    </xf>
    <xf numFmtId="0" fontId="141" fillId="0" borderId="1" xfId="0" applyFont="1" applyBorder="1">
      <alignment vertical="center"/>
    </xf>
    <xf numFmtId="0" fontId="141" fillId="0" borderId="10" xfId="0" applyFont="1" applyBorder="1">
      <alignment vertical="center"/>
    </xf>
    <xf numFmtId="0" fontId="142" fillId="0" borderId="0" xfId="0" applyFont="1">
      <alignment vertical="center"/>
    </xf>
    <xf numFmtId="0" fontId="141" fillId="0" borderId="0" xfId="0" applyFont="1" applyAlignment="1">
      <alignment vertical="center" wrapText="1"/>
    </xf>
    <xf numFmtId="0" fontId="141" fillId="0" borderId="1" xfId="0" applyFont="1" applyBorder="1" applyAlignment="1">
      <alignment horizontal="left" vertical="center"/>
    </xf>
    <xf numFmtId="0" fontId="143" fillId="0" borderId="0" xfId="0" applyFont="1">
      <alignment vertical="center"/>
    </xf>
    <xf numFmtId="0" fontId="144" fillId="0" borderId="0" xfId="0" applyFont="1" applyAlignment="1">
      <alignment horizontal="left" vertical="center"/>
    </xf>
    <xf numFmtId="0" fontId="141" fillId="0" borderId="0" xfId="0" applyFont="1" applyAlignment="1">
      <alignment horizontal="left" vertical="center"/>
    </xf>
    <xf numFmtId="0" fontId="141" fillId="0" borderId="0" xfId="0" applyFont="1" applyAlignment="1">
      <alignment horizontal="right" vertical="center"/>
    </xf>
    <xf numFmtId="56" fontId="141" fillId="12" borderId="0" xfId="0" applyNumberFormat="1" applyFont="1" applyFill="1" applyAlignment="1">
      <alignment horizontal="left" vertical="center"/>
    </xf>
    <xf numFmtId="0" fontId="141" fillId="12" borderId="0" xfId="0" applyFont="1" applyFill="1">
      <alignment vertical="center"/>
    </xf>
    <xf numFmtId="0" fontId="141" fillId="12" borderId="0" xfId="0" applyFont="1" applyFill="1" applyAlignment="1">
      <alignment horizontal="left" vertical="center"/>
    </xf>
    <xf numFmtId="0" fontId="142" fillId="0" borderId="122" xfId="0" applyFont="1" applyBorder="1">
      <alignment vertical="center"/>
    </xf>
    <xf numFmtId="0" fontId="141" fillId="0" borderId="122" xfId="0" applyFont="1" applyBorder="1">
      <alignment vertical="center"/>
    </xf>
    <xf numFmtId="0" fontId="146" fillId="15" borderId="85" xfId="0" applyFont="1" applyFill="1" applyBorder="1" applyAlignment="1">
      <alignment horizontal="center" vertical="center"/>
    </xf>
    <xf numFmtId="0" fontId="146" fillId="15" borderId="16" xfId="0" applyFont="1" applyFill="1" applyBorder="1" applyAlignment="1">
      <alignment horizontal="center" vertical="center"/>
    </xf>
    <xf numFmtId="234" fontId="141" fillId="0" borderId="0" xfId="0" applyNumberFormat="1" applyFont="1" applyAlignment="1">
      <alignment horizontal="left" vertical="center"/>
    </xf>
    <xf numFmtId="0" fontId="146" fillId="15" borderId="12" xfId="0" applyFont="1" applyFill="1" applyBorder="1" applyAlignment="1">
      <alignment horizontal="center" vertical="center"/>
    </xf>
    <xf numFmtId="0" fontId="146" fillId="15" borderId="13" xfId="0" applyFont="1" applyFill="1" applyBorder="1" applyAlignment="1">
      <alignment horizontal="center" vertical="center"/>
    </xf>
    <xf numFmtId="0" fontId="146" fillId="15" borderId="14" xfId="0" applyFont="1" applyFill="1" applyBorder="1" applyAlignment="1">
      <alignment horizontal="center" vertical="center"/>
    </xf>
    <xf numFmtId="0" fontId="141" fillId="0" borderId="123" xfId="0" applyFont="1" applyBorder="1" applyAlignment="1">
      <alignment horizontal="center" vertical="center"/>
    </xf>
    <xf numFmtId="0" fontId="141" fillId="0" borderId="114" xfId="0" applyFont="1" applyBorder="1" applyAlignment="1">
      <alignment horizontal="left" vertical="center"/>
    </xf>
    <xf numFmtId="0" fontId="141" fillId="0" borderId="114" xfId="0" applyFont="1" applyBorder="1" applyAlignment="1">
      <alignment horizontal="center" vertical="center"/>
    </xf>
    <xf numFmtId="178" fontId="141" fillId="0" borderId="114" xfId="0" applyNumberFormat="1" applyFont="1" applyBorder="1" applyAlignment="1">
      <alignment horizontal="center" vertical="center"/>
    </xf>
    <xf numFmtId="235" fontId="141" fillId="0" borderId="114" xfId="0" applyNumberFormat="1" applyFont="1" applyBorder="1" applyAlignment="1">
      <alignment horizontal="center" vertical="center"/>
    </xf>
    <xf numFmtId="0" fontId="141" fillId="0" borderId="114" xfId="0" applyFont="1" applyBorder="1">
      <alignment vertical="center"/>
    </xf>
    <xf numFmtId="0" fontId="141" fillId="0" borderId="124" xfId="0" applyFont="1" applyBorder="1">
      <alignment vertical="center"/>
    </xf>
    <xf numFmtId="193" fontId="141" fillId="0" borderId="114" xfId="0" applyNumberFormat="1" applyFont="1" applyBorder="1" applyAlignment="1">
      <alignment horizontal="center" vertical="center"/>
    </xf>
    <xf numFmtId="194" fontId="141" fillId="0" borderId="114" xfId="0" applyNumberFormat="1" applyFont="1" applyBorder="1" applyAlignment="1">
      <alignment horizontal="center" vertical="center"/>
    </xf>
    <xf numFmtId="0" fontId="141" fillId="0" borderId="125" xfId="0" applyFont="1" applyBorder="1" applyAlignment="1">
      <alignment horizontal="center" vertical="center"/>
    </xf>
    <xf numFmtId="0" fontId="141" fillId="0" borderId="126" xfId="0" applyFont="1" applyBorder="1" applyAlignment="1">
      <alignment horizontal="left" vertical="center"/>
    </xf>
    <xf numFmtId="0" fontId="141" fillId="0" borderId="126" xfId="0" applyFont="1" applyBorder="1" applyAlignment="1">
      <alignment horizontal="center" vertical="center"/>
    </xf>
    <xf numFmtId="235" fontId="141" fillId="0" borderId="126" xfId="0" applyNumberFormat="1" applyFont="1" applyBorder="1" applyAlignment="1">
      <alignment horizontal="center" vertical="center"/>
    </xf>
    <xf numFmtId="0" fontId="141" fillId="0" borderId="126" xfId="0" applyFont="1" applyBorder="1">
      <alignment vertical="center"/>
    </xf>
    <xf numFmtId="0" fontId="141" fillId="0" borderId="127" xfId="0" applyFont="1" applyBorder="1">
      <alignment vertical="center"/>
    </xf>
    <xf numFmtId="0" fontId="141" fillId="0" borderId="128" xfId="0" applyFont="1" applyBorder="1" applyAlignment="1">
      <alignment horizontal="center" vertical="center"/>
    </xf>
    <xf numFmtId="0" fontId="141" fillId="0" borderId="132" xfId="0" applyFont="1" applyBorder="1" applyAlignment="1">
      <alignment horizontal="center" vertical="center"/>
    </xf>
    <xf numFmtId="0" fontId="141" fillId="0" borderId="134" xfId="0" applyFont="1" applyBorder="1" applyAlignment="1">
      <alignment horizontal="center" vertical="center"/>
    </xf>
    <xf numFmtId="0" fontId="141" fillId="0" borderId="130" xfId="0" applyFont="1" applyBorder="1">
      <alignment vertical="center"/>
    </xf>
    <xf numFmtId="0" fontId="141" fillId="0" borderId="131" xfId="0" applyFont="1" applyBorder="1">
      <alignment vertical="center"/>
    </xf>
    <xf numFmtId="0" fontId="141" fillId="0" borderId="132" xfId="0" applyFont="1" applyBorder="1">
      <alignment vertical="center"/>
    </xf>
    <xf numFmtId="0" fontId="141" fillId="0" borderId="95" xfId="0" applyFont="1" applyBorder="1">
      <alignment vertical="center"/>
    </xf>
    <xf numFmtId="0" fontId="141" fillId="0" borderId="133" xfId="0" applyFont="1" applyBorder="1">
      <alignment vertical="center"/>
    </xf>
    <xf numFmtId="0" fontId="141" fillId="0" borderId="134" xfId="0" applyFont="1" applyBorder="1">
      <alignment vertical="center"/>
    </xf>
    <xf numFmtId="0" fontId="141" fillId="0" borderId="136" xfId="0" applyFont="1" applyBorder="1">
      <alignment vertical="center"/>
    </xf>
    <xf numFmtId="0" fontId="141" fillId="0" borderId="137" xfId="0" applyFont="1" applyBorder="1">
      <alignment vertical="center"/>
    </xf>
    <xf numFmtId="0" fontId="141" fillId="0" borderId="0" xfId="0" applyFont="1" applyAlignment="1">
      <alignment horizontal="center" vertical="center"/>
    </xf>
    <xf numFmtId="0" fontId="141" fillId="0" borderId="122" xfId="0" applyFont="1" applyBorder="1" applyAlignment="1">
      <alignment horizontal="center" vertical="center"/>
    </xf>
    <xf numFmtId="0" fontId="141" fillId="0" borderId="122" xfId="0" applyFont="1" applyBorder="1" applyAlignment="1">
      <alignment horizontal="left" vertical="center" wrapText="1"/>
    </xf>
    <xf numFmtId="0" fontId="147" fillId="0" borderId="0" xfId="0" applyFont="1">
      <alignment vertical="center"/>
    </xf>
    <xf numFmtId="0" fontId="141" fillId="0" borderId="8" xfId="0" applyFont="1" applyBorder="1">
      <alignment vertical="center"/>
    </xf>
    <xf numFmtId="187" fontId="141" fillId="0" borderId="0" xfId="0" applyNumberFormat="1" applyFont="1">
      <alignment vertical="center"/>
    </xf>
    <xf numFmtId="193" fontId="141" fillId="0" borderId="0" xfId="0" applyNumberFormat="1" applyFont="1">
      <alignment vertical="center"/>
    </xf>
    <xf numFmtId="194" fontId="141" fillId="0" borderId="0" xfId="0" applyNumberFormat="1" applyFont="1">
      <alignment vertical="center"/>
    </xf>
    <xf numFmtId="178" fontId="141" fillId="0" borderId="0" xfId="0" applyNumberFormat="1" applyFont="1">
      <alignment vertical="center"/>
    </xf>
    <xf numFmtId="180" fontId="141" fillId="0" borderId="0" xfId="0" applyNumberFormat="1" applyFont="1">
      <alignment vertical="center"/>
    </xf>
    <xf numFmtId="187" fontId="146" fillId="15" borderId="13" xfId="0" applyNumberFormat="1" applyFont="1" applyFill="1" applyBorder="1" applyAlignment="1">
      <alignment horizontal="center" vertical="center"/>
    </xf>
    <xf numFmtId="178" fontId="146" fillId="15" borderId="13" xfId="0" applyNumberFormat="1" applyFont="1" applyFill="1" applyBorder="1" applyAlignment="1">
      <alignment horizontal="center" vertical="center"/>
    </xf>
    <xf numFmtId="180" fontId="146" fillId="15" borderId="13" xfId="0" applyNumberFormat="1" applyFont="1" applyFill="1" applyBorder="1" applyAlignment="1">
      <alignment horizontal="center" vertical="center"/>
    </xf>
    <xf numFmtId="0" fontId="142" fillId="12" borderId="0" xfId="0" applyFont="1" applyFill="1">
      <alignment vertical="center"/>
    </xf>
    <xf numFmtId="0" fontId="142" fillId="0" borderId="0" xfId="0" applyFont="1" applyAlignment="1" applyProtection="1">
      <alignment horizontal="center" vertical="center"/>
      <protection locked="0"/>
    </xf>
    <xf numFmtId="0" fontId="141" fillId="2" borderId="1" xfId="0" applyFont="1" applyFill="1" applyBorder="1" applyAlignment="1" applyProtection="1">
      <alignment horizontal="center" vertical="center"/>
      <protection locked="0"/>
    </xf>
    <xf numFmtId="0" fontId="141" fillId="0" borderId="0" xfId="0" applyFont="1" applyProtection="1">
      <alignment vertical="center"/>
      <protection locked="0"/>
    </xf>
    <xf numFmtId="0" fontId="141" fillId="0" borderId="0" xfId="0" applyFont="1" applyAlignment="1" applyProtection="1">
      <alignment vertical="center" wrapText="1"/>
      <protection locked="0"/>
    </xf>
    <xf numFmtId="0" fontId="61" fillId="0" borderId="0" xfId="0" applyFont="1" applyProtection="1">
      <alignment vertical="center"/>
      <protection locked="0"/>
    </xf>
    <xf numFmtId="0" fontId="61" fillId="0" borderId="0" xfId="0" applyFont="1" applyAlignment="1" applyProtection="1">
      <alignment vertical="center" wrapText="1"/>
      <protection locked="0"/>
    </xf>
    <xf numFmtId="0" fontId="61" fillId="0" borderId="101" xfId="0" applyFont="1" applyBorder="1" applyProtection="1">
      <alignment vertical="center"/>
      <protection locked="0"/>
    </xf>
    <xf numFmtId="0" fontId="61" fillId="0" borderId="98" xfId="0" applyFont="1" applyBorder="1" applyProtection="1">
      <alignment vertical="center"/>
      <protection locked="0"/>
    </xf>
    <xf numFmtId="0" fontId="61" fillId="0" borderId="99" xfId="0" applyFont="1" applyBorder="1" applyProtection="1">
      <alignment vertical="center"/>
      <protection locked="0"/>
    </xf>
    <xf numFmtId="0" fontId="61" fillId="0" borderId="104" xfId="0" applyFont="1" applyBorder="1" applyProtection="1">
      <alignment vertical="center"/>
      <protection locked="0"/>
    </xf>
    <xf numFmtId="0" fontId="61" fillId="0" borderId="95" xfId="0" applyFont="1" applyBorder="1" applyProtection="1">
      <alignment vertical="center"/>
      <protection locked="0"/>
    </xf>
    <xf numFmtId="0" fontId="61" fillId="0" borderId="96" xfId="0" applyFont="1" applyBorder="1" applyProtection="1">
      <alignment vertical="center"/>
      <protection locked="0"/>
    </xf>
    <xf numFmtId="0" fontId="61" fillId="0" borderId="103" xfId="0" applyFont="1" applyBorder="1" applyAlignment="1" applyProtection="1">
      <alignment horizontal="left" vertical="center"/>
      <protection locked="0"/>
    </xf>
    <xf numFmtId="0" fontId="61" fillId="0" borderId="103" xfId="0" applyFont="1" applyBorder="1" applyProtection="1">
      <alignment vertical="center"/>
      <protection locked="0"/>
    </xf>
    <xf numFmtId="0" fontId="126" fillId="0" borderId="101" xfId="0" applyFont="1" applyBorder="1" applyAlignment="1" applyProtection="1">
      <alignment horizontal="center" vertical="center"/>
      <protection locked="0"/>
    </xf>
    <xf numFmtId="49" fontId="61" fillId="0" borderId="112" xfId="0" applyNumberFormat="1" applyFont="1" applyBorder="1" applyAlignment="1" applyProtection="1">
      <alignment horizontal="left" vertical="center" shrinkToFit="1"/>
      <protection locked="0"/>
    </xf>
    <xf numFmtId="0" fontId="61" fillId="0" borderId="113" xfId="0" applyFont="1" applyBorder="1" applyAlignment="1" applyProtection="1">
      <alignment horizontal="left" vertical="center"/>
      <protection locked="0"/>
    </xf>
    <xf numFmtId="188" fontId="61" fillId="0" borderId="113" xfId="0" applyNumberFormat="1" applyFont="1" applyBorder="1" applyAlignment="1" applyProtection="1">
      <alignment horizontal="center" vertical="center"/>
      <protection locked="0"/>
    </xf>
    <xf numFmtId="0" fontId="61" fillId="0" borderId="113" xfId="0" applyFont="1" applyBorder="1" applyAlignment="1" applyProtection="1">
      <alignment horizontal="center" vertical="center"/>
      <protection locked="0"/>
    </xf>
    <xf numFmtId="178" fontId="61" fillId="0" borderId="113" xfId="0" applyNumberFormat="1" applyFont="1" applyBorder="1" applyAlignment="1" applyProtection="1">
      <alignment horizontal="center" vertical="center"/>
      <protection locked="0"/>
    </xf>
    <xf numFmtId="180" fontId="61" fillId="0" borderId="113" xfId="0" applyNumberFormat="1" applyFont="1" applyBorder="1" applyAlignment="1" applyProtection="1">
      <alignment horizontal="center" vertical="center"/>
      <protection locked="0"/>
    </xf>
    <xf numFmtId="179" fontId="61" fillId="0" borderId="113" xfId="0" applyNumberFormat="1" applyFont="1" applyBorder="1" applyAlignment="1" applyProtection="1">
      <alignment horizontal="center" vertical="center"/>
      <protection locked="0"/>
    </xf>
    <xf numFmtId="49" fontId="61" fillId="0" borderId="102" xfId="0" applyNumberFormat="1" applyFont="1" applyBorder="1" applyAlignment="1" applyProtection="1">
      <alignment horizontal="left" vertical="center" shrinkToFit="1"/>
      <protection locked="0"/>
    </xf>
    <xf numFmtId="0" fontId="61" fillId="0" borderId="114" xfId="0" applyFont="1" applyBorder="1" applyAlignment="1" applyProtection="1">
      <alignment horizontal="left" vertical="center"/>
      <protection locked="0"/>
    </xf>
    <xf numFmtId="188" fontId="61" fillId="0" borderId="114" xfId="0" applyNumberFormat="1" applyFont="1" applyBorder="1" applyAlignment="1" applyProtection="1">
      <alignment horizontal="center" vertical="center"/>
      <protection locked="0"/>
    </xf>
    <xf numFmtId="0" fontId="61" fillId="0" borderId="114" xfId="0" applyFont="1" applyBorder="1" applyAlignment="1" applyProtection="1">
      <alignment horizontal="center" vertical="center"/>
      <protection locked="0"/>
    </xf>
    <xf numFmtId="184" fontId="61" fillId="0" borderId="114" xfId="0" applyNumberFormat="1" applyFont="1" applyBorder="1" applyAlignment="1" applyProtection="1">
      <alignment horizontal="center" vertical="center"/>
      <protection locked="0"/>
    </xf>
    <xf numFmtId="180" fontId="61" fillId="0" borderId="114" xfId="0" applyNumberFormat="1" applyFont="1" applyBorder="1" applyAlignment="1" applyProtection="1">
      <alignment horizontal="center" vertical="center"/>
      <protection locked="0"/>
    </xf>
    <xf numFmtId="191" fontId="61" fillId="0" borderId="114" xfId="0" applyNumberFormat="1" applyFont="1" applyBorder="1" applyAlignment="1" applyProtection="1">
      <alignment horizontal="center" vertical="center"/>
      <protection locked="0"/>
    </xf>
    <xf numFmtId="178" fontId="61" fillId="0" borderId="114" xfId="0" applyNumberFormat="1" applyFont="1" applyBorder="1" applyAlignment="1" applyProtection="1">
      <alignment horizontal="center" vertical="center"/>
      <protection locked="0"/>
    </xf>
    <xf numFmtId="179" fontId="61" fillId="0" borderId="114" xfId="0" applyNumberFormat="1" applyFont="1" applyBorder="1" applyAlignment="1" applyProtection="1">
      <alignment horizontal="center" vertical="center"/>
      <protection locked="0"/>
    </xf>
    <xf numFmtId="189" fontId="61" fillId="0" borderId="114" xfId="0" applyNumberFormat="1" applyFont="1" applyBorder="1" applyAlignment="1" applyProtection="1">
      <alignment horizontal="center" vertical="center"/>
      <protection locked="0"/>
    </xf>
    <xf numFmtId="176" fontId="61" fillId="0" borderId="114" xfId="0" applyNumberFormat="1" applyFont="1" applyBorder="1" applyAlignment="1" applyProtection="1">
      <alignment horizontal="center" vertical="center"/>
      <protection locked="0"/>
    </xf>
    <xf numFmtId="185" fontId="61" fillId="0" borderId="114" xfId="0" applyNumberFormat="1" applyFont="1" applyBorder="1" applyAlignment="1" applyProtection="1">
      <alignment horizontal="center" vertical="center"/>
      <protection locked="0"/>
    </xf>
    <xf numFmtId="187" fontId="61" fillId="0" borderId="114" xfId="0" applyNumberFormat="1" applyFont="1" applyBorder="1" applyAlignment="1" applyProtection="1">
      <alignment horizontal="center" vertical="center"/>
      <protection locked="0"/>
    </xf>
    <xf numFmtId="194" fontId="61" fillId="0" borderId="114" xfId="0" applyNumberFormat="1" applyFont="1" applyBorder="1" applyAlignment="1" applyProtection="1">
      <alignment horizontal="center" vertical="center"/>
      <protection locked="0"/>
    </xf>
    <xf numFmtId="193" fontId="61" fillId="0" borderId="114" xfId="0" applyNumberFormat="1" applyFont="1" applyBorder="1" applyAlignment="1" applyProtection="1">
      <alignment horizontal="center" vertical="center"/>
      <protection locked="0"/>
    </xf>
    <xf numFmtId="205" fontId="61" fillId="0" borderId="114" xfId="0" applyNumberFormat="1" applyFont="1" applyBorder="1" applyAlignment="1" applyProtection="1">
      <alignment horizontal="center" vertical="center"/>
      <protection locked="0"/>
    </xf>
    <xf numFmtId="215" fontId="61" fillId="0" borderId="114" xfId="0" applyNumberFormat="1" applyFont="1" applyBorder="1" applyAlignment="1" applyProtection="1">
      <alignment horizontal="center" vertical="center"/>
      <protection locked="0"/>
    </xf>
    <xf numFmtId="0" fontId="61" fillId="0" borderId="102" xfId="0" applyFont="1" applyBorder="1" applyAlignment="1" applyProtection="1">
      <alignment horizontal="left" vertical="center" shrinkToFit="1"/>
      <protection locked="0"/>
    </xf>
    <xf numFmtId="233" fontId="61" fillId="0" borderId="114" xfId="0" applyNumberFormat="1" applyFont="1" applyBorder="1" applyAlignment="1" applyProtection="1">
      <alignment horizontal="center" vertical="center"/>
      <protection locked="0"/>
    </xf>
    <xf numFmtId="0" fontId="61" fillId="0" borderId="101" xfId="0" applyFont="1" applyBorder="1" applyAlignment="1" applyProtection="1">
      <alignment horizontal="left" vertical="center" shrinkToFit="1"/>
      <protection locked="0"/>
    </xf>
    <xf numFmtId="0" fontId="61" fillId="0" borderId="115" xfId="0" applyFont="1" applyBorder="1" applyAlignment="1" applyProtection="1">
      <alignment horizontal="left" vertical="center"/>
      <protection locked="0"/>
    </xf>
    <xf numFmtId="0" fontId="61" fillId="0" borderId="115" xfId="0" applyFont="1" applyBorder="1" applyAlignment="1" applyProtection="1">
      <alignment horizontal="center" vertical="center"/>
      <protection locked="0"/>
    </xf>
    <xf numFmtId="233" fontId="61" fillId="0" borderId="115" xfId="0" applyNumberFormat="1" applyFont="1" applyBorder="1" applyAlignment="1" applyProtection="1">
      <alignment horizontal="center" vertical="center"/>
      <protection locked="0"/>
    </xf>
    <xf numFmtId="208" fontId="61" fillId="0" borderId="100" xfId="0" applyNumberFormat="1" applyFont="1" applyBorder="1" applyAlignment="1" applyProtection="1">
      <alignment horizontal="right" vertical="center"/>
      <protection locked="0"/>
    </xf>
    <xf numFmtId="208" fontId="61" fillId="0" borderId="93" xfId="0" applyNumberFormat="1" applyFont="1" applyBorder="1" applyProtection="1">
      <alignment vertical="center"/>
      <protection locked="0"/>
    </xf>
    <xf numFmtId="233" fontId="61" fillId="0" borderId="121" xfId="0" applyNumberFormat="1" applyFont="1" applyBorder="1" applyAlignment="1" applyProtection="1">
      <alignment horizontal="center" vertical="center"/>
      <protection locked="0"/>
    </xf>
    <xf numFmtId="208" fontId="61" fillId="0" borderId="102" xfId="0" applyNumberFormat="1" applyFont="1" applyBorder="1" applyAlignment="1" applyProtection="1">
      <alignment horizontal="right" vertical="center"/>
      <protection locked="0"/>
    </xf>
    <xf numFmtId="208" fontId="61" fillId="0" borderId="101" xfId="0" applyNumberFormat="1" applyFont="1" applyBorder="1" applyAlignment="1" applyProtection="1">
      <alignment horizontal="right" vertical="center"/>
      <protection locked="0"/>
    </xf>
    <xf numFmtId="233" fontId="61" fillId="0" borderId="11" xfId="0" applyNumberFormat="1" applyFont="1" applyBorder="1" applyAlignment="1" applyProtection="1">
      <alignment horizontal="center" vertical="center"/>
      <protection locked="0"/>
    </xf>
    <xf numFmtId="0" fontId="61" fillId="0" borderId="55" xfId="0" applyFont="1" applyBorder="1" applyProtection="1">
      <alignment vertical="center"/>
      <protection locked="0"/>
    </xf>
    <xf numFmtId="0" fontId="61" fillId="0" borderId="29" xfId="0" applyFont="1" applyBorder="1" applyProtection="1">
      <alignment vertical="center"/>
      <protection locked="0"/>
    </xf>
    <xf numFmtId="0" fontId="61" fillId="0" borderId="29" xfId="0" applyFont="1" applyBorder="1" applyAlignment="1" applyProtection="1">
      <alignment vertical="center" wrapText="1"/>
      <protection locked="0"/>
    </xf>
    <xf numFmtId="0" fontId="61" fillId="0" borderId="68" xfId="0" applyFont="1" applyBorder="1" applyProtection="1">
      <alignment vertical="center"/>
      <protection locked="0"/>
    </xf>
    <xf numFmtId="0" fontId="61" fillId="0" borderId="56" xfId="0" applyFont="1" applyBorder="1" applyProtection="1">
      <alignment vertical="center"/>
      <protection locked="0"/>
    </xf>
    <xf numFmtId="0" fontId="61" fillId="0" borderId="23" xfId="0" applyFont="1" applyBorder="1" applyProtection="1">
      <alignment vertical="center"/>
      <protection locked="0"/>
    </xf>
    <xf numFmtId="0" fontId="61" fillId="0" borderId="36" xfId="0" applyFont="1" applyBorder="1" applyProtection="1">
      <alignment vertical="center"/>
      <protection locked="0"/>
    </xf>
    <xf numFmtId="0" fontId="61" fillId="0" borderId="30" xfId="0" applyFont="1" applyBorder="1" applyProtection="1">
      <alignment vertical="center"/>
      <protection locked="0"/>
    </xf>
    <xf numFmtId="0" fontId="61" fillId="0" borderId="30" xfId="0" applyFont="1" applyBorder="1" applyAlignment="1" applyProtection="1">
      <alignment vertical="center" wrapText="1"/>
      <protection locked="0"/>
    </xf>
    <xf numFmtId="0" fontId="61" fillId="0" borderId="37" xfId="0" applyFont="1" applyBorder="1" applyProtection="1">
      <alignment vertical="center"/>
      <protection locked="0"/>
    </xf>
    <xf numFmtId="0" fontId="61" fillId="0" borderId="97" xfId="0" applyFont="1" applyBorder="1" applyProtection="1">
      <alignment vertical="center"/>
      <protection locked="0"/>
    </xf>
    <xf numFmtId="0" fontId="150" fillId="0" borderId="0" xfId="0" applyFont="1">
      <alignment vertical="center"/>
    </xf>
    <xf numFmtId="0" fontId="141" fillId="0" borderId="0" xfId="0" applyFont="1" applyAlignment="1" applyProtection="1">
      <alignment horizontal="center" vertical="center"/>
      <protection locked="0"/>
    </xf>
    <xf numFmtId="0" fontId="142" fillId="0" borderId="0" xfId="0" applyFont="1" applyProtection="1">
      <alignment vertical="center"/>
      <protection locked="0"/>
    </xf>
    <xf numFmtId="0" fontId="141" fillId="2" borderId="11" xfId="0" applyFont="1" applyFill="1" applyBorder="1" applyAlignment="1" applyProtection="1">
      <alignment horizontal="center" vertical="center"/>
      <protection locked="0"/>
    </xf>
    <xf numFmtId="0" fontId="141" fillId="2" borderId="15" xfId="0" applyFont="1" applyFill="1" applyBorder="1" applyAlignment="1" applyProtection="1">
      <alignment horizontal="center" vertical="center"/>
      <protection locked="0"/>
    </xf>
    <xf numFmtId="0" fontId="150" fillId="0" borderId="0" xfId="0" applyFont="1" applyProtection="1">
      <alignment vertical="center"/>
      <protection locked="0"/>
    </xf>
    <xf numFmtId="0" fontId="141" fillId="0" borderId="1" xfId="0" applyFont="1" applyBorder="1" applyAlignment="1" applyProtection="1">
      <alignment horizontal="center" vertical="center"/>
      <protection locked="0"/>
    </xf>
    <xf numFmtId="0" fontId="141" fillId="0" borderId="0" xfId="0" applyFont="1" applyAlignment="1" applyProtection="1">
      <alignment horizontal="left" vertical="center"/>
      <protection locked="0"/>
    </xf>
    <xf numFmtId="0" fontId="133" fillId="0" borderId="0" xfId="0" applyFont="1" applyAlignment="1" applyProtection="1">
      <alignment horizontal="center" vertical="center"/>
      <protection locked="0"/>
    </xf>
    <xf numFmtId="0" fontId="132" fillId="0" borderId="0" xfId="0" applyFont="1" applyProtection="1">
      <alignment vertical="center"/>
      <protection locked="0"/>
    </xf>
    <xf numFmtId="0" fontId="63" fillId="0" borderId="0" xfId="0" applyFont="1" applyProtection="1">
      <alignment vertical="center"/>
      <protection locked="0"/>
    </xf>
    <xf numFmtId="0" fontId="135" fillId="0" borderId="55" xfId="0" applyFont="1" applyBorder="1" applyProtection="1">
      <alignment vertical="center"/>
      <protection locked="0"/>
    </xf>
    <xf numFmtId="0" fontId="63" fillId="0" borderId="91" xfId="0" applyFont="1" applyBorder="1" applyProtection="1">
      <alignment vertical="center"/>
      <protection locked="0"/>
    </xf>
    <xf numFmtId="0" fontId="63" fillId="0" borderId="92" xfId="0" applyFont="1" applyBorder="1" applyProtection="1">
      <alignment vertical="center"/>
      <protection locked="0"/>
    </xf>
    <xf numFmtId="0" fontId="63" fillId="0" borderId="93" xfId="0" applyFont="1" applyBorder="1" applyProtection="1">
      <alignment vertical="center"/>
      <protection locked="0"/>
    </xf>
    <xf numFmtId="0" fontId="135" fillId="0" borderId="100" xfId="0" applyFont="1" applyBorder="1" applyProtection="1">
      <alignment vertical="center"/>
      <protection locked="0"/>
    </xf>
    <xf numFmtId="0" fontId="61" fillId="0" borderId="92" xfId="0" applyFont="1" applyBorder="1" applyProtection="1">
      <alignment vertical="center"/>
      <protection locked="0"/>
    </xf>
    <xf numFmtId="0" fontId="61" fillId="0" borderId="93" xfId="0" applyFont="1" applyBorder="1" applyProtection="1">
      <alignment vertical="center"/>
      <protection locked="0"/>
    </xf>
    <xf numFmtId="0" fontId="61" fillId="0" borderId="94" xfId="0" applyFont="1" applyBorder="1" applyProtection="1">
      <alignment vertical="center"/>
      <protection locked="0"/>
    </xf>
    <xf numFmtId="0" fontId="61" fillId="0" borderId="94" xfId="0" applyFont="1" applyBorder="1" applyAlignment="1" applyProtection="1">
      <alignment horizontal="left" vertical="center"/>
      <protection locked="0"/>
    </xf>
    <xf numFmtId="0" fontId="61" fillId="0" borderId="102" xfId="0" applyFont="1" applyBorder="1" applyProtection="1">
      <alignment vertical="center"/>
      <protection locked="0"/>
    </xf>
    <xf numFmtId="0" fontId="135" fillId="0" borderId="93" xfId="0" applyFont="1" applyBorder="1" applyProtection="1">
      <alignment vertical="center"/>
      <protection locked="0"/>
    </xf>
    <xf numFmtId="0" fontId="135" fillId="0" borderId="93" xfId="0" applyFont="1" applyBorder="1" applyAlignment="1" applyProtection="1">
      <alignment vertical="center" wrapText="1"/>
      <protection locked="0"/>
    </xf>
    <xf numFmtId="0" fontId="135" fillId="0" borderId="92" xfId="0" applyFont="1" applyBorder="1" applyProtection="1">
      <alignment vertical="center"/>
      <protection locked="0"/>
    </xf>
    <xf numFmtId="0" fontId="134" fillId="0" borderId="92" xfId="0" applyFont="1" applyBorder="1" applyProtection="1">
      <alignment vertical="center"/>
      <protection locked="0"/>
    </xf>
    <xf numFmtId="0" fontId="134" fillId="0" borderId="93" xfId="0" applyFont="1" applyBorder="1" applyProtection="1">
      <alignment vertical="center"/>
      <protection locked="0"/>
    </xf>
    <xf numFmtId="0" fontId="61" fillId="0" borderId="108" xfId="0" applyFont="1" applyBorder="1" applyProtection="1">
      <alignment vertical="center"/>
      <protection locked="0"/>
    </xf>
    <xf numFmtId="0" fontId="61" fillId="0" borderId="109" xfId="0" applyFont="1" applyBorder="1" applyAlignment="1" applyProtection="1">
      <alignment horizontal="left" vertical="center"/>
      <protection locked="0"/>
    </xf>
    <xf numFmtId="0" fontId="61" fillId="0" borderId="110" xfId="0" applyFont="1" applyBorder="1" applyProtection="1">
      <alignment vertical="center"/>
      <protection locked="0"/>
    </xf>
    <xf numFmtId="0" fontId="61" fillId="0" borderId="30" xfId="0" applyFont="1" applyBorder="1" applyAlignment="1" applyProtection="1">
      <alignment horizontal="left" vertical="center"/>
      <protection locked="0"/>
    </xf>
    <xf numFmtId="0" fontId="135" fillId="0" borderId="80" xfId="0" applyFont="1" applyBorder="1" applyProtection="1">
      <alignment vertical="center"/>
      <protection locked="0"/>
    </xf>
    <xf numFmtId="0" fontId="63" fillId="0" borderId="118" xfId="0" applyFont="1" applyBorder="1" applyAlignment="1" applyProtection="1">
      <alignment horizontal="center" vertical="center"/>
      <protection locked="0"/>
    </xf>
    <xf numFmtId="0" fontId="63" fillId="0" borderId="118" xfId="0" applyFont="1" applyBorder="1" applyAlignment="1" applyProtection="1">
      <alignment horizontal="center" vertical="center" wrapText="1"/>
      <protection locked="0"/>
    </xf>
    <xf numFmtId="192" fontId="61" fillId="0" borderId="0" xfId="0" applyNumberFormat="1" applyFont="1" applyProtection="1">
      <alignment vertical="center"/>
      <protection locked="0"/>
    </xf>
    <xf numFmtId="49" fontId="61" fillId="0" borderId="0" xfId="0" applyNumberFormat="1" applyFont="1" applyProtection="1">
      <alignment vertical="center"/>
      <protection locked="0"/>
    </xf>
    <xf numFmtId="186" fontId="61" fillId="0" borderId="0" xfId="0" applyNumberFormat="1" applyFont="1" applyProtection="1">
      <alignment vertical="center"/>
      <protection locked="0"/>
    </xf>
    <xf numFmtId="191" fontId="61" fillId="0" borderId="0" xfId="0" applyNumberFormat="1" applyFont="1" applyProtection="1">
      <alignment vertical="center"/>
      <protection locked="0"/>
    </xf>
    <xf numFmtId="0" fontId="61" fillId="0" borderId="0" xfId="0" applyFont="1" applyAlignment="1" applyProtection="1">
      <alignment horizontal="right" vertical="center"/>
      <protection locked="0"/>
    </xf>
    <xf numFmtId="0" fontId="127" fillId="0" borderId="0" xfId="0" applyFont="1" applyProtection="1">
      <alignment vertical="center"/>
      <protection locked="0"/>
    </xf>
    <xf numFmtId="0" fontId="126" fillId="0" borderId="0" xfId="0" applyFont="1" applyProtection="1">
      <alignment vertical="center"/>
      <protection locked="0"/>
    </xf>
    <xf numFmtId="0" fontId="61" fillId="0" borderId="0" xfId="0" applyFont="1" applyAlignment="1" applyProtection="1">
      <alignment horizontal="right" vertical="center" wrapText="1"/>
      <protection locked="0"/>
    </xf>
    <xf numFmtId="233" fontId="61" fillId="0" borderId="90" xfId="0" applyNumberFormat="1" applyFont="1" applyBorder="1" applyAlignment="1" applyProtection="1">
      <alignment horizontal="center" vertical="center"/>
      <protection locked="0"/>
    </xf>
    <xf numFmtId="0" fontId="61" fillId="0" borderId="109" xfId="0" applyFont="1" applyBorder="1" applyProtection="1">
      <alignment vertical="center"/>
      <protection locked="0"/>
    </xf>
    <xf numFmtId="186" fontId="61" fillId="0" borderId="113" xfId="0" applyNumberFormat="1" applyFont="1" applyBorder="1" applyAlignment="1" applyProtection="1">
      <alignment horizontal="center" vertical="center"/>
      <protection locked="0"/>
    </xf>
    <xf numFmtId="195" fontId="61" fillId="0" borderId="114" xfId="0" applyNumberFormat="1" applyFont="1" applyBorder="1" applyAlignment="1" applyProtection="1">
      <alignment horizontal="center" vertical="center"/>
      <protection locked="0"/>
    </xf>
    <xf numFmtId="186" fontId="61" fillId="0" borderId="114" xfId="0" applyNumberFormat="1" applyFont="1" applyBorder="1" applyAlignment="1" applyProtection="1">
      <alignment horizontal="center" vertical="center"/>
      <protection locked="0"/>
    </xf>
    <xf numFmtId="0" fontId="15" fillId="0" borderId="0" xfId="0" applyFont="1" applyAlignment="1">
      <alignment horizontal="center" vertical="center"/>
    </xf>
    <xf numFmtId="49" fontId="52" fillId="8" borderId="1" xfId="0" applyNumberFormat="1" applyFont="1" applyFill="1" applyBorder="1" applyAlignment="1">
      <alignment horizontal="center" vertical="center"/>
    </xf>
    <xf numFmtId="0" fontId="35" fillId="0" borderId="1" xfId="0" applyFont="1" applyBorder="1" applyAlignment="1">
      <alignment horizontal="left" vertical="center"/>
    </xf>
    <xf numFmtId="0" fontId="18" fillId="0" borderId="0" xfId="0" applyFont="1" applyAlignment="1">
      <alignment horizontal="center" vertical="center"/>
    </xf>
    <xf numFmtId="0" fontId="124" fillId="10" borderId="11" xfId="0" applyFont="1" applyFill="1" applyBorder="1" applyAlignment="1">
      <alignment horizontal="center" vertical="center"/>
    </xf>
    <xf numFmtId="188" fontId="7" fillId="0" borderId="1" xfId="0" applyNumberFormat="1" applyFont="1" applyBorder="1">
      <alignment vertical="center"/>
    </xf>
    <xf numFmtId="236" fontId="110" fillId="0" borderId="1" xfId="0" applyNumberFormat="1" applyFont="1" applyBorder="1" applyAlignment="1">
      <alignment horizontal="right" vertical="center"/>
    </xf>
    <xf numFmtId="237" fontId="7" fillId="0" borderId="1" xfId="0" applyNumberFormat="1" applyFont="1" applyBorder="1">
      <alignment vertical="center"/>
    </xf>
    <xf numFmtId="179" fontId="84" fillId="0" borderId="1" xfId="0" applyNumberFormat="1" applyFont="1" applyBorder="1" applyAlignment="1">
      <alignment horizontal="left" vertical="center"/>
    </xf>
    <xf numFmtId="238" fontId="7" fillId="7" borderId="1" xfId="0" applyNumberFormat="1" applyFont="1" applyFill="1" applyBorder="1">
      <alignment vertical="center"/>
    </xf>
    <xf numFmtId="179" fontId="35" fillId="7" borderId="1" xfId="0" applyNumberFormat="1" applyFont="1" applyFill="1" applyBorder="1" applyAlignment="1">
      <alignment horizontal="center" vertical="center" wrapText="1"/>
    </xf>
    <xf numFmtId="193" fontId="7" fillId="3" borderId="1" xfId="0" applyNumberFormat="1" applyFont="1" applyFill="1" applyBorder="1">
      <alignment vertical="center"/>
    </xf>
    <xf numFmtId="194" fontId="7" fillId="3" borderId="1" xfId="0" applyNumberFormat="1" applyFont="1" applyFill="1" applyBorder="1">
      <alignment vertical="center"/>
    </xf>
    <xf numFmtId="236" fontId="61" fillId="0" borderId="114" xfId="0" applyNumberFormat="1" applyFont="1" applyBorder="1" applyAlignment="1" applyProtection="1">
      <alignment horizontal="center" vertical="center"/>
      <protection locked="0"/>
    </xf>
    <xf numFmtId="237" fontId="61" fillId="0" borderId="114" xfId="0" applyNumberFormat="1" applyFont="1" applyBorder="1" applyAlignment="1" applyProtection="1">
      <alignment horizontal="center" vertical="center"/>
      <protection locked="0"/>
    </xf>
    <xf numFmtId="0" fontId="133" fillId="0" borderId="92" xfId="0" applyFont="1" applyBorder="1" applyProtection="1">
      <alignment vertical="center"/>
      <protection locked="0"/>
    </xf>
    <xf numFmtId="0" fontId="5" fillId="0" borderId="9" xfId="0" applyFont="1" applyBorder="1">
      <alignment vertical="center"/>
    </xf>
    <xf numFmtId="239" fontId="5" fillId="0" borderId="10" xfId="0" applyNumberFormat="1" applyFont="1" applyBorder="1">
      <alignment vertical="center"/>
    </xf>
    <xf numFmtId="0" fontId="5" fillId="0" borderId="9" xfId="0" applyFont="1" applyBorder="1" applyAlignment="1">
      <alignment horizontal="center" vertical="center"/>
    </xf>
    <xf numFmtId="0" fontId="5" fillId="0" borderId="10" xfId="0" applyFont="1" applyBorder="1" applyAlignment="1">
      <alignment horizontal="center" vertical="center"/>
    </xf>
    <xf numFmtId="238" fontId="7" fillId="0" borderId="1" xfId="0" applyNumberFormat="1" applyFont="1" applyBorder="1">
      <alignment vertical="center"/>
    </xf>
    <xf numFmtId="179" fontId="5" fillId="0" borderId="10" xfId="0" applyNumberFormat="1" applyFont="1" applyBorder="1">
      <alignment vertical="center"/>
    </xf>
    <xf numFmtId="0" fontId="151" fillId="0" borderId="55" xfId="0" applyFont="1" applyBorder="1" applyAlignment="1">
      <alignment horizontal="center" vertical="center"/>
    </xf>
    <xf numFmtId="240" fontId="5" fillId="0" borderId="68" xfId="0" applyNumberFormat="1" applyFont="1" applyBorder="1">
      <alignment vertical="center"/>
    </xf>
    <xf numFmtId="183" fontId="6" fillId="0" borderId="85" xfId="0" applyNumberFormat="1" applyFont="1" applyBorder="1" applyAlignment="1">
      <alignment horizontal="left" vertical="center"/>
    </xf>
    <xf numFmtId="0" fontId="5" fillId="0" borderId="2" xfId="0" applyFont="1" applyBorder="1">
      <alignment vertical="center"/>
    </xf>
    <xf numFmtId="0" fontId="5" fillId="0" borderId="87" xfId="0" applyFont="1" applyBorder="1">
      <alignment vertical="center"/>
    </xf>
    <xf numFmtId="0" fontId="5" fillId="0" borderId="88" xfId="0" applyFont="1" applyBorder="1">
      <alignment vertical="center"/>
    </xf>
    <xf numFmtId="0" fontId="5" fillId="0" borderId="86" xfId="0" applyFont="1" applyBorder="1">
      <alignment vertical="center"/>
    </xf>
    <xf numFmtId="182" fontId="6" fillId="0" borderId="2" xfId="0" applyNumberFormat="1" applyFont="1" applyBorder="1">
      <alignment vertical="center"/>
    </xf>
    <xf numFmtId="0" fontId="6" fillId="0" borderId="2" xfId="0" applyFont="1" applyBorder="1" applyAlignment="1">
      <alignment horizontal="center" vertical="center"/>
    </xf>
    <xf numFmtId="0" fontId="6" fillId="0" borderId="86" xfId="0" applyFont="1" applyBorder="1" applyAlignment="1">
      <alignment horizontal="center" vertical="center"/>
    </xf>
    <xf numFmtId="0" fontId="5" fillId="0" borderId="19" xfId="0" applyFont="1" applyBorder="1" applyAlignment="1">
      <alignment horizontal="center" vertical="center"/>
    </xf>
    <xf numFmtId="179" fontId="6" fillId="0" borderId="2" xfId="0" applyNumberFormat="1" applyFont="1" applyBorder="1" applyAlignment="1">
      <alignment horizontal="center" vertical="center"/>
    </xf>
    <xf numFmtId="183" fontId="6" fillId="0" borderId="16" xfId="0" applyNumberFormat="1" applyFont="1" applyBorder="1" applyAlignment="1">
      <alignment horizontal="left" vertical="center"/>
    </xf>
    <xf numFmtId="0" fontId="5" fillId="0" borderId="18" xfId="0" applyFont="1" applyBorder="1">
      <alignment vertical="center"/>
    </xf>
    <xf numFmtId="0" fontId="5" fillId="0" borderId="18" xfId="0" applyFont="1" applyBorder="1" applyAlignment="1">
      <alignment horizontal="center" vertical="center"/>
    </xf>
    <xf numFmtId="180" fontId="5" fillId="0" borderId="18" xfId="0" applyNumberFormat="1" applyFont="1" applyBorder="1" applyAlignment="1">
      <alignment horizontal="center" vertical="center"/>
    </xf>
    <xf numFmtId="182" fontId="6" fillId="0" borderId="18" xfId="0" applyNumberFormat="1" applyFont="1" applyBorder="1">
      <alignment vertical="center"/>
    </xf>
    <xf numFmtId="0" fontId="6" fillId="0" borderId="18" xfId="0" applyFont="1" applyBorder="1" applyAlignment="1">
      <alignment horizontal="center" vertical="center"/>
    </xf>
    <xf numFmtId="0" fontId="6" fillId="0" borderId="138" xfId="0" applyFont="1" applyBorder="1" applyAlignment="1">
      <alignment horizontal="center" vertical="center"/>
    </xf>
    <xf numFmtId="0" fontId="5" fillId="0" borderId="20" xfId="0" applyFont="1" applyBorder="1" applyAlignment="1">
      <alignment horizontal="center" vertical="center"/>
    </xf>
    <xf numFmtId="179" fontId="5" fillId="0" borderId="18" xfId="0" applyNumberFormat="1" applyFont="1" applyBorder="1">
      <alignment vertical="center"/>
    </xf>
    <xf numFmtId="0" fontId="43" fillId="0" borderId="15" xfId="0" applyFont="1" applyBorder="1">
      <alignment vertical="center"/>
    </xf>
    <xf numFmtId="0" fontId="43" fillId="0" borderId="15" xfId="0" applyFont="1" applyBorder="1" applyAlignment="1">
      <alignment horizontal="right" vertical="center"/>
    </xf>
    <xf numFmtId="176" fontId="43" fillId="0" borderId="15" xfId="0" applyNumberFormat="1" applyFont="1" applyBorder="1" applyAlignment="1">
      <alignment horizontal="right" vertical="center"/>
    </xf>
    <xf numFmtId="177" fontId="43" fillId="0" borderId="15" xfId="0" applyNumberFormat="1" applyFont="1" applyBorder="1" applyAlignment="1">
      <alignment horizontal="right" vertical="center"/>
    </xf>
    <xf numFmtId="178" fontId="43" fillId="0" borderId="15" xfId="0" applyNumberFormat="1" applyFont="1" applyBorder="1" applyAlignment="1">
      <alignment horizontal="right" vertical="center"/>
    </xf>
    <xf numFmtId="180" fontId="43" fillId="0" borderId="15" xfId="0" applyNumberFormat="1" applyFont="1" applyBorder="1" applyAlignment="1">
      <alignment horizontal="right" vertical="center"/>
    </xf>
    <xf numFmtId="182" fontId="43" fillId="0" borderId="15" xfId="0" applyNumberFormat="1" applyFont="1" applyBorder="1" applyAlignment="1">
      <alignment horizontal="right" vertical="center"/>
    </xf>
    <xf numFmtId="179" fontId="6" fillId="0" borderId="15" xfId="0" applyNumberFormat="1" applyFont="1" applyBorder="1" applyAlignment="1">
      <alignment horizontal="center" vertical="center"/>
    </xf>
    <xf numFmtId="179" fontId="70" fillId="0" borderId="1" xfId="0" applyNumberFormat="1" applyFont="1" applyBorder="1" applyAlignment="1">
      <alignment horizontal="center" vertical="center"/>
    </xf>
    <xf numFmtId="239" fontId="43" fillId="0" borderId="15" xfId="0" applyNumberFormat="1" applyFont="1" applyBorder="1" applyAlignment="1">
      <alignment horizontal="center" vertical="center"/>
    </xf>
    <xf numFmtId="0" fontId="28" fillId="3" borderId="1" xfId="0" applyFont="1" applyFill="1" applyBorder="1" applyAlignment="1">
      <alignment horizontal="left" vertical="center"/>
    </xf>
    <xf numFmtId="0" fontId="43" fillId="3" borderId="1" xfId="0" applyFont="1" applyFill="1" applyBorder="1" applyAlignment="1">
      <alignment horizontal="right" vertical="center"/>
    </xf>
    <xf numFmtId="176" fontId="70" fillId="3" borderId="0" xfId="0" applyNumberFormat="1" applyFont="1" applyFill="1" applyAlignment="1">
      <alignment horizontal="left" vertical="center"/>
    </xf>
    <xf numFmtId="177" fontId="43" fillId="3" borderId="1" xfId="0" applyNumberFormat="1" applyFont="1" applyFill="1" applyBorder="1" applyAlignment="1">
      <alignment horizontal="right" vertical="center"/>
    </xf>
    <xf numFmtId="185" fontId="70" fillId="0" borderId="1" xfId="0" applyNumberFormat="1" applyFont="1" applyBorder="1" applyAlignment="1">
      <alignment horizontal="right" vertical="center"/>
    </xf>
    <xf numFmtId="182" fontId="43" fillId="0" borderId="1" xfId="0" applyNumberFormat="1" applyFont="1" applyBorder="1" applyAlignment="1">
      <alignment horizontal="right" vertical="center"/>
    </xf>
    <xf numFmtId="179" fontId="14" fillId="0" borderId="1" xfId="0" applyNumberFormat="1" applyFont="1" applyBorder="1" applyAlignment="1">
      <alignment horizontal="center" vertical="center"/>
    </xf>
    <xf numFmtId="181" fontId="103" fillId="0" borderId="1" xfId="0" applyNumberFormat="1" applyFont="1" applyBorder="1" applyAlignment="1">
      <alignment horizontal="center" vertical="center"/>
    </xf>
    <xf numFmtId="0" fontId="70" fillId="3" borderId="1" xfId="0" applyFont="1" applyFill="1" applyBorder="1" applyAlignment="1">
      <alignment horizontal="right" vertical="center"/>
    </xf>
    <xf numFmtId="176" fontId="70" fillId="3" borderId="1" xfId="0" applyNumberFormat="1" applyFont="1" applyFill="1" applyBorder="1" applyAlignment="1">
      <alignment horizontal="right" vertical="center"/>
    </xf>
    <xf numFmtId="177" fontId="70" fillId="3" borderId="1" xfId="0" applyNumberFormat="1" applyFont="1" applyFill="1" applyBorder="1" applyAlignment="1">
      <alignment horizontal="right" vertical="center"/>
    </xf>
    <xf numFmtId="182" fontId="70" fillId="0" borderId="1" xfId="0" applyNumberFormat="1" applyFont="1" applyBorder="1">
      <alignment vertical="center"/>
    </xf>
    <xf numFmtId="0" fontId="27" fillId="3" borderId="1" xfId="0" applyFont="1" applyFill="1" applyBorder="1" applyAlignment="1">
      <alignment horizontal="left" vertical="center"/>
    </xf>
    <xf numFmtId="179" fontId="7" fillId="3" borderId="1" xfId="0" applyNumberFormat="1" applyFont="1" applyFill="1" applyBorder="1" applyAlignment="1">
      <alignment horizontal="center" vertical="center"/>
    </xf>
    <xf numFmtId="0" fontId="70" fillId="0" borderId="1" xfId="0" applyFont="1" applyBorder="1">
      <alignment vertical="center"/>
    </xf>
    <xf numFmtId="0" fontId="70" fillId="0" borderId="1" xfId="0" applyFont="1" applyBorder="1" applyAlignment="1">
      <alignment horizontal="right" vertical="center"/>
    </xf>
    <xf numFmtId="176" fontId="70" fillId="0" borderId="1" xfId="0" applyNumberFormat="1" applyFont="1" applyBorder="1" applyAlignment="1">
      <alignment horizontal="right" vertical="center"/>
    </xf>
    <xf numFmtId="177" fontId="70" fillId="0" borderId="1" xfId="0" applyNumberFormat="1" applyFont="1" applyBorder="1" applyAlignment="1">
      <alignment horizontal="right" vertical="center"/>
    </xf>
    <xf numFmtId="239" fontId="84" fillId="0" borderId="1" xfId="0" applyNumberFormat="1" applyFont="1" applyBorder="1" applyAlignment="1">
      <alignment horizontal="center" vertical="center"/>
    </xf>
    <xf numFmtId="0" fontId="91" fillId="11" borderId="0" xfId="0" applyFont="1" applyFill="1" applyAlignment="1">
      <alignment horizontal="center" vertical="center"/>
    </xf>
    <xf numFmtId="0" fontId="92" fillId="11" borderId="0" xfId="0" applyFont="1" applyFill="1" applyAlignment="1">
      <alignment horizontal="center" vertical="center"/>
    </xf>
    <xf numFmtId="0" fontId="5" fillId="2" borderId="0" xfId="0" applyFont="1" applyFill="1">
      <alignment vertical="center"/>
    </xf>
    <xf numFmtId="49" fontId="6" fillId="2" borderId="1" xfId="0" applyNumberFormat="1" applyFont="1" applyFill="1" applyBorder="1" applyAlignment="1">
      <alignment horizontal="left" vertical="center"/>
    </xf>
    <xf numFmtId="0" fontId="5" fillId="2" borderId="1" xfId="0" applyFont="1" applyFill="1" applyBorder="1">
      <alignment vertical="center"/>
    </xf>
    <xf numFmtId="0" fontId="5" fillId="2" borderId="1" xfId="0" applyFont="1" applyFill="1" applyBorder="1" applyAlignment="1">
      <alignment horizontal="left" vertical="center"/>
    </xf>
    <xf numFmtId="187" fontId="5" fillId="2" borderId="1" xfId="0" applyNumberFormat="1" applyFont="1" applyFill="1" applyBorder="1">
      <alignment vertical="center"/>
    </xf>
    <xf numFmtId="0" fontId="5" fillId="2" borderId="1" xfId="0" applyFont="1" applyFill="1" applyBorder="1" applyAlignment="1">
      <alignment horizontal="center" vertical="center"/>
    </xf>
    <xf numFmtId="193" fontId="5" fillId="2" borderId="1" xfId="0" applyNumberFormat="1" applyFont="1" applyFill="1" applyBorder="1">
      <alignment vertical="center"/>
    </xf>
    <xf numFmtId="194" fontId="5" fillId="2" borderId="1" xfId="0" applyNumberFormat="1" applyFont="1" applyFill="1" applyBorder="1">
      <alignment vertical="center"/>
    </xf>
    <xf numFmtId="0" fontId="5" fillId="2" borderId="3" xfId="0" applyFont="1" applyFill="1" applyBorder="1" applyAlignment="1">
      <alignment horizontal="center"/>
    </xf>
    <xf numFmtId="191" fontId="5" fillId="2" borderId="1" xfId="0" applyNumberFormat="1" applyFont="1" applyFill="1" applyBorder="1">
      <alignment vertical="center"/>
    </xf>
    <xf numFmtId="0" fontId="6" fillId="2" borderId="1" xfId="0" applyFont="1" applyFill="1" applyBorder="1">
      <alignment vertical="center"/>
    </xf>
    <xf numFmtId="49" fontId="5" fillId="2" borderId="1" xfId="0" applyNumberFormat="1" applyFont="1" applyFill="1" applyBorder="1" applyAlignment="1">
      <alignment horizontal="left" vertical="center"/>
    </xf>
    <xf numFmtId="188" fontId="5" fillId="2" borderId="1" xfId="0" applyNumberFormat="1" applyFont="1" applyFill="1" applyBorder="1">
      <alignment vertical="center"/>
    </xf>
    <xf numFmtId="186" fontId="5" fillId="2" borderId="1" xfId="0" applyNumberFormat="1" applyFont="1" applyFill="1" applyBorder="1">
      <alignment vertical="center"/>
    </xf>
    <xf numFmtId="188" fontId="18" fillId="2" borderId="1" xfId="0" applyNumberFormat="1" applyFont="1" applyFill="1" applyBorder="1">
      <alignment vertical="center"/>
    </xf>
    <xf numFmtId="176" fontId="5" fillId="2" borderId="1" xfId="0" applyNumberFormat="1" applyFont="1" applyFill="1" applyBorder="1" applyAlignment="1">
      <alignment horizontal="center" vertical="center"/>
    </xf>
    <xf numFmtId="185" fontId="5" fillId="2" borderId="1" xfId="0" applyNumberFormat="1" applyFont="1" applyFill="1" applyBorder="1" applyAlignment="1">
      <alignment horizontal="right" vertical="center"/>
    </xf>
    <xf numFmtId="188" fontId="5" fillId="0" borderId="1" xfId="0" applyNumberFormat="1" applyFont="1" applyBorder="1">
      <alignment vertical="center"/>
    </xf>
    <xf numFmtId="186" fontId="5" fillId="0" borderId="1" xfId="0" applyNumberFormat="1" applyFont="1" applyBorder="1">
      <alignment vertical="center"/>
    </xf>
    <xf numFmtId="192" fontId="13" fillId="0" borderId="8" xfId="0" applyNumberFormat="1" applyFont="1" applyBorder="1">
      <alignment vertical="center"/>
    </xf>
    <xf numFmtId="192" fontId="13" fillId="0" borderId="8" xfId="0" applyNumberFormat="1" applyFont="1" applyBorder="1" applyAlignment="1">
      <alignment horizontal="center" vertical="center"/>
    </xf>
    <xf numFmtId="192" fontId="13" fillId="0" borderId="10" xfId="0" applyNumberFormat="1" applyFont="1" applyBorder="1">
      <alignment vertical="center"/>
    </xf>
    <xf numFmtId="192" fontId="19" fillId="0" borderId="9" xfId="0" applyNumberFormat="1" applyFont="1" applyBorder="1">
      <alignment vertical="center"/>
    </xf>
    <xf numFmtId="179" fontId="35" fillId="0" borderId="1" xfId="0" applyNumberFormat="1" applyFont="1" applyBorder="1" applyAlignment="1">
      <alignment horizontal="center" vertical="center" wrapText="1"/>
    </xf>
    <xf numFmtId="179" fontId="152" fillId="0" borderId="1" xfId="0" applyNumberFormat="1" applyFont="1" applyBorder="1" applyAlignment="1">
      <alignment horizontal="center" vertical="center" wrapText="1"/>
    </xf>
    <xf numFmtId="192" fontId="21" fillId="0" borderId="1" xfId="0" applyNumberFormat="1" applyFont="1" applyBorder="1" applyAlignment="1">
      <alignment horizontal="center" vertical="center"/>
    </xf>
    <xf numFmtId="191" fontId="0" fillId="0" borderId="1" xfId="0" applyNumberFormat="1" applyBorder="1" applyAlignment="1">
      <alignment horizontal="right" vertical="center"/>
    </xf>
    <xf numFmtId="49" fontId="84" fillId="0" borderId="1" xfId="0" applyNumberFormat="1" applyFont="1" applyBorder="1" applyAlignment="1">
      <alignment horizontal="left" vertical="center"/>
    </xf>
    <xf numFmtId="0" fontId="153" fillId="0" borderId="1" xfId="0" applyFont="1" applyBorder="1" applyAlignment="1">
      <alignment horizontal="center" vertical="center"/>
    </xf>
    <xf numFmtId="192" fontId="154" fillId="0" borderId="1" xfId="0" applyNumberFormat="1" applyFont="1" applyBorder="1" applyAlignment="1">
      <alignment horizontal="center" vertical="center"/>
    </xf>
    <xf numFmtId="238" fontId="5" fillId="0" borderId="1" xfId="0" applyNumberFormat="1" applyFont="1" applyBorder="1">
      <alignment vertical="center"/>
    </xf>
    <xf numFmtId="188" fontId="5" fillId="0" borderId="1" xfId="0" applyNumberFormat="1" applyFont="1" applyBorder="1" applyAlignment="1">
      <alignment horizontal="center" vertical="center"/>
    </xf>
    <xf numFmtId="241" fontId="5" fillId="0" borderId="1" xfId="0" applyNumberFormat="1" applyFont="1" applyBorder="1">
      <alignment vertical="center"/>
    </xf>
    <xf numFmtId="192" fontId="125" fillId="0" borderId="1" xfId="0" applyNumberFormat="1" applyFont="1" applyBorder="1" applyAlignment="1">
      <alignment horizontal="center" vertical="center"/>
    </xf>
    <xf numFmtId="197" fontId="75" fillId="0" borderId="1" xfId="0" applyNumberFormat="1" applyFont="1" applyBorder="1" applyAlignment="1">
      <alignment horizontal="center" vertical="center"/>
    </xf>
    <xf numFmtId="0" fontId="75" fillId="0" borderId="0" xfId="0" applyFont="1">
      <alignment vertical="center"/>
    </xf>
    <xf numFmtId="191" fontId="5" fillId="0" borderId="9" xfId="0" applyNumberFormat="1" applyFont="1" applyBorder="1">
      <alignment vertical="center"/>
    </xf>
    <xf numFmtId="192" fontId="155" fillId="0" borderId="1" xfId="0" applyNumberFormat="1" applyFont="1" applyBorder="1" applyAlignment="1">
      <alignment horizontal="center" vertical="center"/>
    </xf>
    <xf numFmtId="0" fontId="5" fillId="0" borderId="1" xfId="0" applyFont="1" applyBorder="1" applyAlignment="1">
      <alignment horizontal="right" vertical="center"/>
    </xf>
    <xf numFmtId="215" fontId="5" fillId="0" borderId="1" xfId="0" applyNumberFormat="1" applyFont="1" applyBorder="1">
      <alignment vertical="center"/>
    </xf>
    <xf numFmtId="238" fontId="5" fillId="0" borderId="3" xfId="0" applyNumberFormat="1" applyFont="1" applyBorder="1">
      <alignment vertical="center"/>
    </xf>
    <xf numFmtId="0" fontId="5" fillId="0" borderId="1" xfId="0" applyFont="1" applyBorder="1" applyAlignment="1">
      <alignment horizontal="center"/>
    </xf>
    <xf numFmtId="191" fontId="5" fillId="0" borderId="0" xfId="0" applyNumberFormat="1" applyFont="1">
      <alignment vertical="center"/>
    </xf>
    <xf numFmtId="186" fontId="5" fillId="0" borderId="0" xfId="0" applyNumberFormat="1" applyFont="1">
      <alignment vertical="center"/>
    </xf>
    <xf numFmtId="49" fontId="73" fillId="0" borderId="1" xfId="0" applyNumberFormat="1" applyFont="1" applyBorder="1" applyAlignment="1">
      <alignment horizontal="left" vertical="center"/>
    </xf>
    <xf numFmtId="0" fontId="73" fillId="0" borderId="1" xfId="0" applyFont="1" applyBorder="1">
      <alignment vertical="center"/>
    </xf>
    <xf numFmtId="176" fontId="73" fillId="0" borderId="1" xfId="0" applyNumberFormat="1" applyFont="1" applyBorder="1" applyAlignment="1">
      <alignment horizontal="center" vertical="center"/>
    </xf>
    <xf numFmtId="185" fontId="73" fillId="0" borderId="1" xfId="0" applyNumberFormat="1" applyFont="1" applyBorder="1" applyAlignment="1">
      <alignment horizontal="right" vertical="center"/>
    </xf>
    <xf numFmtId="194" fontId="73" fillId="0" borderId="1" xfId="0" applyNumberFormat="1" applyFont="1" applyBorder="1">
      <alignment vertical="center"/>
    </xf>
    <xf numFmtId="193" fontId="73" fillId="0" borderId="1" xfId="0" applyNumberFormat="1" applyFont="1" applyBorder="1">
      <alignment vertical="center"/>
    </xf>
    <xf numFmtId="238" fontId="73" fillId="0" borderId="1" xfId="0" applyNumberFormat="1" applyFont="1" applyBorder="1">
      <alignment vertical="center"/>
    </xf>
    <xf numFmtId="191" fontId="73" fillId="0" borderId="0" xfId="0" applyNumberFormat="1" applyFont="1">
      <alignment vertical="center"/>
    </xf>
    <xf numFmtId="186" fontId="73" fillId="0" borderId="0" xfId="0" applyNumberFormat="1" applyFont="1">
      <alignment vertical="center"/>
    </xf>
    <xf numFmtId="49" fontId="156" fillId="0" borderId="0" xfId="0" applyNumberFormat="1" applyFont="1" applyAlignment="1">
      <alignment horizontal="left" vertical="center"/>
    </xf>
    <xf numFmtId="0" fontId="17" fillId="0" borderId="0" xfId="0" applyFont="1">
      <alignment vertical="center"/>
    </xf>
    <xf numFmtId="179" fontId="15" fillId="0" borderId="1" xfId="0" applyNumberFormat="1" applyFont="1" applyBorder="1" applyAlignment="1">
      <alignment horizontal="center" vertical="center" wrapText="1"/>
    </xf>
    <xf numFmtId="179" fontId="157" fillId="0" borderId="1" xfId="0" applyNumberFormat="1" applyFont="1" applyBorder="1" applyAlignment="1">
      <alignment horizontal="center" vertical="center" wrapText="1"/>
    </xf>
    <xf numFmtId="192" fontId="36" fillId="0" borderId="1" xfId="0" applyNumberFormat="1" applyFont="1" applyBorder="1" applyAlignment="1">
      <alignment horizontal="center" vertical="center"/>
    </xf>
    <xf numFmtId="193" fontId="66" fillId="0" borderId="1" xfId="0" applyNumberFormat="1" applyFont="1" applyBorder="1">
      <alignment vertical="center"/>
    </xf>
    <xf numFmtId="238" fontId="66" fillId="0" borderId="1" xfId="0" applyNumberFormat="1" applyFont="1" applyBorder="1">
      <alignment vertical="center"/>
    </xf>
    <xf numFmtId="0" fontId="7" fillId="14" borderId="0" xfId="0" applyFont="1" applyFill="1">
      <alignment vertical="center"/>
    </xf>
    <xf numFmtId="49" fontId="7" fillId="14" borderId="1" xfId="0" applyNumberFormat="1" applyFont="1" applyFill="1" applyBorder="1" applyAlignment="1">
      <alignment horizontal="left" vertical="center"/>
    </xf>
    <xf numFmtId="0" fontId="7" fillId="14" borderId="1" xfId="0" applyFont="1" applyFill="1" applyBorder="1">
      <alignment vertical="center"/>
    </xf>
    <xf numFmtId="0" fontId="76" fillId="14" borderId="1" xfId="0" applyFont="1" applyFill="1" applyBorder="1" applyAlignment="1">
      <alignment horizontal="left" vertical="center"/>
    </xf>
    <xf numFmtId="187" fontId="7" fillId="14" borderId="1" xfId="0" applyNumberFormat="1" applyFont="1" applyFill="1" applyBorder="1">
      <alignment vertical="center"/>
    </xf>
    <xf numFmtId="0" fontId="7" fillId="14" borderId="1" xfId="0" applyFont="1" applyFill="1" applyBorder="1" applyAlignment="1">
      <alignment horizontal="center" vertical="center"/>
    </xf>
    <xf numFmtId="193" fontId="7" fillId="14" borderId="1" xfId="0" applyNumberFormat="1" applyFont="1" applyFill="1" applyBorder="1">
      <alignment vertical="center"/>
    </xf>
    <xf numFmtId="238" fontId="7" fillId="14" borderId="1" xfId="0" applyNumberFormat="1" applyFont="1" applyFill="1" applyBorder="1">
      <alignment vertical="center"/>
    </xf>
    <xf numFmtId="179" fontId="15" fillId="14" borderId="1" xfId="0" applyNumberFormat="1" applyFont="1" applyFill="1" applyBorder="1" applyAlignment="1">
      <alignment horizontal="center" vertical="center" wrapText="1"/>
    </xf>
    <xf numFmtId="179" fontId="157" fillId="14" borderId="1" xfId="0" applyNumberFormat="1" applyFont="1" applyFill="1" applyBorder="1" applyAlignment="1">
      <alignment horizontal="center" vertical="center" wrapText="1"/>
    </xf>
    <xf numFmtId="192" fontId="36" fillId="14" borderId="1" xfId="0" applyNumberFormat="1" applyFont="1" applyFill="1" applyBorder="1" applyAlignment="1">
      <alignment horizontal="center" vertical="center"/>
    </xf>
    <xf numFmtId="191" fontId="7" fillId="14" borderId="1" xfId="0" applyNumberFormat="1" applyFont="1" applyFill="1" applyBorder="1">
      <alignment vertical="center"/>
    </xf>
    <xf numFmtId="238" fontId="76" fillId="0" borderId="1" xfId="0" applyNumberFormat="1" applyFont="1" applyBorder="1">
      <alignment vertical="center"/>
    </xf>
    <xf numFmtId="186" fontId="67" fillId="0" borderId="1" xfId="0" applyNumberFormat="1" applyFont="1" applyBorder="1" applyAlignment="1">
      <alignment horizontal="center" vertical="center"/>
    </xf>
    <xf numFmtId="242" fontId="15" fillId="0" borderId="1" xfId="0" applyNumberFormat="1" applyFont="1" applyBorder="1" applyAlignment="1">
      <alignment horizontal="center" vertical="center"/>
    </xf>
    <xf numFmtId="217" fontId="15" fillId="0" borderId="1" xfId="0" applyNumberFormat="1" applyFont="1" applyBorder="1" applyAlignment="1">
      <alignment horizontal="center" vertical="center"/>
    </xf>
    <xf numFmtId="224" fontId="15" fillId="0" borderId="1" xfId="0" applyNumberFormat="1" applyFont="1" applyBorder="1" applyAlignment="1">
      <alignment horizontal="center" vertical="center"/>
    </xf>
    <xf numFmtId="179" fontId="15" fillId="4" borderId="1" xfId="0" applyNumberFormat="1" applyFont="1" applyFill="1" applyBorder="1" applyAlignment="1">
      <alignment horizontal="center" vertical="center" wrapText="1"/>
    </xf>
    <xf numFmtId="179" fontId="157" fillId="4" borderId="1" xfId="0" applyNumberFormat="1" applyFont="1" applyFill="1" applyBorder="1" applyAlignment="1">
      <alignment horizontal="center" vertical="center" wrapText="1"/>
    </xf>
    <xf numFmtId="192" fontId="36" fillId="4" borderId="1" xfId="0" applyNumberFormat="1" applyFont="1" applyFill="1" applyBorder="1" applyAlignment="1">
      <alignment horizontal="center" vertical="center"/>
    </xf>
    <xf numFmtId="0" fontId="10" fillId="4" borderId="0" xfId="0" applyFont="1" applyFill="1">
      <alignment vertical="center"/>
    </xf>
    <xf numFmtId="188" fontId="7" fillId="4" borderId="1" xfId="0" applyNumberFormat="1" applyFont="1" applyFill="1" applyBorder="1">
      <alignment vertical="center"/>
    </xf>
    <xf numFmtId="198" fontId="7" fillId="4" borderId="1" xfId="0" applyNumberFormat="1" applyFont="1" applyFill="1" applyBorder="1">
      <alignment vertical="center"/>
    </xf>
    <xf numFmtId="238" fontId="7" fillId="4" borderId="1" xfId="0" applyNumberFormat="1" applyFont="1" applyFill="1" applyBorder="1">
      <alignment vertical="center"/>
    </xf>
    <xf numFmtId="192" fontId="21" fillId="4" borderId="29" xfId="0" applyNumberFormat="1" applyFont="1" applyFill="1" applyBorder="1">
      <alignment vertical="center"/>
    </xf>
    <xf numFmtId="192" fontId="21" fillId="4" borderId="29" xfId="0" applyNumberFormat="1" applyFont="1" applyFill="1" applyBorder="1" applyAlignment="1">
      <alignment horizontal="center" vertical="center"/>
    </xf>
    <xf numFmtId="192" fontId="21" fillId="4" borderId="68" xfId="0" applyNumberFormat="1" applyFont="1" applyFill="1" applyBorder="1">
      <alignment vertical="center"/>
    </xf>
    <xf numFmtId="192" fontId="19" fillId="4" borderId="55" xfId="0" applyNumberFormat="1" applyFont="1" applyFill="1" applyBorder="1">
      <alignment vertical="center"/>
    </xf>
    <xf numFmtId="192" fontId="21" fillId="4" borderId="0" xfId="0" applyNumberFormat="1" applyFont="1" applyFill="1">
      <alignment vertical="center"/>
    </xf>
    <xf numFmtId="192" fontId="21" fillId="4" borderId="0" xfId="0" applyNumberFormat="1" applyFont="1" applyFill="1" applyAlignment="1">
      <alignment horizontal="center" vertical="center"/>
    </xf>
    <xf numFmtId="192" fontId="21" fillId="4" borderId="23" xfId="0" applyNumberFormat="1" applyFont="1" applyFill="1" applyBorder="1">
      <alignment vertical="center"/>
    </xf>
    <xf numFmtId="192" fontId="21" fillId="4" borderId="56" xfId="0" applyNumberFormat="1" applyFont="1" applyFill="1" applyBorder="1">
      <alignment vertical="center"/>
    </xf>
    <xf numFmtId="192" fontId="21" fillId="4" borderId="30" xfId="0" applyNumberFormat="1" applyFont="1" applyFill="1" applyBorder="1">
      <alignment vertical="center"/>
    </xf>
    <xf numFmtId="192" fontId="21" fillId="4" borderId="30" xfId="0" applyNumberFormat="1" applyFont="1" applyFill="1" applyBorder="1" applyAlignment="1">
      <alignment horizontal="center" vertical="center"/>
    </xf>
    <xf numFmtId="192" fontId="21" fillId="4" borderId="37" xfId="0" applyNumberFormat="1" applyFont="1" applyFill="1" applyBorder="1">
      <alignment vertical="center"/>
    </xf>
    <xf numFmtId="192" fontId="21" fillId="4" borderId="36" xfId="0" applyNumberFormat="1" applyFont="1" applyFill="1" applyBorder="1">
      <alignment vertical="center"/>
    </xf>
    <xf numFmtId="192" fontId="21" fillId="0" borderId="29" xfId="0" applyNumberFormat="1" applyFont="1" applyBorder="1">
      <alignment vertical="center"/>
    </xf>
    <xf numFmtId="192" fontId="21" fillId="0" borderId="29" xfId="0" applyNumberFormat="1" applyFont="1" applyBorder="1" applyAlignment="1">
      <alignment horizontal="center" vertical="center"/>
    </xf>
    <xf numFmtId="192" fontId="21" fillId="0" borderId="68" xfId="0" applyNumberFormat="1" applyFont="1" applyBorder="1">
      <alignment vertical="center"/>
    </xf>
    <xf numFmtId="192" fontId="19" fillId="0" borderId="55" xfId="0" applyNumberFormat="1" applyFont="1" applyBorder="1">
      <alignment vertical="center"/>
    </xf>
    <xf numFmtId="192" fontId="21" fillId="0" borderId="30" xfId="0" applyNumberFormat="1" applyFont="1" applyBorder="1">
      <alignment vertical="center"/>
    </xf>
    <xf numFmtId="192" fontId="21" fillId="0" borderId="30" xfId="0" applyNumberFormat="1" applyFont="1" applyBorder="1" applyAlignment="1">
      <alignment horizontal="center" vertical="center"/>
    </xf>
    <xf numFmtId="192" fontId="21" fillId="0" borderId="37" xfId="0" applyNumberFormat="1" applyFont="1" applyBorder="1">
      <alignment vertical="center"/>
    </xf>
    <xf numFmtId="192" fontId="21" fillId="0" borderId="36" xfId="0" applyNumberFormat="1" applyFont="1" applyBorder="1">
      <alignment vertical="center"/>
    </xf>
    <xf numFmtId="192" fontId="19" fillId="0" borderId="29" xfId="0" applyNumberFormat="1" applyFont="1" applyBorder="1">
      <alignment vertical="center"/>
    </xf>
    <xf numFmtId="192" fontId="19" fillId="0" borderId="29" xfId="0" applyNumberFormat="1" applyFont="1" applyBorder="1" applyAlignment="1">
      <alignment horizontal="center" vertical="center"/>
    </xf>
    <xf numFmtId="192" fontId="19" fillId="0" borderId="68" xfId="0" applyNumberFormat="1" applyFont="1" applyBorder="1">
      <alignment vertical="center"/>
    </xf>
    <xf numFmtId="192" fontId="19" fillId="0" borderId="30" xfId="0" applyNumberFormat="1" applyFont="1" applyBorder="1">
      <alignment vertical="center"/>
    </xf>
    <xf numFmtId="192" fontId="19" fillId="0" borderId="30" xfId="0" applyNumberFormat="1" applyFont="1" applyBorder="1" applyAlignment="1">
      <alignment horizontal="center" vertical="center"/>
    </xf>
    <xf numFmtId="192" fontId="19" fillId="0" borderId="37" xfId="0" applyNumberFormat="1" applyFont="1" applyBorder="1">
      <alignment vertical="center"/>
    </xf>
    <xf numFmtId="192" fontId="19" fillId="0" borderId="36" xfId="0" applyNumberFormat="1" applyFont="1" applyBorder="1">
      <alignment vertical="center"/>
    </xf>
    <xf numFmtId="236" fontId="5" fillId="0" borderId="1" xfId="0" applyNumberFormat="1" applyFont="1" applyBorder="1" applyAlignment="1">
      <alignment horizontal="right" vertical="center"/>
    </xf>
    <xf numFmtId="0" fontId="7" fillId="14" borderId="1" xfId="0" applyFont="1" applyFill="1" applyBorder="1" applyAlignment="1">
      <alignment horizontal="left" vertical="center"/>
    </xf>
    <xf numFmtId="188" fontId="7" fillId="14" borderId="1" xfId="0" applyNumberFormat="1" applyFont="1" applyFill="1" applyBorder="1" applyAlignment="1">
      <alignment horizontal="center"/>
    </xf>
    <xf numFmtId="178" fontId="67" fillId="14" borderId="1" xfId="0" applyNumberFormat="1" applyFont="1" applyFill="1" applyBorder="1" applyAlignment="1">
      <alignment horizontal="right" vertical="center"/>
    </xf>
    <xf numFmtId="180" fontId="67" fillId="14" borderId="1" xfId="0" applyNumberFormat="1" applyFont="1" applyFill="1" applyBorder="1" applyAlignment="1">
      <alignment horizontal="right" vertical="center"/>
    </xf>
    <xf numFmtId="0" fontId="9" fillId="14" borderId="1" xfId="0" applyFont="1" applyFill="1" applyBorder="1" applyAlignment="1">
      <alignment horizontal="center"/>
    </xf>
    <xf numFmtId="179" fontId="158" fillId="14" borderId="29" xfId="0" applyNumberFormat="1" applyFont="1" applyFill="1" applyBorder="1" applyAlignment="1">
      <alignment vertical="center" wrapText="1"/>
    </xf>
    <xf numFmtId="179" fontId="159" fillId="14" borderId="29" xfId="0" applyNumberFormat="1" applyFont="1" applyFill="1" applyBorder="1" applyAlignment="1">
      <alignment horizontal="center" vertical="center" wrapText="1"/>
    </xf>
    <xf numFmtId="179" fontId="158" fillId="14" borderId="68" xfId="0" applyNumberFormat="1" applyFont="1" applyFill="1" applyBorder="1" applyAlignment="1">
      <alignment vertical="center" wrapText="1"/>
    </xf>
    <xf numFmtId="179" fontId="160" fillId="14" borderId="55" xfId="0" applyNumberFormat="1" applyFont="1" applyFill="1" applyBorder="1" applyAlignment="1">
      <alignment vertical="center" wrapText="1"/>
    </xf>
    <xf numFmtId="186" fontId="67" fillId="14" borderId="1" xfId="0" applyNumberFormat="1" applyFont="1" applyFill="1" applyBorder="1">
      <alignment vertical="center"/>
    </xf>
    <xf numFmtId="217" fontId="115" fillId="14" borderId="1" xfId="0" applyNumberFormat="1" applyFont="1" applyFill="1" applyBorder="1" applyAlignment="1">
      <alignment horizontal="center" vertical="center"/>
    </xf>
    <xf numFmtId="194" fontId="7" fillId="14" borderId="1" xfId="0" applyNumberFormat="1" applyFont="1" applyFill="1" applyBorder="1">
      <alignment vertical="center"/>
    </xf>
    <xf numFmtId="196" fontId="7" fillId="14" borderId="1" xfId="0" applyNumberFormat="1" applyFont="1" applyFill="1" applyBorder="1">
      <alignment vertical="center"/>
    </xf>
    <xf numFmtId="236" fontId="110" fillId="14" borderId="1" xfId="0" applyNumberFormat="1" applyFont="1" applyFill="1" applyBorder="1" applyAlignment="1">
      <alignment horizontal="right" vertical="center"/>
    </xf>
    <xf numFmtId="179" fontId="158" fillId="14" borderId="0" xfId="0" applyNumberFormat="1" applyFont="1" applyFill="1" applyAlignment="1">
      <alignment vertical="center" wrapText="1"/>
    </xf>
    <xf numFmtId="179" fontId="159" fillId="14" borderId="0" xfId="0" applyNumberFormat="1" applyFont="1" applyFill="1" applyAlignment="1">
      <alignment horizontal="center" vertical="center" wrapText="1"/>
    </xf>
    <xf numFmtId="179" fontId="158" fillId="14" borderId="23" xfId="0" applyNumberFormat="1" applyFont="1" applyFill="1" applyBorder="1" applyAlignment="1">
      <alignment vertical="center" wrapText="1"/>
    </xf>
    <xf numFmtId="179" fontId="158" fillId="14" borderId="56" xfId="0" applyNumberFormat="1" applyFont="1" applyFill="1" applyBorder="1" applyAlignment="1">
      <alignment vertical="center" wrapText="1"/>
    </xf>
    <xf numFmtId="191" fontId="67" fillId="14" borderId="1" xfId="0" applyNumberFormat="1" applyFont="1" applyFill="1" applyBorder="1">
      <alignment vertical="center"/>
    </xf>
    <xf numFmtId="0" fontId="7" fillId="14" borderId="0" xfId="0" applyFont="1" applyFill="1" applyAlignment="1">
      <alignment horizontal="center" vertical="center"/>
    </xf>
    <xf numFmtId="0" fontId="7" fillId="14" borderId="0" xfId="0" applyFont="1" applyFill="1" applyAlignment="1">
      <alignment horizontal="left" vertical="center"/>
    </xf>
    <xf numFmtId="217" fontId="161" fillId="14" borderId="1" xfId="0" applyNumberFormat="1" applyFont="1" applyFill="1" applyBorder="1" applyAlignment="1">
      <alignment horizontal="center" vertical="center"/>
    </xf>
    <xf numFmtId="0" fontId="5" fillId="14" borderId="0" xfId="0" applyFont="1" applyFill="1">
      <alignment vertical="center"/>
    </xf>
    <xf numFmtId="0" fontId="5" fillId="14" borderId="1" xfId="0" applyFont="1" applyFill="1" applyBorder="1" applyAlignment="1">
      <alignment horizontal="center" vertical="center"/>
    </xf>
    <xf numFmtId="176" fontId="5" fillId="14" borderId="1" xfId="0" applyNumberFormat="1" applyFont="1" applyFill="1" applyBorder="1" applyAlignment="1">
      <alignment horizontal="center" vertical="center"/>
    </xf>
    <xf numFmtId="185" fontId="5" fillId="14" borderId="1" xfId="0" applyNumberFormat="1" applyFont="1" applyFill="1" applyBorder="1" applyAlignment="1">
      <alignment horizontal="right" vertical="center"/>
    </xf>
    <xf numFmtId="194" fontId="5" fillId="14" borderId="1" xfId="0" applyNumberFormat="1" applyFont="1" applyFill="1" applyBorder="1">
      <alignment vertical="center"/>
    </xf>
    <xf numFmtId="193" fontId="5" fillId="14" borderId="1" xfId="0" applyNumberFormat="1" applyFont="1" applyFill="1" applyBorder="1">
      <alignment vertical="center"/>
    </xf>
    <xf numFmtId="236" fontId="5" fillId="14" borderId="1" xfId="0" applyNumberFormat="1" applyFont="1" applyFill="1" applyBorder="1" applyAlignment="1">
      <alignment horizontal="right" vertical="center"/>
    </xf>
    <xf numFmtId="179" fontId="158" fillId="14" borderId="30" xfId="0" applyNumberFormat="1" applyFont="1" applyFill="1" applyBorder="1" applyAlignment="1">
      <alignment vertical="center" wrapText="1"/>
    </xf>
    <xf numFmtId="179" fontId="159" fillId="14" borderId="30" xfId="0" applyNumberFormat="1" applyFont="1" applyFill="1" applyBorder="1" applyAlignment="1">
      <alignment horizontal="center" vertical="center" wrapText="1"/>
    </xf>
    <xf numFmtId="179" fontId="158" fillId="14" borderId="37" xfId="0" applyNumberFormat="1" applyFont="1" applyFill="1" applyBorder="1" applyAlignment="1">
      <alignment vertical="center" wrapText="1"/>
    </xf>
    <xf numFmtId="179" fontId="158" fillId="14" borderId="36" xfId="0" applyNumberFormat="1" applyFont="1" applyFill="1" applyBorder="1" applyAlignment="1">
      <alignment vertical="center" wrapText="1"/>
    </xf>
    <xf numFmtId="191" fontId="5" fillId="14" borderId="1" xfId="0" applyNumberFormat="1" applyFont="1" applyFill="1" applyBorder="1">
      <alignment vertical="center"/>
    </xf>
    <xf numFmtId="186" fontId="5" fillId="14" borderId="1" xfId="0" applyNumberFormat="1" applyFont="1" applyFill="1" applyBorder="1">
      <alignment vertical="center"/>
    </xf>
    <xf numFmtId="0" fontId="0" fillId="14" borderId="0" xfId="0" applyFill="1">
      <alignment vertical="center"/>
    </xf>
    <xf numFmtId="49" fontId="6" fillId="14" borderId="1" xfId="0" applyNumberFormat="1" applyFont="1" applyFill="1" applyBorder="1" applyAlignment="1">
      <alignment horizontal="left" vertical="center"/>
    </xf>
    <xf numFmtId="197" fontId="5" fillId="0" borderId="1" xfId="0" applyNumberFormat="1" applyFont="1" applyBorder="1" applyAlignment="1">
      <alignment horizontal="center" vertical="center"/>
    </xf>
    <xf numFmtId="192" fontId="21" fillId="0" borderId="8" xfId="0" applyNumberFormat="1" applyFont="1" applyBorder="1">
      <alignment vertical="center"/>
    </xf>
    <xf numFmtId="192" fontId="21" fillId="0" borderId="8" xfId="0" applyNumberFormat="1" applyFont="1" applyBorder="1" applyAlignment="1">
      <alignment horizontal="center" vertical="center"/>
    </xf>
    <xf numFmtId="192" fontId="21" fillId="0" borderId="10" xfId="0" applyNumberFormat="1" applyFont="1" applyBorder="1">
      <alignment vertical="center"/>
    </xf>
    <xf numFmtId="178" fontId="67" fillId="0" borderId="1" xfId="0" applyNumberFormat="1" applyFont="1" applyBorder="1" applyAlignment="1">
      <alignment horizontal="left" vertical="center"/>
    </xf>
    <xf numFmtId="195" fontId="7" fillId="0" borderId="1" xfId="0" applyNumberFormat="1" applyFont="1" applyBorder="1">
      <alignment vertical="center"/>
    </xf>
    <xf numFmtId="181" fontId="17" fillId="0" borderId="1" xfId="0" applyNumberFormat="1" applyFont="1" applyBorder="1" applyAlignment="1">
      <alignment horizontal="center" vertical="center"/>
    </xf>
    <xf numFmtId="0" fontId="7" fillId="0" borderId="9" xfId="0" applyFont="1" applyBorder="1">
      <alignment vertical="center"/>
    </xf>
    <xf numFmtId="243" fontId="82" fillId="0" borderId="1" xfId="0" applyNumberFormat="1" applyFont="1" applyBorder="1" applyAlignment="1">
      <alignment horizontal="right" vertical="center"/>
    </xf>
    <xf numFmtId="198" fontId="5" fillId="0" borderId="1" xfId="0" applyNumberFormat="1" applyFont="1" applyBorder="1" applyAlignment="1">
      <alignment horizontal="right" vertical="center"/>
    </xf>
    <xf numFmtId="0" fontId="76" fillId="4" borderId="1" xfId="0" applyFont="1" applyFill="1" applyBorder="1" applyAlignment="1">
      <alignment horizontal="center" vertical="center"/>
    </xf>
    <xf numFmtId="198" fontId="5" fillId="4" borderId="1" xfId="0" applyNumberFormat="1" applyFont="1" applyFill="1" applyBorder="1">
      <alignment vertical="center"/>
    </xf>
    <xf numFmtId="237" fontId="7" fillId="4" borderId="1" xfId="0" applyNumberFormat="1" applyFont="1" applyFill="1" applyBorder="1" applyAlignment="1">
      <alignment horizontal="right" vertical="center"/>
    </xf>
    <xf numFmtId="179" fontId="35" fillId="4" borderId="1" xfId="0" applyNumberFormat="1" applyFont="1" applyFill="1" applyBorder="1" applyAlignment="1">
      <alignment horizontal="center" vertical="center" wrapText="1"/>
    </xf>
    <xf numFmtId="179" fontId="152" fillId="4" borderId="1" xfId="0" applyNumberFormat="1" applyFont="1" applyFill="1" applyBorder="1" applyAlignment="1">
      <alignment horizontal="center" vertical="center" wrapText="1"/>
    </xf>
    <xf numFmtId="192" fontId="154" fillId="4" borderId="1" xfId="0" applyNumberFormat="1" applyFont="1" applyFill="1" applyBorder="1" applyAlignment="1">
      <alignment horizontal="center" vertical="center"/>
    </xf>
    <xf numFmtId="0" fontId="7" fillId="4" borderId="0" xfId="0" applyFont="1" applyFill="1" applyAlignment="1">
      <alignment horizontal="left" vertical="center"/>
    </xf>
    <xf numFmtId="237" fontId="7" fillId="4" borderId="1" xfId="0" applyNumberFormat="1" applyFont="1" applyFill="1" applyBorder="1">
      <alignment vertical="center"/>
    </xf>
    <xf numFmtId="238" fontId="17" fillId="4" borderId="8" xfId="0" applyNumberFormat="1" applyFont="1" applyFill="1" applyBorder="1">
      <alignment vertical="center"/>
    </xf>
    <xf numFmtId="238" fontId="17" fillId="4" borderId="8" xfId="0" applyNumberFormat="1" applyFont="1" applyFill="1" applyBorder="1" applyAlignment="1">
      <alignment horizontal="center" vertical="center"/>
    </xf>
    <xf numFmtId="238" fontId="17" fillId="4" borderId="10" xfId="0" applyNumberFormat="1" applyFont="1" applyFill="1" applyBorder="1">
      <alignment vertical="center"/>
    </xf>
    <xf numFmtId="238" fontId="17" fillId="4" borderId="9" xfId="0" applyNumberFormat="1" applyFont="1" applyFill="1" applyBorder="1">
      <alignment vertical="center"/>
    </xf>
    <xf numFmtId="2" fontId="7" fillId="0" borderId="1" xfId="0" applyNumberFormat="1" applyFont="1" applyBorder="1">
      <alignment vertical="center"/>
    </xf>
    <xf numFmtId="238" fontId="7" fillId="4" borderId="29" xfId="0" applyNumberFormat="1" applyFont="1" applyFill="1" applyBorder="1">
      <alignment vertical="center"/>
    </xf>
    <xf numFmtId="238" fontId="7" fillId="4" borderId="29" xfId="0" applyNumberFormat="1" applyFont="1" applyFill="1" applyBorder="1" applyAlignment="1">
      <alignment horizontal="center" vertical="center"/>
    </xf>
    <xf numFmtId="238" fontId="7" fillId="4" borderId="68" xfId="0" applyNumberFormat="1" applyFont="1" applyFill="1" applyBorder="1">
      <alignment vertical="center"/>
    </xf>
    <xf numFmtId="238" fontId="22" fillId="4" borderId="55" xfId="0" applyNumberFormat="1" applyFont="1" applyFill="1" applyBorder="1">
      <alignment vertical="center"/>
    </xf>
    <xf numFmtId="238" fontId="7" fillId="4" borderId="0" xfId="0" applyNumberFormat="1" applyFont="1" applyFill="1">
      <alignment vertical="center"/>
    </xf>
    <xf numFmtId="238" fontId="7" fillId="4" borderId="0" xfId="0" applyNumberFormat="1" applyFont="1" applyFill="1" applyAlignment="1">
      <alignment horizontal="center" vertical="center"/>
    </xf>
    <xf numFmtId="238" fontId="7" fillId="4" borderId="23" xfId="0" applyNumberFormat="1" applyFont="1" applyFill="1" applyBorder="1">
      <alignment vertical="center"/>
    </xf>
    <xf numFmtId="238" fontId="7" fillId="4" borderId="56" xfId="0" applyNumberFormat="1" applyFont="1" applyFill="1" applyBorder="1">
      <alignment vertical="center"/>
    </xf>
    <xf numFmtId="238" fontId="7" fillId="4" borderId="30" xfId="0" applyNumberFormat="1" applyFont="1" applyFill="1" applyBorder="1">
      <alignment vertical="center"/>
    </xf>
    <xf numFmtId="238" fontId="7" fillId="4" borderId="30" xfId="0" applyNumberFormat="1" applyFont="1" applyFill="1" applyBorder="1" applyAlignment="1">
      <alignment horizontal="center" vertical="center"/>
    </xf>
    <xf numFmtId="238" fontId="7" fillId="4" borderId="37" xfId="0" applyNumberFormat="1" applyFont="1" applyFill="1" applyBorder="1">
      <alignment vertical="center"/>
    </xf>
    <xf numFmtId="238" fontId="7" fillId="4" borderId="36" xfId="0" applyNumberFormat="1" applyFont="1" applyFill="1" applyBorder="1">
      <alignment vertical="center"/>
    </xf>
    <xf numFmtId="238" fontId="22" fillId="4" borderId="9" xfId="0" applyNumberFormat="1" applyFont="1" applyFill="1" applyBorder="1">
      <alignment vertical="center"/>
    </xf>
    <xf numFmtId="49" fontId="6" fillId="4" borderId="1" xfId="0" applyNumberFormat="1" applyFont="1" applyFill="1" applyBorder="1" applyAlignment="1">
      <alignment horizontal="left" vertical="center"/>
    </xf>
    <xf numFmtId="0" fontId="5" fillId="4" borderId="1" xfId="0" applyFont="1" applyFill="1" applyBorder="1">
      <alignment vertical="center"/>
    </xf>
    <xf numFmtId="0" fontId="5" fillId="4" borderId="1" xfId="0" applyFont="1" applyFill="1" applyBorder="1" applyAlignment="1">
      <alignment horizontal="left" vertical="center"/>
    </xf>
    <xf numFmtId="187" fontId="5" fillId="4" borderId="1" xfId="0" applyNumberFormat="1" applyFont="1" applyFill="1" applyBorder="1">
      <alignment vertical="center"/>
    </xf>
    <xf numFmtId="0" fontId="5" fillId="4" borderId="1" xfId="0" applyFont="1" applyFill="1" applyBorder="1" applyAlignment="1">
      <alignment horizontal="center" vertical="center"/>
    </xf>
    <xf numFmtId="193" fontId="5" fillId="4" borderId="1" xfId="0" applyNumberFormat="1" applyFont="1" applyFill="1" applyBorder="1">
      <alignment vertical="center"/>
    </xf>
    <xf numFmtId="194" fontId="5" fillId="4" borderId="1" xfId="0" applyNumberFormat="1" applyFont="1" applyFill="1" applyBorder="1">
      <alignment vertical="center"/>
    </xf>
    <xf numFmtId="0" fontId="5" fillId="4" borderId="3" xfId="0" applyFont="1" applyFill="1" applyBorder="1" applyAlignment="1">
      <alignment horizontal="center"/>
    </xf>
    <xf numFmtId="192" fontId="13" fillId="4" borderId="29" xfId="0" applyNumberFormat="1" applyFont="1" applyFill="1" applyBorder="1">
      <alignment vertical="center"/>
    </xf>
    <xf numFmtId="192" fontId="13" fillId="4" borderId="29" xfId="0" applyNumberFormat="1" applyFont="1" applyFill="1" applyBorder="1" applyAlignment="1">
      <alignment horizontal="center" vertical="center"/>
    </xf>
    <xf numFmtId="192" fontId="13" fillId="4" borderId="68" xfId="0" applyNumberFormat="1" applyFont="1" applyFill="1" applyBorder="1">
      <alignment vertical="center"/>
    </xf>
    <xf numFmtId="49" fontId="5" fillId="4" borderId="1" xfId="0" applyNumberFormat="1" applyFont="1" applyFill="1" applyBorder="1" applyAlignment="1">
      <alignment horizontal="left" vertical="center"/>
    </xf>
    <xf numFmtId="0" fontId="75" fillId="4" borderId="1" xfId="0" applyFont="1" applyFill="1" applyBorder="1" applyAlignment="1">
      <alignment horizontal="center" vertical="center"/>
    </xf>
    <xf numFmtId="192" fontId="13" fillId="4" borderId="0" xfId="0" applyNumberFormat="1" applyFont="1" applyFill="1">
      <alignment vertical="center"/>
    </xf>
    <xf numFmtId="192" fontId="13" fillId="4" borderId="0" xfId="0" applyNumberFormat="1" applyFont="1" applyFill="1" applyAlignment="1">
      <alignment horizontal="center" vertical="center"/>
    </xf>
    <xf numFmtId="192" fontId="13" fillId="4" borderId="23" xfId="0" applyNumberFormat="1" applyFont="1" applyFill="1" applyBorder="1">
      <alignment vertical="center"/>
    </xf>
    <xf numFmtId="192" fontId="13" fillId="4" borderId="56" xfId="0" applyNumberFormat="1" applyFont="1" applyFill="1" applyBorder="1">
      <alignment vertical="center"/>
    </xf>
    <xf numFmtId="176" fontId="5" fillId="4" borderId="1" xfId="0" applyNumberFormat="1" applyFont="1" applyFill="1" applyBorder="1" applyAlignment="1">
      <alignment horizontal="center" vertical="center"/>
    </xf>
    <xf numFmtId="185" fontId="5" fillId="4" borderId="1" xfId="0" applyNumberFormat="1" applyFont="1" applyFill="1" applyBorder="1" applyAlignment="1">
      <alignment horizontal="right" vertical="center"/>
    </xf>
    <xf numFmtId="192" fontId="13" fillId="4" borderId="30" xfId="0" applyNumberFormat="1" applyFont="1" applyFill="1" applyBorder="1">
      <alignment vertical="center"/>
    </xf>
    <xf numFmtId="192" fontId="13" fillId="4" borderId="30" xfId="0" applyNumberFormat="1" applyFont="1" applyFill="1" applyBorder="1" applyAlignment="1">
      <alignment horizontal="center" vertical="center"/>
    </xf>
    <xf numFmtId="192" fontId="13" fillId="4" borderId="37" xfId="0" applyNumberFormat="1" applyFont="1" applyFill="1" applyBorder="1">
      <alignment vertical="center"/>
    </xf>
    <xf numFmtId="192" fontId="13" fillId="4" borderId="36" xfId="0" applyNumberFormat="1" applyFont="1" applyFill="1" applyBorder="1">
      <alignment vertical="center"/>
    </xf>
    <xf numFmtId="0" fontId="71" fillId="3" borderId="1" xfId="0" applyFont="1" applyFill="1" applyBorder="1" applyAlignment="1">
      <alignment horizontal="center" vertical="center"/>
    </xf>
    <xf numFmtId="238" fontId="7" fillId="3" borderId="1" xfId="0" applyNumberFormat="1" applyFont="1" applyFill="1" applyBorder="1">
      <alignment vertical="center"/>
    </xf>
    <xf numFmtId="179" fontId="35" fillId="3" borderId="1" xfId="0" applyNumberFormat="1" applyFont="1" applyFill="1" applyBorder="1" applyAlignment="1">
      <alignment horizontal="center" vertical="center" wrapText="1"/>
    </xf>
    <xf numFmtId="179" fontId="152" fillId="3" borderId="1" xfId="0" applyNumberFormat="1" applyFont="1" applyFill="1" applyBorder="1" applyAlignment="1">
      <alignment horizontal="center" vertical="center" wrapText="1"/>
    </xf>
    <xf numFmtId="192" fontId="21" fillId="3" borderId="1" xfId="0" applyNumberFormat="1" applyFont="1" applyFill="1" applyBorder="1" applyAlignment="1">
      <alignment horizontal="center" vertical="center"/>
    </xf>
    <xf numFmtId="191" fontId="67" fillId="3" borderId="1" xfId="0" applyNumberFormat="1" applyFont="1" applyFill="1" applyBorder="1">
      <alignment vertical="center"/>
    </xf>
    <xf numFmtId="179" fontId="152" fillId="7" borderId="1" xfId="0" applyNumberFormat="1" applyFont="1" applyFill="1" applyBorder="1" applyAlignment="1">
      <alignment horizontal="center" vertical="center" wrapText="1"/>
    </xf>
    <xf numFmtId="192" fontId="21" fillId="7" borderId="1" xfId="0" applyNumberFormat="1" applyFont="1" applyFill="1" applyBorder="1" applyAlignment="1">
      <alignment horizontal="center" vertical="center"/>
    </xf>
    <xf numFmtId="0" fontId="15" fillId="0" borderId="0" xfId="0" applyFont="1" applyAlignment="1">
      <alignment horizontal="right" vertical="center"/>
    </xf>
    <xf numFmtId="205" fontId="67" fillId="0" borderId="1" xfId="0" applyNumberFormat="1" applyFont="1" applyBorder="1" applyAlignment="1">
      <alignment horizontal="right" vertical="center"/>
    </xf>
    <xf numFmtId="186" fontId="5" fillId="0" borderId="1" xfId="0" applyNumberFormat="1" applyFont="1" applyBorder="1" applyAlignment="1">
      <alignment horizontal="right" vertical="center"/>
    </xf>
    <xf numFmtId="236" fontId="15" fillId="0" borderId="1" xfId="0" applyNumberFormat="1" applyFont="1" applyBorder="1" applyAlignment="1">
      <alignment horizontal="right" vertical="center"/>
    </xf>
    <xf numFmtId="208" fontId="7" fillId="7" borderId="1" xfId="4" applyNumberFormat="1" applyFont="1" applyFill="1" applyBorder="1" applyAlignment="1">
      <alignment vertical="center"/>
    </xf>
    <xf numFmtId="217" fontId="15" fillId="0" borderId="1" xfId="0" applyNumberFormat="1" applyFont="1" applyBorder="1" applyAlignment="1">
      <alignment horizontal="left" vertical="center"/>
    </xf>
    <xf numFmtId="244" fontId="67" fillId="0" borderId="1" xfId="0" applyNumberFormat="1" applyFont="1" applyBorder="1" applyAlignment="1">
      <alignment horizontal="right" vertical="center"/>
    </xf>
    <xf numFmtId="238" fontId="17" fillId="7" borderId="1" xfId="0" applyNumberFormat="1" applyFont="1" applyFill="1" applyBorder="1" applyAlignment="1">
      <alignment horizontal="right" vertical="center"/>
    </xf>
    <xf numFmtId="186" fontId="7" fillId="4" borderId="0" xfId="0" applyNumberFormat="1" applyFont="1" applyFill="1">
      <alignment vertical="center"/>
    </xf>
    <xf numFmtId="0" fontId="6" fillId="4" borderId="0" xfId="0" applyFont="1" applyFill="1">
      <alignment vertical="center"/>
    </xf>
    <xf numFmtId="189" fontId="7" fillId="4" borderId="1" xfId="0" applyNumberFormat="1" applyFont="1" applyFill="1" applyBorder="1">
      <alignment vertical="center"/>
    </xf>
    <xf numFmtId="186" fontId="7" fillId="4" borderId="1" xfId="0" applyNumberFormat="1" applyFont="1" applyFill="1" applyBorder="1">
      <alignment vertical="center"/>
    </xf>
    <xf numFmtId="208" fontId="7" fillId="4" borderId="1" xfId="4" applyNumberFormat="1" applyFont="1" applyFill="1" applyBorder="1" applyAlignment="1">
      <alignment vertical="center"/>
    </xf>
    <xf numFmtId="237" fontId="7" fillId="7" borderId="1" xfId="4" applyNumberFormat="1" applyFont="1" applyFill="1" applyBorder="1" applyAlignment="1">
      <alignment vertical="center"/>
    </xf>
    <xf numFmtId="186" fontId="10" fillId="0" borderId="1" xfId="0" applyNumberFormat="1" applyFont="1" applyBorder="1" applyAlignment="1">
      <alignment horizontal="right" vertical="center"/>
    </xf>
    <xf numFmtId="238" fontId="7" fillId="8" borderId="1" xfId="0" applyNumberFormat="1" applyFont="1" applyFill="1" applyBorder="1">
      <alignment vertical="center"/>
    </xf>
    <xf numFmtId="3" fontId="7" fillId="0" borderId="0" xfId="0" applyNumberFormat="1" applyFont="1" applyAlignment="1">
      <alignment horizontal="right" vertical="center"/>
    </xf>
    <xf numFmtId="237" fontId="7" fillId="0" borderId="1" xfId="0" applyNumberFormat="1" applyFont="1" applyBorder="1" applyAlignment="1">
      <alignment horizontal="center" vertical="center"/>
    </xf>
    <xf numFmtId="237" fontId="35" fillId="0" borderId="1" xfId="0" applyNumberFormat="1" applyFont="1" applyBorder="1" applyAlignment="1">
      <alignment horizontal="center" vertical="center" wrapText="1"/>
    </xf>
    <xf numFmtId="237" fontId="162" fillId="0" borderId="1" xfId="0" applyNumberFormat="1" applyFont="1" applyBorder="1" applyAlignment="1">
      <alignment horizontal="center" vertical="center" wrapText="1"/>
    </xf>
    <xf numFmtId="188" fontId="7" fillId="0" borderId="1" xfId="0" applyNumberFormat="1" applyFont="1" applyBorder="1" applyAlignment="1">
      <alignment horizontal="right" vertical="center"/>
    </xf>
    <xf numFmtId="0" fontId="10" fillId="0" borderId="0" xfId="0" applyFont="1" applyAlignment="1">
      <alignment horizontal="right" vertical="center"/>
    </xf>
    <xf numFmtId="236" fontId="7" fillId="0" borderId="1" xfId="0" applyNumberFormat="1" applyFont="1" applyBorder="1">
      <alignment vertical="center"/>
    </xf>
    <xf numFmtId="0" fontId="18" fillId="0" borderId="0" xfId="0" applyFont="1" applyAlignment="1">
      <alignment horizontal="right" vertical="center"/>
    </xf>
    <xf numFmtId="0" fontId="72" fillId="0" borderId="0" xfId="0" applyFont="1">
      <alignment vertical="center"/>
    </xf>
    <xf numFmtId="0" fontId="15" fillId="7" borderId="0" xfId="0" applyFont="1" applyFill="1" applyAlignment="1">
      <alignment horizontal="right" vertical="center"/>
    </xf>
    <xf numFmtId="208" fontId="7" fillId="7" borderId="1" xfId="4" applyNumberFormat="1" applyFont="1" applyFill="1" applyBorder="1" applyAlignment="1">
      <alignment horizontal="right" vertical="center"/>
    </xf>
    <xf numFmtId="0" fontId="10" fillId="7" borderId="0" xfId="0" applyFont="1" applyFill="1" applyAlignment="1">
      <alignment horizontal="right" vertical="center"/>
    </xf>
    <xf numFmtId="238" fontId="7" fillId="8" borderId="1" xfId="0" applyNumberFormat="1" applyFont="1" applyFill="1" applyBorder="1" applyAlignment="1">
      <alignment horizontal="center" vertical="center"/>
    </xf>
    <xf numFmtId="237" fontId="30" fillId="0" borderId="1" xfId="0" applyNumberFormat="1" applyFont="1" applyBorder="1">
      <alignment vertical="center"/>
    </xf>
    <xf numFmtId="238" fontId="7" fillId="7" borderId="1" xfId="0" applyNumberFormat="1" applyFont="1" applyFill="1" applyBorder="1" applyAlignment="1">
      <alignment horizontal="right" vertical="center"/>
    </xf>
    <xf numFmtId="217" fontId="161" fillId="4" borderId="1" xfId="0" applyNumberFormat="1" applyFont="1" applyFill="1" applyBorder="1" applyAlignment="1">
      <alignment horizontal="center" vertical="center"/>
    </xf>
    <xf numFmtId="196" fontId="7" fillId="4" borderId="1" xfId="0" applyNumberFormat="1" applyFont="1" applyFill="1" applyBorder="1">
      <alignment vertical="center"/>
    </xf>
    <xf numFmtId="236" fontId="110" fillId="4" borderId="1" xfId="0" applyNumberFormat="1" applyFont="1" applyFill="1" applyBorder="1" applyAlignment="1">
      <alignment horizontal="right" vertical="center"/>
    </xf>
    <xf numFmtId="217" fontId="110" fillId="0" borderId="1" xfId="0" applyNumberFormat="1" applyFont="1" applyBorder="1" applyAlignment="1">
      <alignment horizontal="center" vertical="center"/>
    </xf>
    <xf numFmtId="176" fontId="76" fillId="7" borderId="1" xfId="0" applyNumberFormat="1" applyFont="1" applyFill="1" applyBorder="1" applyAlignment="1">
      <alignment horizontal="center" vertical="center"/>
    </xf>
    <xf numFmtId="238" fontId="7" fillId="8" borderId="1" xfId="0" applyNumberFormat="1" applyFont="1" applyFill="1" applyBorder="1" applyAlignment="1">
      <alignment horizontal="right" vertical="center"/>
    </xf>
    <xf numFmtId="185" fontId="7" fillId="7" borderId="1" xfId="0" applyNumberFormat="1" applyFont="1" applyFill="1" applyBorder="1" applyAlignment="1">
      <alignment horizontal="left" vertical="center"/>
    </xf>
    <xf numFmtId="193" fontId="7" fillId="0" borderId="10" xfId="0" applyNumberFormat="1" applyFont="1" applyBorder="1">
      <alignment vertical="center"/>
    </xf>
    <xf numFmtId="237" fontId="7" fillId="8" borderId="1" xfId="0" applyNumberFormat="1" applyFont="1" applyFill="1" applyBorder="1">
      <alignment vertical="center"/>
    </xf>
    <xf numFmtId="237" fontId="7" fillId="7" borderId="1" xfId="0" applyNumberFormat="1" applyFont="1" applyFill="1" applyBorder="1">
      <alignment vertical="center"/>
    </xf>
    <xf numFmtId="208" fontId="98" fillId="7" borderId="1" xfId="0" applyNumberFormat="1" applyFont="1" applyFill="1" applyBorder="1" applyAlignment="1">
      <alignment horizontal="right" vertical="center" wrapText="1"/>
    </xf>
    <xf numFmtId="193" fontId="13" fillId="0" borderId="1" xfId="0" applyNumberFormat="1" applyFont="1" applyBorder="1" applyAlignment="1">
      <alignment horizontal="center" vertical="center"/>
    </xf>
    <xf numFmtId="194" fontId="13" fillId="0" borderId="1" xfId="0" applyNumberFormat="1" applyFont="1" applyBorder="1" applyAlignment="1">
      <alignment horizontal="center" vertical="center"/>
    </xf>
    <xf numFmtId="193" fontId="13" fillId="0" borderId="1" xfId="0" applyNumberFormat="1" applyFont="1" applyBorder="1">
      <alignment vertical="center"/>
    </xf>
    <xf numFmtId="185" fontId="18" fillId="0" borderId="1" xfId="0" applyNumberFormat="1" applyFont="1" applyBorder="1" applyAlignment="1">
      <alignment horizontal="right" vertical="center"/>
    </xf>
    <xf numFmtId="49" fontId="36" fillId="0" borderId="1" xfId="0" applyNumberFormat="1" applyFont="1" applyBorder="1" applyAlignment="1">
      <alignment horizontal="center" vertical="center"/>
    </xf>
    <xf numFmtId="193" fontId="36" fillId="0" borderId="1" xfId="0" applyNumberFormat="1" applyFont="1" applyBorder="1" applyAlignment="1">
      <alignment horizontal="center" vertical="center"/>
    </xf>
    <xf numFmtId="194" fontId="36" fillId="0" borderId="1" xfId="0" applyNumberFormat="1" applyFont="1" applyBorder="1" applyAlignment="1">
      <alignment horizontal="center" vertical="center"/>
    </xf>
    <xf numFmtId="194" fontId="5" fillId="0" borderId="1" xfId="0" applyNumberFormat="1" applyFont="1" applyBorder="1" applyAlignment="1">
      <alignment horizontal="center" vertical="center"/>
    </xf>
    <xf numFmtId="193" fontId="75" fillId="0" borderId="1" xfId="0" applyNumberFormat="1" applyFont="1" applyBorder="1">
      <alignment vertical="center"/>
    </xf>
    <xf numFmtId="194" fontId="75" fillId="0" borderId="1" xfId="0" applyNumberFormat="1" applyFont="1" applyBorder="1">
      <alignment vertical="center"/>
    </xf>
    <xf numFmtId="221" fontId="0" fillId="0" borderId="0" xfId="0" applyNumberFormat="1">
      <alignment vertical="center"/>
    </xf>
    <xf numFmtId="193" fontId="75" fillId="0" borderId="1" xfId="0" applyNumberFormat="1" applyFont="1" applyBorder="1" applyAlignment="1">
      <alignment horizontal="right" vertical="center"/>
    </xf>
    <xf numFmtId="0" fontId="68" fillId="0" borderId="1" xfId="0" applyFont="1" applyBorder="1" applyAlignment="1">
      <alignment horizontal="center" vertical="center"/>
    </xf>
    <xf numFmtId="0" fontId="90" fillId="0" borderId="1" xfId="0" applyFont="1" applyBorder="1" applyAlignment="1">
      <alignment horizontal="center" vertical="center"/>
    </xf>
    <xf numFmtId="0" fontId="90" fillId="0" borderId="0" xfId="0" applyFont="1" applyAlignment="1">
      <alignment horizontal="center" vertical="center"/>
    </xf>
    <xf numFmtId="0" fontId="72" fillId="0" borderId="1" xfId="0" applyFont="1" applyBorder="1" applyAlignment="1">
      <alignment horizontal="center" vertical="center"/>
    </xf>
    <xf numFmtId="0" fontId="164" fillId="0" borderId="0" xfId="0" applyFont="1" applyAlignment="1">
      <alignment horizontal="center" vertical="center" wrapText="1"/>
    </xf>
    <xf numFmtId="0" fontId="113" fillId="0" borderId="1" xfId="0" applyFont="1" applyBorder="1" applyAlignment="1">
      <alignment horizontal="center" vertical="center"/>
    </xf>
    <xf numFmtId="0" fontId="72" fillId="0" borderId="0" xfId="0" applyFont="1" applyAlignment="1">
      <alignment horizontal="center" vertical="center"/>
    </xf>
    <xf numFmtId="56" fontId="164" fillId="0" borderId="1" xfId="0" applyNumberFormat="1" applyFont="1" applyBorder="1" applyAlignment="1">
      <alignment horizontal="center" vertical="center"/>
    </xf>
    <xf numFmtId="56" fontId="164" fillId="0" borderId="0" xfId="0" applyNumberFormat="1" applyFont="1" applyAlignment="1">
      <alignment horizontal="center" vertical="center"/>
    </xf>
    <xf numFmtId="0" fontId="97" fillId="0" borderId="1" xfId="0" applyFont="1" applyBorder="1" applyAlignment="1">
      <alignment horizontal="center" vertical="center"/>
    </xf>
    <xf numFmtId="193" fontId="85" fillId="0" borderId="1" xfId="0" applyNumberFormat="1" applyFont="1" applyBorder="1">
      <alignment vertical="center"/>
    </xf>
    <xf numFmtId="49" fontId="5" fillId="8" borderId="1" xfId="0" applyNumberFormat="1" applyFont="1" applyFill="1" applyBorder="1" applyAlignment="1">
      <alignment horizontal="center" vertical="center"/>
    </xf>
    <xf numFmtId="0" fontId="5" fillId="8" borderId="1" xfId="0" applyFont="1" applyFill="1" applyBorder="1" applyAlignment="1">
      <alignment horizontal="center" vertical="center"/>
    </xf>
    <xf numFmtId="193" fontId="5" fillId="8" borderId="1" xfId="0" applyNumberFormat="1" applyFont="1" applyFill="1" applyBorder="1">
      <alignment vertical="center"/>
    </xf>
    <xf numFmtId="194" fontId="5" fillId="8" borderId="1" xfId="0" applyNumberFormat="1" applyFont="1" applyFill="1" applyBorder="1">
      <alignment vertical="center"/>
    </xf>
    <xf numFmtId="238" fontId="5" fillId="8" borderId="1" xfId="0" applyNumberFormat="1" applyFont="1" applyFill="1" applyBorder="1">
      <alignment vertical="center"/>
    </xf>
    <xf numFmtId="176" fontId="5" fillId="8" borderId="1" xfId="0" applyNumberFormat="1" applyFont="1" applyFill="1" applyBorder="1" applyAlignment="1">
      <alignment horizontal="center" vertical="center"/>
    </xf>
    <xf numFmtId="193" fontId="5" fillId="8" borderId="1" xfId="0" applyNumberFormat="1" applyFont="1" applyFill="1" applyBorder="1" applyAlignment="1">
      <alignment horizontal="right" vertical="center"/>
    </xf>
    <xf numFmtId="49" fontId="5" fillId="16" borderId="1" xfId="0" applyNumberFormat="1" applyFont="1" applyFill="1" applyBorder="1" applyAlignment="1">
      <alignment horizontal="center" vertical="center"/>
    </xf>
    <xf numFmtId="0" fontId="5" fillId="16" borderId="1" xfId="0" applyFont="1" applyFill="1" applyBorder="1" applyAlignment="1">
      <alignment horizontal="center" vertical="center"/>
    </xf>
    <xf numFmtId="193" fontId="5" fillId="16" borderId="1" xfId="0" applyNumberFormat="1" applyFont="1" applyFill="1" applyBorder="1">
      <alignment vertical="center"/>
    </xf>
    <xf numFmtId="194" fontId="5" fillId="16" borderId="1" xfId="0" applyNumberFormat="1" applyFont="1" applyFill="1" applyBorder="1">
      <alignment vertical="center"/>
    </xf>
    <xf numFmtId="238" fontId="5" fillId="16" borderId="1" xfId="0" applyNumberFormat="1" applyFont="1" applyFill="1" applyBorder="1">
      <alignment vertical="center"/>
    </xf>
    <xf numFmtId="49" fontId="5" fillId="17" borderId="1" xfId="0" applyNumberFormat="1" applyFont="1" applyFill="1" applyBorder="1" applyAlignment="1">
      <alignment horizontal="center" vertical="center"/>
    </xf>
    <xf numFmtId="0" fontId="5" fillId="17" borderId="1" xfId="0" applyFont="1" applyFill="1" applyBorder="1" applyAlignment="1">
      <alignment horizontal="center" vertical="center"/>
    </xf>
    <xf numFmtId="193" fontId="5" fillId="17" borderId="1" xfId="0" applyNumberFormat="1" applyFont="1" applyFill="1" applyBorder="1">
      <alignment vertical="center"/>
    </xf>
    <xf numFmtId="238" fontId="5" fillId="17" borderId="1" xfId="0" applyNumberFormat="1" applyFont="1" applyFill="1" applyBorder="1">
      <alignment vertical="center"/>
    </xf>
    <xf numFmtId="49" fontId="78" fillId="0" borderId="1" xfId="0" applyNumberFormat="1" applyFont="1" applyBorder="1" applyAlignment="1">
      <alignment horizontal="center" vertical="center"/>
    </xf>
    <xf numFmtId="0" fontId="78" fillId="0" borderId="1" xfId="0" applyFont="1" applyBorder="1" applyAlignment="1">
      <alignment horizontal="center" vertical="center"/>
    </xf>
    <xf numFmtId="193" fontId="78" fillId="0" borderId="1" xfId="0" applyNumberFormat="1" applyFont="1" applyBorder="1">
      <alignment vertical="center"/>
    </xf>
    <xf numFmtId="194" fontId="78" fillId="0" borderId="1" xfId="0" applyNumberFormat="1" applyFont="1" applyBorder="1">
      <alignment vertical="center"/>
    </xf>
    <xf numFmtId="49" fontId="5" fillId="5" borderId="1" xfId="0" applyNumberFormat="1" applyFont="1" applyFill="1" applyBorder="1" applyAlignment="1">
      <alignment horizontal="center" vertical="center"/>
    </xf>
    <xf numFmtId="0" fontId="5" fillId="5" borderId="1" xfId="0" applyFont="1" applyFill="1" applyBorder="1" applyAlignment="1">
      <alignment horizontal="center" vertical="center"/>
    </xf>
    <xf numFmtId="193" fontId="5" fillId="5" borderId="1" xfId="0" applyNumberFormat="1" applyFont="1" applyFill="1" applyBorder="1">
      <alignment vertical="center"/>
    </xf>
    <xf numFmtId="194" fontId="5" fillId="5" borderId="1" xfId="0" applyNumberFormat="1" applyFont="1" applyFill="1" applyBorder="1">
      <alignment vertical="center"/>
    </xf>
    <xf numFmtId="238" fontId="5" fillId="5" borderId="1" xfId="0" applyNumberFormat="1" applyFont="1" applyFill="1" applyBorder="1">
      <alignment vertical="center"/>
    </xf>
    <xf numFmtId="238" fontId="5" fillId="0" borderId="1" xfId="0" applyNumberFormat="1" applyFont="1" applyBorder="1" applyAlignment="1">
      <alignment horizontal="center" vertical="center"/>
    </xf>
    <xf numFmtId="49" fontId="13" fillId="0" borderId="1" xfId="0" applyNumberFormat="1" applyFont="1" applyBorder="1" applyAlignment="1">
      <alignment horizontal="center" vertical="center"/>
    </xf>
    <xf numFmtId="194" fontId="13" fillId="0" borderId="1" xfId="0" applyNumberFormat="1" applyFont="1" applyBorder="1">
      <alignment vertical="center"/>
    </xf>
    <xf numFmtId="194" fontId="5" fillId="0" borderId="1" xfId="0" applyNumberFormat="1" applyFont="1" applyBorder="1" applyAlignment="1">
      <alignment horizontal="right" vertical="center"/>
    </xf>
    <xf numFmtId="0" fontId="110" fillId="0" borderId="1" xfId="0" applyFont="1" applyBorder="1" applyAlignment="1">
      <alignment horizontal="center" vertical="center"/>
    </xf>
    <xf numFmtId="245" fontId="79" fillId="0" borderId="1" xfId="0" applyNumberFormat="1" applyFont="1" applyBorder="1" applyAlignment="1">
      <alignment horizontal="center" vertical="center" wrapText="1"/>
    </xf>
    <xf numFmtId="237" fontId="110" fillId="0" borderId="1" xfId="0" applyNumberFormat="1" applyFont="1" applyBorder="1" applyAlignment="1">
      <alignment horizontal="center" vertical="center"/>
    </xf>
    <xf numFmtId="193" fontId="19" fillId="0" borderId="1" xfId="0" applyNumberFormat="1" applyFont="1" applyBorder="1" applyAlignment="1">
      <alignment horizontal="center" vertical="center"/>
    </xf>
    <xf numFmtId="6" fontId="5" fillId="0" borderId="1" xfId="4" applyFont="1" applyFill="1" applyBorder="1" applyAlignment="1">
      <alignment horizontal="center" vertical="center"/>
    </xf>
    <xf numFmtId="176" fontId="0" fillId="0" borderId="1" xfId="0" applyNumberFormat="1" applyBorder="1" applyAlignment="1">
      <alignment horizontal="center" vertical="center"/>
    </xf>
    <xf numFmtId="238" fontId="5" fillId="0" borderId="1" xfId="0" applyNumberFormat="1" applyFont="1" applyBorder="1" applyAlignment="1">
      <alignment horizontal="right" vertical="center"/>
    </xf>
    <xf numFmtId="0" fontId="5" fillId="3" borderId="1" xfId="0" applyFont="1" applyFill="1" applyBorder="1" applyAlignment="1">
      <alignment horizontal="center" vertical="center"/>
    </xf>
    <xf numFmtId="193" fontId="5" fillId="3" borderId="1" xfId="0" applyNumberFormat="1" applyFont="1" applyFill="1" applyBorder="1">
      <alignment vertical="center"/>
    </xf>
    <xf numFmtId="238" fontId="5" fillId="3" borderId="1" xfId="0" applyNumberFormat="1" applyFont="1" applyFill="1" applyBorder="1">
      <alignment vertical="center"/>
    </xf>
    <xf numFmtId="0" fontId="0" fillId="3" borderId="0" xfId="0" applyFill="1">
      <alignment vertical="center"/>
    </xf>
    <xf numFmtId="237" fontId="17" fillId="0" borderId="1" xfId="0" applyNumberFormat="1" applyFont="1" applyBorder="1">
      <alignment vertical="center"/>
    </xf>
    <xf numFmtId="191" fontId="17" fillId="0" borderId="0" xfId="0" applyNumberFormat="1" applyFont="1" applyAlignment="1">
      <alignment horizontal="center" vertical="center"/>
    </xf>
    <xf numFmtId="237" fontId="17" fillId="0" borderId="0" xfId="0" applyNumberFormat="1" applyFont="1">
      <alignment vertical="center"/>
    </xf>
    <xf numFmtId="0" fontId="17" fillId="0" borderId="4" xfId="0" applyFont="1" applyBorder="1" applyAlignment="1">
      <alignment horizontal="center" vertical="center"/>
    </xf>
    <xf numFmtId="0" fontId="17"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right" vertical="center"/>
    </xf>
    <xf numFmtId="243" fontId="5" fillId="0" borderId="7" xfId="0" applyNumberFormat="1" applyFont="1" applyBorder="1" applyAlignment="1">
      <alignment horizontal="center" vertical="center"/>
    </xf>
    <xf numFmtId="0" fontId="3" fillId="0" borderId="6" xfId="0" applyFont="1" applyBorder="1" applyAlignment="1">
      <alignment horizontal="center" vertical="center"/>
    </xf>
    <xf numFmtId="243" fontId="5" fillId="0" borderId="7" xfId="0" applyNumberFormat="1" applyFont="1" applyBorder="1" applyAlignment="1">
      <alignment horizontal="right" vertical="center"/>
    </xf>
    <xf numFmtId="0" fontId="5" fillId="0" borderId="7" xfId="0" applyFont="1" applyBorder="1" applyAlignment="1">
      <alignment horizontal="center" vertical="center"/>
    </xf>
    <xf numFmtId="0" fontId="17" fillId="0" borderId="6" xfId="0" applyFont="1" applyBorder="1" applyAlignment="1">
      <alignment horizontal="center" vertical="center"/>
    </xf>
    <xf numFmtId="0" fontId="17" fillId="0" borderId="7" xfId="0" applyFont="1" applyBorder="1" applyAlignment="1">
      <alignment horizontal="center" vertical="center"/>
    </xf>
    <xf numFmtId="0" fontId="81" fillId="0" borderId="7" xfId="0" applyFont="1" applyBorder="1" applyAlignment="1">
      <alignment horizontal="center" vertical="center"/>
    </xf>
    <xf numFmtId="243" fontId="5" fillId="0" borderId="1" xfId="0" applyNumberFormat="1" applyFont="1" applyBorder="1" applyAlignment="1">
      <alignment horizontal="center" vertical="center"/>
    </xf>
    <xf numFmtId="0" fontId="3" fillId="0" borderId="1" xfId="0" applyFont="1" applyBorder="1" applyAlignment="1">
      <alignment horizontal="center" vertical="center"/>
    </xf>
    <xf numFmtId="243" fontId="5" fillId="0" borderId="1" xfId="0" applyNumberFormat="1" applyFont="1" applyBorder="1" applyAlignment="1">
      <alignment horizontal="right" vertical="center"/>
    </xf>
    <xf numFmtId="199" fontId="5" fillId="0" borderId="1" xfId="0" applyNumberFormat="1" applyFont="1" applyBorder="1" applyAlignment="1">
      <alignment horizontal="right" vertical="center"/>
    </xf>
    <xf numFmtId="243" fontId="13" fillId="0" borderId="1" xfId="0" applyNumberFormat="1" applyFont="1" applyBorder="1" applyAlignment="1">
      <alignment horizontal="center" vertical="center"/>
    </xf>
    <xf numFmtId="238" fontId="7" fillId="0" borderId="1" xfId="0" applyNumberFormat="1" applyFont="1" applyBorder="1" applyAlignment="1">
      <alignment horizontal="right" vertical="center"/>
    </xf>
    <xf numFmtId="0" fontId="17" fillId="0" borderId="1" xfId="0" applyFont="1" applyBorder="1" applyAlignment="1">
      <alignment horizontal="center" vertical="center" wrapText="1"/>
    </xf>
    <xf numFmtId="0" fontId="7" fillId="0" borderId="29" xfId="0" applyFont="1" applyBorder="1" applyAlignment="1">
      <alignment horizontal="center" vertical="center"/>
    </xf>
    <xf numFmtId="193" fontId="5" fillId="0" borderId="29" xfId="0" applyNumberFormat="1" applyFont="1" applyBorder="1">
      <alignment vertical="center"/>
    </xf>
    <xf numFmtId="180" fontId="5" fillId="0" borderId="29" xfId="0" applyNumberFormat="1" applyFont="1" applyBorder="1" applyAlignment="1">
      <alignment horizontal="right" vertical="center"/>
    </xf>
    <xf numFmtId="198" fontId="5" fillId="0" borderId="29" xfId="0" applyNumberFormat="1" applyFont="1" applyBorder="1">
      <alignment vertical="center"/>
    </xf>
    <xf numFmtId="0" fontId="7" fillId="0" borderId="30" xfId="0" applyFont="1" applyBorder="1" applyAlignment="1">
      <alignment horizontal="center" vertical="center"/>
    </xf>
    <xf numFmtId="193" fontId="5" fillId="0" borderId="30" xfId="0" applyNumberFormat="1" applyFont="1" applyBorder="1">
      <alignment vertical="center"/>
    </xf>
    <xf numFmtId="180" fontId="5" fillId="0" borderId="30" xfId="0" applyNumberFormat="1" applyFont="1" applyBorder="1" applyAlignment="1">
      <alignment horizontal="right" vertical="center"/>
    </xf>
    <xf numFmtId="198" fontId="5" fillId="0" borderId="30" xfId="0" applyNumberFormat="1" applyFont="1" applyBorder="1">
      <alignment vertical="center"/>
    </xf>
    <xf numFmtId="0" fontId="17" fillId="3" borderId="1" xfId="0" applyFont="1" applyFill="1" applyBorder="1" applyAlignment="1">
      <alignment horizontal="center" vertical="center"/>
    </xf>
    <xf numFmtId="0" fontId="81" fillId="3" borderId="1" xfId="0" applyFont="1" applyFill="1" applyBorder="1" applyAlignment="1">
      <alignment horizontal="center" vertical="center"/>
    </xf>
    <xf numFmtId="242" fontId="110" fillId="0" borderId="1" xfId="0" applyNumberFormat="1" applyFont="1" applyBorder="1" applyAlignment="1">
      <alignment horizontal="center" vertical="center"/>
    </xf>
    <xf numFmtId="224" fontId="110" fillId="0" borderId="1" xfId="0" applyNumberFormat="1" applyFont="1" applyBorder="1" applyAlignment="1">
      <alignment horizontal="center" vertical="center"/>
    </xf>
    <xf numFmtId="179" fontId="116" fillId="0" borderId="1" xfId="0" applyNumberFormat="1" applyFont="1" applyBorder="1" applyAlignment="1">
      <alignment horizontal="center" vertical="center" wrapText="1"/>
    </xf>
    <xf numFmtId="192" fontId="125" fillId="0" borderId="15" xfId="0" applyNumberFormat="1" applyFont="1" applyBorder="1" applyAlignment="1">
      <alignment horizontal="center" vertical="center"/>
    </xf>
    <xf numFmtId="236" fontId="7" fillId="0" borderId="1" xfId="0" applyNumberFormat="1" applyFont="1" applyBorder="1" applyAlignment="1">
      <alignment horizontal="right" vertical="center"/>
    </xf>
    <xf numFmtId="0" fontId="7" fillId="0" borderId="7" xfId="0" applyFont="1" applyBorder="1" applyAlignment="1">
      <alignment horizontal="center" vertical="center"/>
    </xf>
    <xf numFmtId="0" fontId="7" fillId="0" borderId="7" xfId="0" applyFont="1" applyBorder="1" applyAlignment="1">
      <alignment horizontal="right" vertical="center"/>
    </xf>
    <xf numFmtId="0" fontId="81" fillId="0" borderId="4" xfId="0" applyFont="1" applyBorder="1" applyAlignment="1">
      <alignment horizontal="center" vertical="center"/>
    </xf>
    <xf numFmtId="49" fontId="7" fillId="0" borderId="4" xfId="0" applyNumberFormat="1" applyFont="1" applyBorder="1" applyAlignment="1">
      <alignment horizontal="center" vertical="center"/>
    </xf>
    <xf numFmtId="0" fontId="7" fillId="0" borderId="4" xfId="0" applyFont="1" applyBorder="1" applyAlignment="1">
      <alignment horizontal="center" vertical="center"/>
    </xf>
    <xf numFmtId="193" fontId="7" fillId="0" borderId="4" xfId="0" applyNumberFormat="1" applyFont="1" applyBorder="1">
      <alignment vertical="center"/>
    </xf>
    <xf numFmtId="194" fontId="7" fillId="0" borderId="4" xfId="0" applyNumberFormat="1" applyFont="1" applyBorder="1">
      <alignment vertical="center"/>
    </xf>
    <xf numFmtId="184" fontId="67" fillId="0" borderId="4" xfId="0" applyNumberFormat="1" applyFont="1" applyBorder="1" applyAlignment="1">
      <alignment horizontal="right" vertical="center"/>
    </xf>
    <xf numFmtId="196" fontId="169" fillId="0" borderId="1" xfId="0" applyNumberFormat="1" applyFont="1" applyBorder="1" applyAlignment="1">
      <alignment horizontal="center" vertical="center"/>
    </xf>
    <xf numFmtId="0" fontId="18" fillId="0" borderId="0" xfId="0" applyFont="1" applyAlignment="1">
      <alignment horizontal="center" vertical="center" wrapText="1"/>
    </xf>
    <xf numFmtId="0" fontId="18" fillId="0" borderId="1" xfId="0" applyFont="1" applyBorder="1" applyAlignment="1">
      <alignment horizontal="right" vertical="center"/>
    </xf>
    <xf numFmtId="238" fontId="17" fillId="0" borderId="1" xfId="0" applyNumberFormat="1" applyFont="1" applyBorder="1" applyAlignment="1">
      <alignment horizontal="right" vertical="center"/>
    </xf>
    <xf numFmtId="238" fontId="77" fillId="0" borderId="1" xfId="0" applyNumberFormat="1" applyFont="1" applyBorder="1" applyAlignment="1">
      <alignment horizontal="right" vertical="center"/>
    </xf>
    <xf numFmtId="238" fontId="77" fillId="4" borderId="1" xfId="0" applyNumberFormat="1" applyFont="1" applyFill="1" applyBorder="1" applyAlignment="1">
      <alignment horizontal="center" vertical="center"/>
    </xf>
    <xf numFmtId="238" fontId="77" fillId="0" borderId="1" xfId="0" applyNumberFormat="1" applyFont="1" applyBorder="1" applyAlignment="1">
      <alignment horizontal="center" vertical="center"/>
    </xf>
    <xf numFmtId="178" fontId="67" fillId="18" borderId="1" xfId="0" applyNumberFormat="1" applyFont="1" applyFill="1" applyBorder="1" applyAlignment="1">
      <alignment horizontal="center" vertical="center"/>
    </xf>
    <xf numFmtId="178" fontId="67" fillId="13" borderId="1" xfId="0" applyNumberFormat="1" applyFont="1" applyFill="1" applyBorder="1" applyAlignment="1">
      <alignment horizontal="center" vertical="center"/>
    </xf>
    <xf numFmtId="0" fontId="86" fillId="0" borderId="1" xfId="0" applyFont="1" applyBorder="1" applyAlignment="1">
      <alignment horizontal="center" vertical="center"/>
    </xf>
    <xf numFmtId="198" fontId="171" fillId="0" borderId="1" xfId="0" applyNumberFormat="1" applyFont="1" applyBorder="1">
      <alignment vertical="center"/>
    </xf>
    <xf numFmtId="198" fontId="5" fillId="0" borderId="1" xfId="0" applyNumberFormat="1" applyFont="1" applyBorder="1" applyAlignment="1">
      <alignment horizontal="center" vertical="center"/>
    </xf>
    <xf numFmtId="198" fontId="5" fillId="0" borderId="0" xfId="0" applyNumberFormat="1" applyFont="1" applyAlignment="1">
      <alignment horizontal="center" vertical="center"/>
    </xf>
    <xf numFmtId="198" fontId="5" fillId="0" borderId="0" xfId="0" applyNumberFormat="1" applyFont="1">
      <alignment vertical="center"/>
    </xf>
    <xf numFmtId="192" fontId="154" fillId="0" borderId="10" xfId="0" applyNumberFormat="1" applyFont="1" applyBorder="1" applyAlignment="1">
      <alignment horizontal="center" vertical="center"/>
    </xf>
    <xf numFmtId="0" fontId="17" fillId="3" borderId="1" xfId="0" applyFont="1" applyFill="1" applyBorder="1" applyAlignment="1">
      <alignment horizontal="center"/>
    </xf>
    <xf numFmtId="194" fontId="7" fillId="0" borderId="1" xfId="0" applyNumberFormat="1" applyFont="1" applyBorder="1" applyAlignment="1">
      <alignment horizontal="right" vertical="center"/>
    </xf>
    <xf numFmtId="0" fontId="172" fillId="0" borderId="1" xfId="0" applyFont="1" applyBorder="1" applyAlignment="1">
      <alignment horizontal="center" vertical="center"/>
    </xf>
    <xf numFmtId="0" fontId="18" fillId="0" borderId="1" xfId="0" applyFont="1" applyBorder="1" applyAlignment="1">
      <alignment horizontal="center" vertical="center" wrapText="1" shrinkToFit="1"/>
    </xf>
    <xf numFmtId="208" fontId="20" fillId="5" borderId="11" xfId="0" applyNumberFormat="1" applyFont="1" applyFill="1" applyBorder="1" applyAlignment="1">
      <alignment horizontal="center" vertical="center"/>
    </xf>
    <xf numFmtId="213" fontId="20" fillId="0" borderId="3" xfId="0" applyNumberFormat="1" applyFont="1" applyBorder="1" applyAlignment="1">
      <alignment horizontal="center" vertical="center" shrinkToFit="1"/>
    </xf>
    <xf numFmtId="0" fontId="33" fillId="0" borderId="11" xfId="0" applyFont="1" applyBorder="1" applyAlignment="1">
      <alignment horizontal="center" vertical="center" wrapText="1"/>
    </xf>
    <xf numFmtId="0" fontId="88" fillId="0" borderId="11" xfId="0" applyFont="1" applyBorder="1" applyAlignment="1">
      <alignment horizontal="center" vertical="center"/>
    </xf>
    <xf numFmtId="0" fontId="88" fillId="0" borderId="3" xfId="0" applyFont="1" applyBorder="1" applyAlignment="1">
      <alignment horizontal="center" vertical="center"/>
    </xf>
    <xf numFmtId="208" fontId="20" fillId="0" borderId="1" xfId="0" applyNumberFormat="1" applyFont="1" applyBorder="1" applyAlignment="1">
      <alignment horizontal="center" vertical="center"/>
    </xf>
    <xf numFmtId="0" fontId="20" fillId="0" borderId="1" xfId="0" applyFont="1" applyBorder="1" applyAlignment="1">
      <alignment horizontal="center" vertical="center"/>
    </xf>
    <xf numFmtId="191" fontId="7" fillId="0" borderId="10" xfId="0" applyNumberFormat="1" applyFont="1" applyBorder="1" applyAlignment="1">
      <alignment horizontal="center" vertical="center" wrapText="1"/>
    </xf>
    <xf numFmtId="217" fontId="18" fillId="0" borderId="1" xfId="0" applyNumberFormat="1" applyFont="1" applyBorder="1" applyAlignment="1">
      <alignment horizontal="center" vertical="center"/>
    </xf>
    <xf numFmtId="236" fontId="18" fillId="0" borderId="1" xfId="0" applyNumberFormat="1" applyFont="1" applyBorder="1" applyAlignment="1">
      <alignment horizontal="center" vertical="center"/>
    </xf>
    <xf numFmtId="238" fontId="18" fillId="0" borderId="1" xfId="0" applyNumberFormat="1" applyFont="1" applyBorder="1" applyAlignment="1">
      <alignment horizontal="center" vertical="center"/>
    </xf>
    <xf numFmtId="0" fontId="0" fillId="0" borderId="1" xfId="0" applyBorder="1" applyAlignment="1">
      <alignment horizontal="right" vertical="center"/>
    </xf>
    <xf numFmtId="6" fontId="65" fillId="0" borderId="1" xfId="4" applyFont="1" applyBorder="1" applyAlignment="1">
      <alignment horizontal="right" vertical="center"/>
    </xf>
    <xf numFmtId="0" fontId="0" fillId="9" borderId="8" xfId="0" applyFill="1" applyBorder="1" applyAlignment="1">
      <alignment horizontal="center" vertical="center"/>
    </xf>
    <xf numFmtId="206" fontId="0" fillId="12" borderId="8" xfId="0" applyNumberFormat="1" applyFill="1" applyBorder="1" applyAlignment="1">
      <alignment horizontal="center" vertical="center"/>
    </xf>
    <xf numFmtId="217" fontId="87" fillId="0" borderId="1" xfId="10" applyNumberFormat="1" applyFont="1" applyBorder="1" applyAlignment="1">
      <alignment horizontal="center" vertical="center"/>
    </xf>
    <xf numFmtId="6" fontId="65" fillId="0" borderId="1" xfId="18" applyFont="1" applyBorder="1">
      <alignment vertical="center"/>
    </xf>
    <xf numFmtId="246" fontId="7" fillId="0" borderId="1" xfId="0" applyNumberFormat="1" applyFont="1" applyBorder="1" applyAlignment="1">
      <alignment horizontal="center" vertical="center"/>
    </xf>
    <xf numFmtId="6" fontId="65" fillId="0" borderId="3" xfId="4" applyFont="1" applyBorder="1" applyAlignment="1">
      <alignment horizontal="right" vertical="center"/>
    </xf>
    <xf numFmtId="0" fontId="0" fillId="9" borderId="0" xfId="0" applyFill="1" applyAlignment="1">
      <alignment horizontal="center" vertical="center"/>
    </xf>
    <xf numFmtId="206" fontId="0" fillId="12" borderId="0" xfId="0" applyNumberFormat="1" applyFill="1" applyAlignment="1">
      <alignment horizontal="center" vertical="center"/>
    </xf>
    <xf numFmtId="0" fontId="0" fillId="0" borderId="3" xfId="0" applyBorder="1" applyAlignment="1">
      <alignment horizontal="right" vertical="center"/>
    </xf>
    <xf numFmtId="5" fontId="65" fillId="0" borderId="46" xfId="10" applyNumberFormat="1" applyBorder="1" applyAlignment="1">
      <alignment horizontal="center" vertical="center"/>
    </xf>
    <xf numFmtId="6" fontId="0" fillId="9" borderId="81" xfId="0" applyNumberFormat="1" applyFill="1" applyBorder="1" applyAlignment="1">
      <alignment horizontal="right" vertical="center"/>
    </xf>
    <xf numFmtId="206" fontId="0" fillId="12" borderId="81" xfId="0" applyNumberFormat="1" applyFill="1" applyBorder="1" applyAlignment="1">
      <alignment horizontal="right" vertical="center"/>
    </xf>
    <xf numFmtId="206" fontId="0" fillId="12" borderId="27" xfId="0" applyNumberFormat="1" applyFill="1" applyBorder="1" applyAlignment="1">
      <alignment horizontal="right" vertical="center"/>
    </xf>
    <xf numFmtId="0" fontId="79" fillId="0" borderId="46" xfId="10" applyFont="1" applyBorder="1" applyAlignment="1">
      <alignment horizontal="center" vertical="center"/>
    </xf>
    <xf numFmtId="5" fontId="65" fillId="0" borderId="46" xfId="10" applyNumberFormat="1" applyBorder="1" applyAlignment="1">
      <alignment horizontal="right" vertical="center"/>
    </xf>
    <xf numFmtId="0" fontId="65" fillId="0" borderId="0" xfId="10" applyAlignment="1">
      <alignment horizontal="center" vertical="center"/>
    </xf>
    <xf numFmtId="0" fontId="79" fillId="0" borderId="43" xfId="0" applyFont="1" applyBorder="1" applyAlignment="1">
      <alignment horizontal="center" vertical="center"/>
    </xf>
    <xf numFmtId="6" fontId="65" fillId="0" borderId="139" xfId="4" applyFont="1" applyBorder="1" applyAlignment="1">
      <alignment horizontal="right" vertical="center"/>
    </xf>
    <xf numFmtId="6" fontId="65" fillId="0" borderId="43" xfId="4" applyFont="1" applyBorder="1" applyAlignment="1">
      <alignment horizontal="right" vertical="center"/>
    </xf>
    <xf numFmtId="6" fontId="79" fillId="0" borderId="1" xfId="4" applyFont="1" applyBorder="1" applyAlignment="1">
      <alignment horizontal="center" vertical="center"/>
    </xf>
    <xf numFmtId="0" fontId="79" fillId="0" borderId="1" xfId="0" applyFont="1" applyBorder="1">
      <alignment vertical="center"/>
    </xf>
    <xf numFmtId="6" fontId="79" fillId="9" borderId="81" xfId="0" applyNumberFormat="1" applyFont="1" applyFill="1" applyBorder="1" applyAlignment="1">
      <alignment horizontal="right" vertical="center"/>
    </xf>
    <xf numFmtId="206" fontId="79" fillId="12" borderId="81" xfId="0" applyNumberFormat="1" applyFont="1" applyFill="1" applyBorder="1" applyAlignment="1">
      <alignment horizontal="right" vertical="center"/>
    </xf>
    <xf numFmtId="0" fontId="39" fillId="0" borderId="1" xfId="0" applyFont="1" applyBorder="1" applyAlignment="1">
      <alignment horizontal="center" vertical="center"/>
    </xf>
    <xf numFmtId="6" fontId="79" fillId="0" borderId="1" xfId="19" applyFont="1" applyBorder="1" applyAlignment="1">
      <alignment horizontal="center" vertical="center"/>
    </xf>
    <xf numFmtId="0" fontId="79" fillId="0" borderId="140" xfId="0" applyFont="1" applyBorder="1" applyAlignment="1">
      <alignment horizontal="center" vertical="center"/>
    </xf>
    <xf numFmtId="6" fontId="65" fillId="0" borderId="141" xfId="4" applyFont="1" applyBorder="1" applyAlignment="1">
      <alignment horizontal="right" vertical="center"/>
    </xf>
    <xf numFmtId="38" fontId="79" fillId="0" borderId="1" xfId="20" applyFont="1" applyBorder="1" applyAlignment="1">
      <alignment horizontal="right" vertical="center"/>
    </xf>
    <xf numFmtId="6" fontId="79" fillId="0" borderId="1" xfId="4" applyFont="1" applyBorder="1" applyAlignment="1">
      <alignment horizontal="right" vertical="center"/>
    </xf>
    <xf numFmtId="206" fontId="79" fillId="12" borderId="0" xfId="0" applyNumberFormat="1" applyFont="1" applyFill="1" applyAlignment="1">
      <alignment horizontal="right" vertical="center"/>
    </xf>
    <xf numFmtId="179" fontId="18" fillId="0" borderId="0" xfId="0" applyNumberFormat="1" applyFont="1">
      <alignment vertical="center"/>
    </xf>
    <xf numFmtId="180" fontId="18" fillId="0" borderId="1" xfId="0" applyNumberFormat="1" applyFont="1" applyBorder="1">
      <alignment vertical="center"/>
    </xf>
    <xf numFmtId="238" fontId="18" fillId="0" borderId="1" xfId="0" applyNumberFormat="1" applyFont="1" applyBorder="1">
      <alignment vertical="center"/>
    </xf>
    <xf numFmtId="179" fontId="18" fillId="0" borderId="1" xfId="0" applyNumberFormat="1" applyFont="1" applyBorder="1" applyAlignment="1">
      <alignment horizontal="center" vertical="center"/>
    </xf>
    <xf numFmtId="194" fontId="18" fillId="0" borderId="1" xfId="0" applyNumberFormat="1" applyFont="1" applyBorder="1">
      <alignment vertical="center"/>
    </xf>
    <xf numFmtId="192" fontId="18" fillId="0" borderId="1" xfId="0" applyNumberFormat="1" applyFont="1" applyBorder="1">
      <alignment vertical="center"/>
    </xf>
    <xf numFmtId="0" fontId="173" fillId="0" borderId="1" xfId="0" applyFont="1" applyBorder="1" applyAlignment="1">
      <alignment horizontal="center" vertical="center"/>
    </xf>
    <xf numFmtId="0" fontId="21" fillId="0" borderId="1" xfId="0" applyFont="1" applyBorder="1" applyAlignment="1">
      <alignment horizontal="right" vertical="center"/>
    </xf>
    <xf numFmtId="238" fontId="0" fillId="0" borderId="0" xfId="0" applyNumberFormat="1">
      <alignment vertical="center"/>
    </xf>
    <xf numFmtId="192" fontId="0" fillId="0" borderId="0" xfId="0" applyNumberFormat="1">
      <alignment vertical="center"/>
    </xf>
    <xf numFmtId="179" fontId="0" fillId="0" borderId="0" xfId="0" applyNumberFormat="1">
      <alignment vertical="center"/>
    </xf>
    <xf numFmtId="186" fontId="0" fillId="0" borderId="0" xfId="0" applyNumberFormat="1">
      <alignment vertical="center"/>
    </xf>
    <xf numFmtId="179" fontId="18" fillId="0" borderId="1" xfId="0" applyNumberFormat="1" applyFont="1" applyBorder="1">
      <alignment vertical="center"/>
    </xf>
    <xf numFmtId="238" fontId="21" fillId="0" borderId="1" xfId="0" applyNumberFormat="1" applyFont="1" applyBorder="1">
      <alignment vertical="center"/>
    </xf>
    <xf numFmtId="179" fontId="112" fillId="0" borderId="1" xfId="0" applyNumberFormat="1" applyFont="1" applyBorder="1" applyAlignment="1">
      <alignment horizontal="center" vertical="center" wrapText="1"/>
    </xf>
    <xf numFmtId="238" fontId="17" fillId="0" borderId="1" xfId="0" applyNumberFormat="1" applyFont="1" applyBorder="1">
      <alignment vertical="center"/>
    </xf>
    <xf numFmtId="238" fontId="7" fillId="0" borderId="1" xfId="0" applyNumberFormat="1" applyFont="1" applyBorder="1" applyAlignment="1">
      <alignment horizontal="center" vertical="center"/>
    </xf>
    <xf numFmtId="179" fontId="111" fillId="0" borderId="1" xfId="0" applyNumberFormat="1" applyFont="1" applyBorder="1" applyAlignment="1">
      <alignment horizontal="center" vertical="center" wrapText="1"/>
    </xf>
    <xf numFmtId="188" fontId="51" fillId="8" borderId="1" xfId="0" applyNumberFormat="1" applyFont="1" applyFill="1" applyBorder="1" applyAlignment="1">
      <alignment horizontal="center"/>
    </xf>
    <xf numFmtId="210" fontId="51" fillId="8" borderId="1" xfId="0" applyNumberFormat="1" applyFont="1" applyFill="1" applyBorder="1" applyAlignment="1">
      <alignment horizontal="center"/>
    </xf>
    <xf numFmtId="210" fontId="51" fillId="8" borderId="1" xfId="0" applyNumberFormat="1" applyFont="1" applyFill="1" applyBorder="1" applyAlignment="1">
      <alignment horizontal="center" wrapText="1"/>
    </xf>
    <xf numFmtId="214" fontId="52" fillId="8" borderId="1" xfId="0" applyNumberFormat="1" applyFont="1" applyFill="1" applyBorder="1" applyAlignment="1">
      <alignment horizontal="center" wrapText="1"/>
    </xf>
    <xf numFmtId="0" fontId="35" fillId="0" borderId="1" xfId="21" applyFont="1" applyBorder="1" applyAlignment="1">
      <alignment horizontal="center" vertical="center"/>
    </xf>
    <xf numFmtId="201" fontId="35" fillId="0" borderId="1" xfId="21" applyNumberFormat="1" applyFont="1" applyBorder="1" applyAlignment="1">
      <alignment horizontal="center" vertical="center"/>
    </xf>
    <xf numFmtId="236" fontId="50" fillId="0" borderId="1" xfId="0" applyNumberFormat="1" applyFont="1" applyBorder="1">
      <alignment vertical="center"/>
    </xf>
    <xf numFmtId="193" fontId="17" fillId="0" borderId="1" xfId="0" applyNumberFormat="1" applyFont="1" applyBorder="1" applyAlignment="1">
      <alignment horizontal="center" vertical="center"/>
    </xf>
    <xf numFmtId="0" fontId="7" fillId="0" borderId="11" xfId="0" applyFont="1" applyBorder="1" applyAlignment="1">
      <alignment horizontal="center" vertical="center"/>
    </xf>
    <xf numFmtId="178" fontId="67" fillId="0" borderId="11" xfId="0" applyNumberFormat="1" applyFont="1" applyBorder="1" applyAlignment="1">
      <alignment horizontal="right" vertical="center"/>
    </xf>
    <xf numFmtId="191" fontId="7" fillId="0" borderId="11" xfId="0" applyNumberFormat="1" applyFont="1" applyBorder="1">
      <alignment vertical="center"/>
    </xf>
    <xf numFmtId="236" fontId="39" fillId="0" borderId="1" xfId="0" applyNumberFormat="1" applyFont="1" applyBorder="1">
      <alignment vertical="center"/>
    </xf>
    <xf numFmtId="237" fontId="18" fillId="0" borderId="1" xfId="0" applyNumberFormat="1" applyFont="1" applyBorder="1">
      <alignment vertical="center"/>
    </xf>
    <xf numFmtId="0" fontId="174" fillId="0" borderId="1" xfId="0" applyFont="1" applyBorder="1">
      <alignment vertical="center"/>
    </xf>
    <xf numFmtId="0" fontId="18" fillId="4" borderId="1" xfId="0" applyFont="1" applyFill="1" applyBorder="1" applyAlignment="1">
      <alignment horizontal="center" vertical="center"/>
    </xf>
    <xf numFmtId="0" fontId="18" fillId="4" borderId="1" xfId="0" applyFont="1" applyFill="1" applyBorder="1">
      <alignment vertical="center"/>
    </xf>
    <xf numFmtId="49" fontId="77" fillId="0" borderId="1" xfId="0" applyNumberFormat="1" applyFont="1" applyBorder="1" applyAlignment="1">
      <alignment horizontal="center" vertical="center"/>
    </xf>
    <xf numFmtId="0" fontId="7" fillId="0" borderId="1" xfId="0" applyFont="1" applyBorder="1" applyAlignment="1">
      <alignment horizontal="left"/>
    </xf>
    <xf numFmtId="237" fontId="30" fillId="8" borderId="1" xfId="0" applyNumberFormat="1" applyFont="1" applyFill="1" applyBorder="1">
      <alignment vertical="center"/>
    </xf>
    <xf numFmtId="221" fontId="7" fillId="0" borderId="1" xfId="0" applyNumberFormat="1" applyFont="1" applyBorder="1" applyAlignment="1"/>
    <xf numFmtId="223" fontId="7" fillId="0" borderId="1" xfId="0" applyNumberFormat="1" applyFont="1" applyBorder="1" applyAlignment="1"/>
    <xf numFmtId="193" fontId="7" fillId="0" borderId="0" xfId="0" applyNumberFormat="1" applyFont="1" applyAlignment="1">
      <alignment horizontal="center" vertical="center"/>
    </xf>
    <xf numFmtId="238" fontId="7" fillId="0" borderId="0" xfId="0" applyNumberFormat="1" applyFont="1">
      <alignment vertical="center"/>
    </xf>
    <xf numFmtId="191" fontId="15" fillId="0" borderId="10" xfId="0" applyNumberFormat="1" applyFont="1" applyBorder="1" applyAlignment="1">
      <alignment horizontal="center" vertical="center"/>
    </xf>
    <xf numFmtId="221" fontId="175" fillId="0" borderId="1" xfId="0" applyNumberFormat="1" applyFont="1" applyBorder="1" applyAlignment="1">
      <alignment horizontal="center" vertical="center"/>
    </xf>
    <xf numFmtId="49" fontId="97" fillId="0" borderId="1" xfId="0" applyNumberFormat="1" applyFont="1" applyBorder="1" applyAlignment="1">
      <alignment horizontal="center" vertical="center"/>
    </xf>
    <xf numFmtId="224" fontId="178" fillId="0" borderId="1" xfId="0" applyNumberFormat="1" applyFont="1" applyBorder="1" applyAlignment="1">
      <alignment horizontal="right" vertical="center"/>
    </xf>
    <xf numFmtId="49" fontId="179" fillId="0" borderId="1" xfId="0" applyNumberFormat="1" applyFont="1" applyBorder="1" applyAlignment="1">
      <alignment horizontal="right" vertical="center"/>
    </xf>
    <xf numFmtId="198" fontId="7" fillId="0" borderId="1" xfId="0" applyNumberFormat="1" applyFont="1" applyBorder="1" applyAlignment="1">
      <alignment horizontal="center" vertical="center"/>
    </xf>
    <xf numFmtId="236" fontId="110" fillId="0" borderId="1" xfId="0" applyNumberFormat="1" applyFont="1" applyBorder="1" applyAlignment="1">
      <alignment horizontal="center" vertical="center"/>
    </xf>
    <xf numFmtId="0" fontId="19" fillId="0" borderId="0" xfId="0" applyFont="1" applyAlignment="1">
      <alignment horizontal="left" vertical="center"/>
    </xf>
    <xf numFmtId="0" fontId="21" fillId="8" borderId="1" xfId="0" applyFont="1" applyFill="1" applyBorder="1" applyAlignment="1">
      <alignment horizontal="center" vertical="center"/>
    </xf>
    <xf numFmtId="221" fontId="97" fillId="3" borderId="1" xfId="0" applyNumberFormat="1" applyFont="1" applyFill="1" applyBorder="1" applyAlignment="1">
      <alignment horizontal="center" vertical="center"/>
    </xf>
    <xf numFmtId="0" fontId="181" fillId="8" borderId="1" xfId="0" applyFont="1" applyFill="1" applyBorder="1" applyAlignment="1">
      <alignment horizontal="center" vertical="center"/>
    </xf>
    <xf numFmtId="49" fontId="79" fillId="0" borderId="0" xfId="0" applyNumberFormat="1" applyFont="1" applyAlignment="1">
      <alignment horizontal="center" vertical="center"/>
    </xf>
    <xf numFmtId="204" fontId="110" fillId="3" borderId="1" xfId="0" applyNumberFormat="1" applyFont="1" applyFill="1" applyBorder="1" applyAlignment="1">
      <alignment horizontal="center" vertical="center"/>
    </xf>
    <xf numFmtId="49" fontId="110" fillId="0" borderId="1" xfId="0" applyNumberFormat="1" applyFont="1" applyBorder="1" applyAlignment="1">
      <alignment horizontal="center" vertical="center"/>
    </xf>
    <xf numFmtId="49" fontId="110" fillId="0" borderId="0" xfId="0" applyNumberFormat="1" applyFont="1">
      <alignment vertical="center"/>
    </xf>
    <xf numFmtId="204" fontId="15" fillId="0" borderId="1" xfId="0" applyNumberFormat="1" applyFont="1" applyBorder="1" applyAlignment="1">
      <alignment horizontal="center" vertical="center"/>
    </xf>
    <xf numFmtId="237" fontId="15" fillId="0" borderId="1" xfId="0" applyNumberFormat="1" applyFont="1" applyBorder="1" applyAlignment="1">
      <alignment horizontal="center" vertical="center"/>
    </xf>
    <xf numFmtId="49" fontId="15" fillId="0" borderId="1" xfId="0" applyNumberFormat="1" applyFont="1" applyBorder="1" applyAlignment="1">
      <alignment horizontal="center" vertical="center"/>
    </xf>
    <xf numFmtId="49" fontId="10" fillId="0" borderId="0" xfId="0" applyNumberFormat="1" applyFont="1">
      <alignment vertical="center"/>
    </xf>
    <xf numFmtId="191" fontId="15" fillId="0" borderId="1" xfId="0" applyNumberFormat="1" applyFont="1" applyBorder="1" applyAlignment="1">
      <alignment horizontal="center" vertical="center"/>
    </xf>
    <xf numFmtId="229" fontId="15" fillId="0" borderId="1" xfId="0" applyNumberFormat="1" applyFont="1" applyBorder="1" applyAlignment="1">
      <alignment horizontal="center" vertical="center"/>
    </xf>
    <xf numFmtId="208" fontId="10" fillId="0" borderId="0" xfId="0" applyNumberFormat="1" applyFont="1">
      <alignment vertical="center"/>
    </xf>
    <xf numFmtId="193" fontId="10" fillId="0" borderId="0" xfId="0" applyNumberFormat="1" applyFont="1">
      <alignment vertical="center"/>
    </xf>
    <xf numFmtId="0" fontId="21" fillId="8" borderId="1" xfId="0" applyFont="1" applyFill="1" applyBorder="1" applyAlignment="1">
      <alignment horizontal="center" vertical="center" wrapText="1"/>
    </xf>
    <xf numFmtId="0" fontId="181" fillId="8" borderId="1" xfId="0" applyFont="1" applyFill="1" applyBorder="1" applyAlignment="1">
      <alignment horizontal="center" vertical="center" wrapText="1"/>
    </xf>
    <xf numFmtId="0" fontId="51" fillId="8" borderId="1" xfId="0" applyFont="1" applyFill="1" applyBorder="1" applyAlignment="1">
      <alignment horizontal="center" vertical="center"/>
    </xf>
    <xf numFmtId="0" fontId="182" fillId="8" borderId="1" xfId="0" applyFont="1" applyFill="1" applyBorder="1" applyAlignment="1">
      <alignment horizontal="center" vertical="center"/>
    </xf>
    <xf numFmtId="6" fontId="105" fillId="0" borderId="1" xfId="19" applyFont="1" applyBorder="1" applyAlignment="1">
      <alignment horizontal="center" vertical="center"/>
    </xf>
    <xf numFmtId="0" fontId="105" fillId="9" borderId="1" xfId="0" applyFont="1" applyFill="1" applyBorder="1" applyAlignment="1">
      <alignment horizontal="center" vertical="center"/>
    </xf>
    <xf numFmtId="0" fontId="87" fillId="0" borderId="1" xfId="0" applyFont="1" applyBorder="1">
      <alignment vertical="center"/>
    </xf>
    <xf numFmtId="6" fontId="87" fillId="0" borderId="1" xfId="19" applyFont="1" applyFill="1" applyBorder="1" applyAlignment="1">
      <alignment horizontal="right" vertical="center" wrapText="1"/>
    </xf>
    <xf numFmtId="0" fontId="183" fillId="0" borderId="1" xfId="0" applyFont="1" applyBorder="1" applyAlignment="1">
      <alignment horizontal="center" vertical="center"/>
    </xf>
    <xf numFmtId="6" fontId="183" fillId="0" borderId="1" xfId="0" applyNumberFormat="1" applyFont="1" applyBorder="1" applyAlignment="1">
      <alignment horizontal="center" vertical="center"/>
    </xf>
    <xf numFmtId="237" fontId="183" fillId="0" borderId="1" xfId="0" applyNumberFormat="1" applyFont="1" applyBorder="1" applyAlignment="1">
      <alignment horizontal="center" vertical="center"/>
    </xf>
    <xf numFmtId="0" fontId="184" fillId="0" borderId="1" xfId="0" applyFont="1" applyBorder="1" applyAlignment="1">
      <alignment horizontal="center" vertical="center"/>
    </xf>
    <xf numFmtId="6" fontId="184" fillId="0" borderId="1" xfId="0" applyNumberFormat="1" applyFont="1" applyBorder="1" applyAlignment="1">
      <alignment horizontal="center" vertical="center"/>
    </xf>
    <xf numFmtId="206" fontId="184" fillId="0" borderId="0" xfId="0" applyNumberFormat="1" applyFont="1" applyAlignment="1">
      <alignment horizontal="center" vertical="center"/>
    </xf>
    <xf numFmtId="0" fontId="184" fillId="0" borderId="0" xfId="0" applyFont="1" applyAlignment="1">
      <alignment horizontal="center" vertical="center"/>
    </xf>
    <xf numFmtId="217" fontId="183" fillId="0" borderId="1" xfId="0" applyNumberFormat="1" applyFont="1" applyBorder="1" applyAlignment="1">
      <alignment horizontal="center" vertical="center"/>
    </xf>
    <xf numFmtId="38" fontId="183" fillId="0" borderId="1" xfId="0" applyNumberFormat="1" applyFont="1" applyBorder="1" applyAlignment="1">
      <alignment horizontal="center" vertical="center"/>
    </xf>
    <xf numFmtId="17" fontId="183" fillId="0" borderId="1" xfId="0" applyNumberFormat="1" applyFont="1" applyBorder="1" applyAlignment="1">
      <alignment horizontal="center" vertical="center"/>
    </xf>
    <xf numFmtId="199" fontId="183" fillId="0" borderId="1" xfId="0" applyNumberFormat="1" applyFont="1" applyBorder="1" applyAlignment="1">
      <alignment horizontal="center" vertical="center"/>
    </xf>
    <xf numFmtId="0" fontId="51" fillId="8" borderId="1" xfId="0" applyFont="1" applyFill="1" applyBorder="1" applyAlignment="1">
      <alignment horizontal="center" vertical="center" wrapText="1"/>
    </xf>
    <xf numFmtId="0" fontId="182" fillId="8" borderId="1" xfId="0" applyFont="1" applyFill="1" applyBorder="1" applyAlignment="1">
      <alignment horizontal="center" vertical="center" wrapText="1"/>
    </xf>
    <xf numFmtId="237" fontId="50" fillId="0" borderId="1" xfId="0" applyNumberFormat="1" applyFont="1" applyBorder="1">
      <alignment vertical="center"/>
    </xf>
    <xf numFmtId="237" fontId="30" fillId="0" borderId="1" xfId="4" applyNumberFormat="1" applyFont="1" applyFill="1" applyBorder="1">
      <alignment vertical="center"/>
    </xf>
    <xf numFmtId="236" fontId="40" fillId="0" borderId="1" xfId="0" applyNumberFormat="1" applyFont="1" applyBorder="1" applyAlignment="1">
      <alignment horizontal="right" vertical="center"/>
    </xf>
    <xf numFmtId="6" fontId="100" fillId="0" borderId="1" xfId="17" applyFont="1" applyFill="1" applyBorder="1" applyAlignment="1">
      <alignment horizontal="center" vertical="center"/>
    </xf>
    <xf numFmtId="238" fontId="6" fillId="0" borderId="1" xfId="0" applyNumberFormat="1" applyFont="1" applyBorder="1">
      <alignment vertical="center"/>
    </xf>
    <xf numFmtId="217" fontId="35" fillId="0" borderId="1" xfId="0" applyNumberFormat="1" applyFont="1" applyBorder="1" applyAlignment="1">
      <alignment horizontal="center" vertical="center"/>
    </xf>
    <xf numFmtId="236" fontId="109" fillId="0" borderId="1" xfId="0" applyNumberFormat="1" applyFont="1" applyBorder="1" applyAlignment="1">
      <alignment horizontal="right" vertical="center"/>
    </xf>
    <xf numFmtId="236" fontId="35" fillId="0" borderId="1" xfId="0" applyNumberFormat="1" applyFont="1" applyBorder="1" applyAlignment="1">
      <alignment horizontal="right" vertical="center"/>
    </xf>
    <xf numFmtId="0" fontId="38" fillId="8" borderId="1" xfId="0" applyFont="1" applyFill="1" applyBorder="1" applyAlignment="1">
      <alignment horizontal="center" vertical="center"/>
    </xf>
    <xf numFmtId="196" fontId="6" fillId="0" borderId="1" xfId="0" applyNumberFormat="1" applyFont="1" applyBorder="1">
      <alignment vertical="center"/>
    </xf>
    <xf numFmtId="238" fontId="6" fillId="0" borderId="1" xfId="0" applyNumberFormat="1" applyFont="1" applyBorder="1" applyAlignment="1">
      <alignment horizontal="center" vertical="center"/>
    </xf>
    <xf numFmtId="212" fontId="6" fillId="0" borderId="1" xfId="0" applyNumberFormat="1" applyFont="1" applyBorder="1" applyAlignment="1">
      <alignment horizontal="center"/>
    </xf>
    <xf numFmtId="2" fontId="7" fillId="0" borderId="0" xfId="0" applyNumberFormat="1" applyFont="1" applyAlignment="1"/>
    <xf numFmtId="242" fontId="35" fillId="0" borderId="1" xfId="0" applyNumberFormat="1" applyFont="1" applyBorder="1" applyAlignment="1">
      <alignment horizontal="center" vertical="center"/>
    </xf>
    <xf numFmtId="217" fontId="109" fillId="0" borderId="1" xfId="10" applyNumberFormat="1" applyFont="1" applyBorder="1" applyAlignment="1">
      <alignment horizontal="center" vertical="center"/>
    </xf>
    <xf numFmtId="0" fontId="109" fillId="0" borderId="1" xfId="0" applyFont="1" applyBorder="1" applyAlignment="1">
      <alignment horizontal="center" vertical="center"/>
    </xf>
    <xf numFmtId="247" fontId="109" fillId="0" borderId="1" xfId="10" quotePrefix="1" applyNumberFormat="1" applyFont="1" applyBorder="1" applyAlignment="1">
      <alignment horizontal="center" vertical="center"/>
    </xf>
    <xf numFmtId="248" fontId="109" fillId="0" borderId="1" xfId="10" quotePrefix="1" applyNumberFormat="1" applyFont="1" applyBorder="1">
      <alignment vertical="center"/>
    </xf>
    <xf numFmtId="6" fontId="109" fillId="0" borderId="1" xfId="18" applyFont="1" applyBorder="1" applyAlignment="1">
      <alignment horizontal="center" vertical="center"/>
    </xf>
    <xf numFmtId="6" fontId="87" fillId="0" borderId="46" xfId="18" applyFont="1" applyBorder="1">
      <alignment vertical="center"/>
    </xf>
    <xf numFmtId="5" fontId="87" fillId="0" borderId="46" xfId="10" applyNumberFormat="1" applyFont="1" applyBorder="1" applyAlignment="1">
      <alignment horizontal="right" vertical="center"/>
    </xf>
    <xf numFmtId="6" fontId="87" fillId="9" borderId="81" xfId="0" applyNumberFormat="1" applyFont="1" applyFill="1" applyBorder="1" applyAlignment="1">
      <alignment horizontal="right" vertical="center"/>
    </xf>
    <xf numFmtId="206" fontId="87" fillId="12" borderId="81" xfId="0" applyNumberFormat="1" applyFont="1" applyFill="1" applyBorder="1" applyAlignment="1">
      <alignment horizontal="right" vertical="center"/>
    </xf>
    <xf numFmtId="0" fontId="87" fillId="0" borderId="46" xfId="10" applyFont="1" applyBorder="1" applyAlignment="1">
      <alignment horizontal="center" vertical="center"/>
    </xf>
    <xf numFmtId="0" fontId="87" fillId="0" borderId="0" xfId="10" applyFont="1">
      <alignment vertical="center"/>
    </xf>
    <xf numFmtId="238" fontId="35" fillId="0" borderId="1" xfId="0" applyNumberFormat="1" applyFont="1" applyBorder="1" applyAlignment="1">
      <alignment horizontal="center" vertical="center"/>
    </xf>
    <xf numFmtId="0" fontId="87" fillId="0" borderId="0" xfId="10" applyFont="1" applyAlignment="1">
      <alignment horizontal="center" vertical="center"/>
    </xf>
    <xf numFmtId="247" fontId="109" fillId="0" borderId="1" xfId="10" applyNumberFormat="1" applyFont="1" applyBorder="1" applyAlignment="1">
      <alignment horizontal="center" vertical="center"/>
    </xf>
    <xf numFmtId="217" fontId="105" fillId="0" borderId="1" xfId="10" applyNumberFormat="1" applyFont="1" applyBorder="1" applyAlignment="1">
      <alignment horizontal="center" vertical="center"/>
    </xf>
    <xf numFmtId="0" fontId="94" fillId="0" borderId="11" xfId="0" applyFont="1" applyBorder="1" applyAlignment="1">
      <alignment horizontal="center" vertical="center"/>
    </xf>
    <xf numFmtId="0" fontId="94" fillId="0" borderId="0" xfId="0" applyFont="1" applyAlignment="1">
      <alignment horizontal="center" vertical="center"/>
    </xf>
    <xf numFmtId="176" fontId="6" fillId="0" borderId="0" xfId="0" applyNumberFormat="1" applyFont="1" applyAlignment="1">
      <alignment horizontal="center" vertical="center"/>
    </xf>
    <xf numFmtId="185" fontId="6" fillId="0" borderId="0" xfId="0" applyNumberFormat="1" applyFont="1" applyAlignment="1">
      <alignment horizontal="right" vertical="center"/>
    </xf>
    <xf numFmtId="194" fontId="6" fillId="0" borderId="0" xfId="0" applyNumberFormat="1" applyFont="1">
      <alignment vertical="center"/>
    </xf>
    <xf numFmtId="238" fontId="6" fillId="0" borderId="0" xfId="0" applyNumberFormat="1" applyFont="1">
      <alignment vertical="center"/>
    </xf>
    <xf numFmtId="0" fontId="51" fillId="0" borderId="3" xfId="0" applyFont="1" applyBorder="1" applyAlignment="1">
      <alignment horizontal="center" vertical="center"/>
    </xf>
    <xf numFmtId="0" fontId="109" fillId="0" borderId="1" xfId="0" applyFont="1" applyBorder="1" applyAlignment="1">
      <alignment vertical="center" shrinkToFit="1"/>
    </xf>
    <xf numFmtId="237" fontId="35" fillId="0" borderId="1" xfId="0" applyNumberFormat="1" applyFont="1" applyBorder="1">
      <alignment vertical="center"/>
    </xf>
    <xf numFmtId="0" fontId="109" fillId="0" borderId="1" xfId="0" applyFont="1" applyBorder="1" applyAlignment="1">
      <alignment horizontal="right" vertical="center" shrinkToFit="1"/>
    </xf>
    <xf numFmtId="49" fontId="36" fillId="8" borderId="1" xfId="0" applyNumberFormat="1" applyFont="1" applyFill="1" applyBorder="1" applyAlignment="1">
      <alignment horizontal="center" vertical="center"/>
    </xf>
    <xf numFmtId="188" fontId="36" fillId="8" borderId="1" xfId="0" applyNumberFormat="1" applyFont="1" applyFill="1" applyBorder="1" applyAlignment="1">
      <alignment horizontal="center" vertical="center"/>
    </xf>
    <xf numFmtId="210" fontId="36" fillId="8" borderId="1" xfId="0" applyNumberFormat="1" applyFont="1" applyFill="1" applyBorder="1" applyAlignment="1">
      <alignment horizontal="center" vertical="center"/>
    </xf>
    <xf numFmtId="0" fontId="36" fillId="8" borderId="1" xfId="0" applyFont="1" applyFill="1" applyBorder="1" applyAlignment="1">
      <alignment horizontal="center" vertical="center"/>
    </xf>
    <xf numFmtId="214" fontId="36" fillId="8" borderId="1" xfId="0" applyNumberFormat="1" applyFont="1" applyFill="1" applyBorder="1" applyAlignment="1">
      <alignment horizontal="center" vertical="center" wrapText="1"/>
    </xf>
    <xf numFmtId="49" fontId="15" fillId="0" borderId="1" xfId="0" applyNumberFormat="1" applyFont="1" applyBorder="1" applyAlignment="1">
      <alignment horizontal="center"/>
    </xf>
    <xf numFmtId="188" fontId="15" fillId="0" borderId="1" xfId="0" applyNumberFormat="1" applyFont="1" applyBorder="1" applyAlignment="1">
      <alignment horizontal="center"/>
    </xf>
    <xf numFmtId="203" fontId="15" fillId="0" borderId="1" xfId="0" applyNumberFormat="1" applyFont="1" applyBorder="1" applyAlignment="1">
      <alignment horizontal="center"/>
    </xf>
    <xf numFmtId="0" fontId="15" fillId="0" borderId="1" xfId="0" applyFont="1" applyBorder="1" applyAlignment="1">
      <alignment horizontal="center"/>
    </xf>
    <xf numFmtId="0" fontId="15" fillId="0" borderId="1" xfId="0" applyFont="1" applyBorder="1" applyAlignment="1"/>
    <xf numFmtId="195" fontId="15" fillId="8" borderId="1" xfId="0" applyNumberFormat="1" applyFont="1" applyFill="1" applyBorder="1" applyAlignment="1">
      <alignment horizontal="right" vertical="center"/>
    </xf>
    <xf numFmtId="238" fontId="15" fillId="8" borderId="1" xfId="0" applyNumberFormat="1" applyFont="1" applyFill="1" applyBorder="1" applyAlignment="1">
      <alignment horizontal="right" vertical="center"/>
    </xf>
    <xf numFmtId="218" fontId="15" fillId="0" borderId="1" xfId="0" applyNumberFormat="1" applyFont="1" applyBorder="1" applyAlignment="1"/>
    <xf numFmtId="0" fontId="15" fillId="0" borderId="0" xfId="0" applyFont="1" applyAlignment="1"/>
    <xf numFmtId="225" fontId="15" fillId="0" borderId="1" xfId="0" applyNumberFormat="1" applyFont="1" applyBorder="1" applyAlignment="1"/>
    <xf numFmtId="178" fontId="15" fillId="0" borderId="1" xfId="0" applyNumberFormat="1" applyFont="1" applyBorder="1" applyAlignment="1">
      <alignment horizontal="center"/>
    </xf>
    <xf numFmtId="212" fontId="15" fillId="0" borderId="1" xfId="0" applyNumberFormat="1" applyFont="1" applyBorder="1" applyAlignment="1">
      <alignment horizontal="center"/>
    </xf>
    <xf numFmtId="219" fontId="15" fillId="0" borderId="1" xfId="0" applyNumberFormat="1" applyFont="1" applyBorder="1" applyAlignment="1"/>
    <xf numFmtId="220" fontId="15" fillId="0" borderId="1" xfId="0" applyNumberFormat="1" applyFont="1" applyBorder="1" applyAlignment="1"/>
    <xf numFmtId="249" fontId="15" fillId="0" borderId="1" xfId="0" applyNumberFormat="1" applyFont="1" applyBorder="1" applyAlignment="1"/>
    <xf numFmtId="0" fontId="15" fillId="0" borderId="0" xfId="22" applyFont="1"/>
    <xf numFmtId="250" fontId="15" fillId="0" borderId="1" xfId="0" applyNumberFormat="1" applyFont="1" applyBorder="1" applyAlignment="1">
      <alignment horizontal="center" vertical="center"/>
    </xf>
    <xf numFmtId="208" fontId="15" fillId="8" borderId="1" xfId="0" applyNumberFormat="1" applyFont="1" applyFill="1" applyBorder="1" applyAlignment="1">
      <alignment horizontal="right" vertical="center"/>
    </xf>
    <xf numFmtId="251" fontId="15" fillId="0" borderId="1" xfId="0" applyNumberFormat="1" applyFont="1" applyBorder="1" applyAlignment="1">
      <alignment horizontal="right" vertical="center"/>
    </xf>
    <xf numFmtId="208" fontId="15" fillId="0" borderId="1" xfId="0" applyNumberFormat="1" applyFont="1" applyBorder="1" applyAlignment="1">
      <alignment horizontal="center" vertical="center"/>
    </xf>
    <xf numFmtId="202" fontId="15" fillId="0" borderId="1" xfId="0" applyNumberFormat="1" applyFont="1" applyBorder="1" applyAlignment="1"/>
    <xf numFmtId="252" fontId="15" fillId="0" borderId="1" xfId="0" applyNumberFormat="1" applyFont="1" applyBorder="1" applyAlignment="1"/>
    <xf numFmtId="49" fontId="95" fillId="0" borderId="1" xfId="0" applyNumberFormat="1" applyFont="1" applyBorder="1" applyAlignment="1">
      <alignment horizontal="center"/>
    </xf>
    <xf numFmtId="212" fontId="95" fillId="0" borderId="1" xfId="0" applyNumberFormat="1" applyFont="1" applyBorder="1" applyAlignment="1">
      <alignment horizontal="center"/>
    </xf>
    <xf numFmtId="203" fontId="95" fillId="0" borderId="1" xfId="0" applyNumberFormat="1" applyFont="1" applyBorder="1" applyAlignment="1">
      <alignment horizontal="center"/>
    </xf>
    <xf numFmtId="0" fontId="95" fillId="0" borderId="1" xfId="0" applyFont="1" applyBorder="1" applyAlignment="1">
      <alignment horizontal="left"/>
    </xf>
    <xf numFmtId="0" fontId="15" fillId="0" borderId="1" xfId="16" applyNumberFormat="1" applyFont="1" applyBorder="1" applyAlignment="1">
      <alignment horizontal="left"/>
    </xf>
    <xf numFmtId="253" fontId="110" fillId="0" borderId="1" xfId="0" applyNumberFormat="1" applyFont="1" applyBorder="1" applyAlignment="1">
      <alignment horizontal="right" vertical="center"/>
    </xf>
    <xf numFmtId="254" fontId="110" fillId="0" borderId="0" xfId="0" applyNumberFormat="1" applyFont="1">
      <alignment vertical="center"/>
    </xf>
    <xf numFmtId="190" fontId="95" fillId="0" borderId="1" xfId="0" applyNumberFormat="1" applyFont="1" applyBorder="1" applyAlignment="1">
      <alignment horizontal="center"/>
    </xf>
    <xf numFmtId="0" fontId="6" fillId="4" borderId="1" xfId="0" applyFont="1" applyFill="1" applyBorder="1" applyAlignment="1">
      <alignment horizontal="center" vertical="center"/>
    </xf>
    <xf numFmtId="176" fontId="6" fillId="4" borderId="1" xfId="0" applyNumberFormat="1" applyFont="1" applyFill="1" applyBorder="1" applyAlignment="1">
      <alignment horizontal="center" vertical="center"/>
    </xf>
    <xf numFmtId="185" fontId="6" fillId="4" borderId="1" xfId="0" applyNumberFormat="1" applyFont="1" applyFill="1" applyBorder="1" applyAlignment="1">
      <alignment horizontal="right" vertical="center"/>
    </xf>
    <xf numFmtId="194" fontId="6" fillId="4" borderId="1" xfId="0" applyNumberFormat="1" applyFont="1" applyFill="1" applyBorder="1">
      <alignment vertical="center"/>
    </xf>
    <xf numFmtId="238" fontId="6" fillId="4" borderId="1" xfId="0" applyNumberFormat="1" applyFont="1" applyFill="1" applyBorder="1">
      <alignment vertical="center"/>
    </xf>
    <xf numFmtId="193" fontId="6" fillId="0" borderId="10" xfId="0" applyNumberFormat="1" applyFont="1" applyBorder="1">
      <alignment vertical="center"/>
    </xf>
    <xf numFmtId="6" fontId="107" fillId="0" borderId="1" xfId="17" applyFont="1" applyFill="1" applyBorder="1" applyAlignment="1">
      <alignment horizontal="center" vertical="center" wrapText="1"/>
    </xf>
    <xf numFmtId="0" fontId="35" fillId="0" borderId="1" xfId="0" applyFont="1" applyBorder="1" applyAlignment="1"/>
    <xf numFmtId="238" fontId="35" fillId="8" borderId="1" xfId="0" applyNumberFormat="1" applyFont="1" applyFill="1" applyBorder="1" applyAlignment="1">
      <alignment horizontal="right" vertical="center"/>
    </xf>
    <xf numFmtId="221" fontId="114" fillId="0" borderId="0" xfId="0" applyNumberFormat="1" applyFont="1">
      <alignment vertical="center"/>
    </xf>
    <xf numFmtId="0" fontId="185" fillId="0" borderId="0" xfId="0" applyFont="1" applyAlignment="1">
      <alignment horizontal="justify" vertical="center"/>
    </xf>
    <xf numFmtId="208" fontId="186" fillId="0" borderId="1" xfId="0" applyNumberFormat="1" applyFont="1" applyBorder="1" applyAlignment="1">
      <alignment horizontal="right" vertical="center" wrapText="1"/>
    </xf>
    <xf numFmtId="0" fontId="106" fillId="0" borderId="1" xfId="0" applyFont="1" applyBorder="1" applyAlignment="1">
      <alignment horizontal="left" vertical="center"/>
    </xf>
    <xf numFmtId="188" fontId="6" fillId="0" borderId="1" xfId="0" applyNumberFormat="1" applyFont="1" applyBorder="1">
      <alignment vertical="center"/>
    </xf>
    <xf numFmtId="0" fontId="106" fillId="0" borderId="0" xfId="0" applyFont="1" applyAlignment="1"/>
    <xf numFmtId="0" fontId="35" fillId="0" borderId="1" xfId="0" applyFont="1" applyBorder="1" applyAlignment="1">
      <alignment horizontal="justify" vertical="center"/>
    </xf>
    <xf numFmtId="0" fontId="44" fillId="0" borderId="1" xfId="0" applyFont="1" applyBorder="1" applyAlignment="1">
      <alignment horizontal="justify" vertical="center"/>
    </xf>
    <xf numFmtId="208" fontId="102" fillId="0" borderId="1" xfId="0" applyNumberFormat="1" applyFont="1" applyBorder="1" applyAlignment="1">
      <alignment horizontal="center" vertical="center"/>
    </xf>
    <xf numFmtId="255" fontId="102" fillId="0" borderId="1" xfId="0" applyNumberFormat="1" applyFont="1" applyBorder="1" applyAlignment="1">
      <alignment horizontal="center" vertical="center"/>
    </xf>
    <xf numFmtId="0" fontId="35" fillId="0" borderId="22" xfId="0" applyFont="1" applyBorder="1" applyAlignment="1">
      <alignment horizontal="justify" vertical="center"/>
    </xf>
    <xf numFmtId="0" fontId="44" fillId="0" borderId="22" xfId="0" applyFont="1" applyBorder="1" applyAlignment="1">
      <alignment horizontal="justify" vertical="center"/>
    </xf>
    <xf numFmtId="0" fontId="44" fillId="0" borderId="0" xfId="0" applyFont="1" applyAlignment="1">
      <alignment horizontal="justify" vertical="center"/>
    </xf>
    <xf numFmtId="185" fontId="35" fillId="0" borderId="1" xfId="0" applyNumberFormat="1" applyFont="1" applyBorder="1" applyAlignment="1">
      <alignment horizontal="right" vertical="center"/>
    </xf>
    <xf numFmtId="208" fontId="102" fillId="0" borderId="1" xfId="0" applyNumberFormat="1" applyFont="1" applyBorder="1" applyAlignment="1">
      <alignment horizontal="right" vertical="center" wrapText="1"/>
    </xf>
    <xf numFmtId="0" fontId="187" fillId="0" borderId="1" xfId="0" applyFont="1" applyBorder="1" applyAlignment="1">
      <alignment horizontal="center" vertical="center" wrapText="1"/>
    </xf>
    <xf numFmtId="237" fontId="6" fillId="0" borderId="1" xfId="0" applyNumberFormat="1" applyFont="1" applyBorder="1">
      <alignment vertical="center"/>
    </xf>
    <xf numFmtId="0" fontId="51" fillId="0" borderId="4" xfId="0" applyFont="1" applyBorder="1" applyAlignment="1">
      <alignment horizontal="center" vertical="center"/>
    </xf>
    <xf numFmtId="188" fontId="6" fillId="0" borderId="4" xfId="0" applyNumberFormat="1" applyFont="1" applyBorder="1">
      <alignment vertical="center"/>
    </xf>
    <xf numFmtId="193" fontId="6" fillId="0" borderId="4" xfId="0" applyNumberFormat="1" applyFont="1" applyBorder="1">
      <alignment vertical="center"/>
    </xf>
    <xf numFmtId="194" fontId="6" fillId="0" borderId="4" xfId="0" applyNumberFormat="1" applyFont="1" applyBorder="1">
      <alignment vertical="center"/>
    </xf>
    <xf numFmtId="178" fontId="6" fillId="0" borderId="4" xfId="0" applyNumberFormat="1" applyFont="1" applyBorder="1" applyAlignment="1">
      <alignment horizontal="right" vertical="center"/>
    </xf>
    <xf numFmtId="236" fontId="35" fillId="0" borderId="10" xfId="0" applyNumberFormat="1" applyFont="1" applyBorder="1" applyAlignment="1">
      <alignment horizontal="right" vertical="center"/>
    </xf>
    <xf numFmtId="188" fontId="6" fillId="0" borderId="1" xfId="0" applyNumberFormat="1" applyFont="1" applyBorder="1" applyAlignment="1">
      <alignment horizontal="center" vertical="center"/>
    </xf>
    <xf numFmtId="0" fontId="118" fillId="0" borderId="4" xfId="0" applyFont="1" applyBorder="1" applyAlignment="1">
      <alignment horizontal="center" vertical="center"/>
    </xf>
    <xf numFmtId="0" fontId="93" fillId="0" borderId="4" xfId="0" applyFont="1" applyBorder="1" applyAlignment="1">
      <alignment horizontal="center" vertical="center"/>
    </xf>
    <xf numFmtId="222" fontId="6" fillId="0" borderId="5" xfId="0" applyNumberFormat="1" applyFont="1" applyBorder="1" applyAlignment="1">
      <alignment horizontal="center" vertical="center"/>
    </xf>
    <xf numFmtId="0" fontId="6" fillId="0" borderId="5" xfId="0" applyFont="1" applyBorder="1" applyAlignment="1">
      <alignment horizontal="center" vertical="center"/>
    </xf>
    <xf numFmtId="0" fontId="93" fillId="0" borderId="6" xfId="0" applyFont="1" applyBorder="1" applyAlignment="1">
      <alignment horizontal="center" vertical="center"/>
    </xf>
    <xf numFmtId="222" fontId="6" fillId="0" borderId="7" xfId="0" applyNumberFormat="1" applyFont="1" applyBorder="1" applyAlignment="1">
      <alignment horizontal="center" vertical="center"/>
    </xf>
    <xf numFmtId="0" fontId="93" fillId="0" borderId="7" xfId="0" applyFont="1" applyBorder="1" applyAlignment="1">
      <alignment horizontal="center" vertical="center"/>
    </xf>
    <xf numFmtId="0" fontId="141" fillId="0" borderId="1" xfId="0" applyFont="1" applyBorder="1" applyAlignment="1" applyProtection="1">
      <alignment horizontal="left" vertical="center" wrapText="1"/>
      <protection locked="0"/>
    </xf>
    <xf numFmtId="0" fontId="141" fillId="0" borderId="1" xfId="0" applyFont="1" applyBorder="1" applyProtection="1">
      <alignment vertical="center"/>
      <protection locked="0"/>
    </xf>
    <xf numFmtId="0" fontId="141" fillId="0" borderId="10" xfId="0" applyFont="1" applyBorder="1" applyProtection="1">
      <alignment vertical="center"/>
      <protection locked="0"/>
    </xf>
    <xf numFmtId="0" fontId="141" fillId="0" borderId="11" xfId="0" applyFont="1" applyBorder="1" applyProtection="1">
      <alignment vertical="center"/>
      <protection locked="0"/>
    </xf>
    <xf numFmtId="0" fontId="141" fillId="0" borderId="68" xfId="0" applyFont="1" applyBorder="1" applyProtection="1">
      <alignment vertical="center"/>
      <protection locked="0"/>
    </xf>
    <xf numFmtId="0" fontId="141" fillId="2" borderId="9" xfId="0" applyFont="1" applyFill="1" applyBorder="1" applyAlignment="1" applyProtection="1">
      <alignment horizontal="center" vertical="center"/>
      <protection locked="0"/>
    </xf>
    <xf numFmtId="0" fontId="141" fillId="0" borderId="9" xfId="0" applyFont="1" applyBorder="1" applyProtection="1">
      <alignment vertical="center"/>
      <protection locked="0"/>
    </xf>
    <xf numFmtId="188" fontId="141" fillId="0" borderId="114" xfId="0" applyNumberFormat="1" applyFont="1" applyBorder="1" applyAlignment="1">
      <alignment horizontal="center" vertical="center"/>
    </xf>
    <xf numFmtId="38" fontId="5" fillId="0" borderId="0" xfId="23" applyFont="1">
      <alignment vertical="center"/>
    </xf>
    <xf numFmtId="38" fontId="6" fillId="0" borderId="0" xfId="23" applyFont="1">
      <alignment vertical="center"/>
    </xf>
    <xf numFmtId="38" fontId="7" fillId="0" borderId="0" xfId="23" applyFont="1">
      <alignment vertical="center"/>
    </xf>
    <xf numFmtId="38" fontId="92" fillId="11" borderId="0" xfId="23" applyFont="1" applyFill="1" applyAlignment="1">
      <alignment horizontal="center" vertical="center"/>
    </xf>
    <xf numFmtId="38" fontId="5" fillId="2" borderId="0" xfId="23" applyFont="1" applyFill="1">
      <alignment vertical="center"/>
    </xf>
    <xf numFmtId="38" fontId="0" fillId="0" borderId="0" xfId="23" applyFont="1">
      <alignment vertical="center"/>
    </xf>
    <xf numFmtId="38" fontId="5" fillId="0" borderId="0" xfId="23" applyFont="1" applyAlignment="1">
      <alignment horizontal="center" vertical="center"/>
    </xf>
    <xf numFmtId="38" fontId="73" fillId="0" borderId="0" xfId="23" applyFont="1">
      <alignment vertical="center"/>
    </xf>
    <xf numFmtId="38" fontId="7" fillId="0" borderId="0" xfId="23" applyFont="1" applyAlignment="1">
      <alignment horizontal="left" vertical="center"/>
    </xf>
    <xf numFmtId="38" fontId="10" fillId="0" borderId="0" xfId="23" applyFont="1">
      <alignment vertical="center"/>
    </xf>
    <xf numFmtId="38" fontId="66" fillId="0" borderId="0" xfId="23" applyFont="1">
      <alignment vertical="center"/>
    </xf>
    <xf numFmtId="38" fontId="7" fillId="14" borderId="0" xfId="23" applyFont="1" applyFill="1">
      <alignment vertical="center"/>
    </xf>
    <xf numFmtId="38" fontId="7" fillId="0" borderId="0" xfId="23" applyFont="1" applyAlignment="1">
      <alignment horizontal="center" vertical="center"/>
    </xf>
    <xf numFmtId="38" fontId="10" fillId="4" borderId="0" xfId="23" applyFont="1" applyFill="1">
      <alignment vertical="center"/>
    </xf>
    <xf numFmtId="38" fontId="7" fillId="4" borderId="0" xfId="23" applyFont="1" applyFill="1">
      <alignment vertical="center"/>
    </xf>
    <xf numFmtId="38" fontId="7" fillId="14" borderId="0" xfId="23" applyFont="1" applyFill="1" applyAlignment="1">
      <alignment horizontal="left" vertical="center"/>
    </xf>
    <xf numFmtId="38" fontId="5" fillId="14" borderId="0" xfId="23" applyFont="1" applyFill="1">
      <alignment vertical="center"/>
    </xf>
    <xf numFmtId="38" fontId="7" fillId="4" borderId="0" xfId="23" applyFont="1" applyFill="1" applyAlignment="1">
      <alignment horizontal="left" vertical="center"/>
    </xf>
    <xf numFmtId="38" fontId="5" fillId="7" borderId="0" xfId="23" applyFont="1" applyFill="1">
      <alignment vertical="center"/>
    </xf>
    <xf numFmtId="38" fontId="7" fillId="0" borderId="0" xfId="23" applyFont="1" applyBorder="1">
      <alignment vertical="center"/>
    </xf>
    <xf numFmtId="0" fontId="126" fillId="12" borderId="101" xfId="0" applyFont="1" applyFill="1" applyBorder="1" applyAlignment="1" applyProtection="1">
      <alignment horizontal="center" vertical="center"/>
      <protection locked="0"/>
    </xf>
    <xf numFmtId="230" fontId="61" fillId="12" borderId="101" xfId="0" applyNumberFormat="1" applyFont="1" applyFill="1" applyBorder="1" applyProtection="1">
      <alignment vertical="center"/>
      <protection locked="0"/>
    </xf>
    <xf numFmtId="256" fontId="61" fillId="0" borderId="121" xfId="0" applyNumberFormat="1" applyFont="1" applyBorder="1" applyAlignment="1" applyProtection="1">
      <alignment horizontal="center" vertical="center"/>
      <protection locked="0"/>
    </xf>
    <xf numFmtId="0" fontId="61" fillId="12" borderId="99" xfId="0" applyFont="1" applyFill="1" applyBorder="1" applyProtection="1">
      <alignment vertical="center"/>
      <protection locked="0"/>
    </xf>
    <xf numFmtId="0" fontId="150" fillId="0" borderId="0" xfId="0" applyFont="1" applyAlignment="1" applyProtection="1">
      <alignment horizontal="center" vertical="center"/>
      <protection locked="0"/>
    </xf>
    <xf numFmtId="230" fontId="61" fillId="0" borderId="101" xfId="0" applyNumberFormat="1" applyFont="1" applyBorder="1" applyProtection="1">
      <alignment vertical="center"/>
      <protection locked="0"/>
    </xf>
    <xf numFmtId="0" fontId="141" fillId="2" borderId="68" xfId="0" applyFont="1" applyFill="1" applyBorder="1" applyAlignment="1" applyProtection="1">
      <alignment horizontal="center" vertical="center"/>
      <protection locked="0"/>
    </xf>
    <xf numFmtId="0" fontId="141" fillId="0" borderId="143" xfId="0" applyFont="1" applyBorder="1" applyAlignment="1" applyProtection="1">
      <alignment horizontal="left" vertical="center" wrapText="1"/>
      <protection locked="0"/>
    </xf>
    <xf numFmtId="257" fontId="141" fillId="0" borderId="143" xfId="0" applyNumberFormat="1" applyFont="1" applyBorder="1" applyAlignment="1" applyProtection="1">
      <alignment horizontal="left" vertical="center"/>
      <protection locked="0"/>
    </xf>
    <xf numFmtId="258" fontId="141" fillId="0" borderId="20" xfId="0" applyNumberFormat="1" applyFont="1" applyBorder="1" applyAlignment="1" applyProtection="1">
      <alignment horizontal="left" vertical="center"/>
      <protection locked="0"/>
    </xf>
    <xf numFmtId="0" fontId="141" fillId="2" borderId="10" xfId="0" applyFont="1" applyFill="1" applyBorder="1" applyAlignment="1" applyProtection="1">
      <alignment horizontal="center" vertical="center"/>
      <protection locked="0"/>
    </xf>
    <xf numFmtId="0" fontId="141" fillId="2" borderId="145" xfId="0" applyFont="1" applyFill="1" applyBorder="1" applyAlignment="1" applyProtection="1">
      <alignment horizontal="center" vertical="center"/>
      <protection locked="0"/>
    </xf>
    <xf numFmtId="0" fontId="141" fillId="19" borderId="1" xfId="0" applyFont="1" applyFill="1" applyBorder="1" applyAlignment="1" applyProtection="1">
      <alignment horizontal="center" vertical="center"/>
      <protection locked="0"/>
    </xf>
    <xf numFmtId="0" fontId="141" fillId="19" borderId="143" xfId="0" applyFont="1" applyFill="1" applyBorder="1" applyProtection="1">
      <alignment vertical="center"/>
      <protection locked="0"/>
    </xf>
    <xf numFmtId="0" fontId="141" fillId="19" borderId="148" xfId="0" applyFont="1" applyFill="1" applyBorder="1" applyProtection="1">
      <alignment vertical="center"/>
      <protection locked="0"/>
    </xf>
    <xf numFmtId="0" fontId="141" fillId="19" borderId="85" xfId="0" applyFont="1" applyFill="1" applyBorder="1" applyAlignment="1">
      <alignment horizontal="center" vertical="center"/>
    </xf>
    <xf numFmtId="0" fontId="141" fillId="19" borderId="86" xfId="0" applyFont="1" applyFill="1" applyBorder="1" applyAlignment="1">
      <alignment horizontal="left" vertical="center"/>
    </xf>
    <xf numFmtId="0" fontId="141" fillId="19" borderId="142" xfId="0" applyFont="1" applyFill="1" applyBorder="1" applyAlignment="1">
      <alignment horizontal="center" vertical="center"/>
    </xf>
    <xf numFmtId="0" fontId="141" fillId="19" borderId="9" xfId="0" applyFont="1" applyFill="1" applyBorder="1" applyAlignment="1">
      <alignment horizontal="left" vertical="center"/>
    </xf>
    <xf numFmtId="179" fontId="141" fillId="0" borderId="0" xfId="0" applyNumberFormat="1" applyFont="1" applyProtection="1">
      <alignment vertical="center"/>
      <protection locked="0"/>
    </xf>
    <xf numFmtId="0" fontId="141" fillId="12" borderId="0" xfId="0" applyFont="1" applyFill="1" applyAlignment="1" applyProtection="1">
      <alignment horizontal="center" vertical="center"/>
      <protection locked="0"/>
    </xf>
    <xf numFmtId="0" fontId="141" fillId="19" borderId="11" xfId="0" applyFont="1" applyFill="1" applyBorder="1" applyAlignment="1" applyProtection="1">
      <alignment horizontal="center" vertical="center"/>
      <protection locked="0"/>
    </xf>
    <xf numFmtId="0" fontId="141" fillId="20" borderId="20" xfId="0" applyFont="1" applyFill="1" applyBorder="1">
      <alignment vertical="center"/>
    </xf>
    <xf numFmtId="0" fontId="141" fillId="20" borderId="149" xfId="0" applyFont="1" applyFill="1" applyBorder="1" applyAlignment="1" applyProtection="1">
      <alignment horizontal="center" vertical="center"/>
      <protection locked="0"/>
    </xf>
    <xf numFmtId="0" fontId="141" fillId="19" borderId="144" xfId="0" applyFont="1" applyFill="1" applyBorder="1" applyAlignment="1" applyProtection="1">
      <alignment horizontal="center" vertical="center"/>
      <protection locked="0"/>
    </xf>
    <xf numFmtId="0" fontId="141" fillId="19" borderId="55" xfId="0" applyFont="1" applyFill="1" applyBorder="1" applyAlignment="1" applyProtection="1">
      <alignment horizontal="left" vertical="center"/>
      <protection locked="0"/>
    </xf>
    <xf numFmtId="0" fontId="141" fillId="19" borderId="16" xfId="0" applyFont="1" applyFill="1" applyBorder="1" applyAlignment="1">
      <alignment horizontal="center" vertical="center"/>
    </xf>
    <xf numFmtId="0" fontId="141" fillId="19" borderId="18" xfId="0" applyFont="1" applyFill="1" applyBorder="1">
      <alignment vertical="center"/>
    </xf>
    <xf numFmtId="0" fontId="129" fillId="0" borderId="150" xfId="0" applyFont="1" applyBorder="1" applyProtection="1">
      <alignment vertical="center"/>
      <protection locked="0"/>
    </xf>
    <xf numFmtId="0" fontId="129" fillId="0" borderId="73" xfId="0" applyFont="1" applyBorder="1" applyProtection="1">
      <alignment vertical="center"/>
      <protection locked="0"/>
    </xf>
    <xf numFmtId="0" fontId="141" fillId="19" borderId="2" xfId="0" applyFont="1" applyFill="1" applyBorder="1" applyAlignment="1">
      <alignment horizontal="center" vertical="center"/>
    </xf>
    <xf numFmtId="0" fontId="141" fillId="19" borderId="147" xfId="0" applyFont="1" applyFill="1" applyBorder="1">
      <alignment vertical="center"/>
    </xf>
    <xf numFmtId="0" fontId="141" fillId="20" borderId="1" xfId="0" applyFont="1" applyFill="1" applyBorder="1" applyAlignment="1">
      <alignment horizontal="center" vertical="center"/>
    </xf>
    <xf numFmtId="0" fontId="141" fillId="20" borderId="143" xfId="0" applyFont="1" applyFill="1" applyBorder="1" applyAlignment="1">
      <alignment horizontal="left" vertical="center" shrinkToFit="1"/>
    </xf>
    <xf numFmtId="0" fontId="141" fillId="20" borderId="143" xfId="0" applyFont="1" applyFill="1" applyBorder="1" applyAlignment="1">
      <alignment vertical="center" shrinkToFit="1"/>
    </xf>
    <xf numFmtId="0" fontId="141" fillId="20" borderId="18" xfId="0" applyFont="1" applyFill="1" applyBorder="1" applyAlignment="1">
      <alignment horizontal="center" vertical="center"/>
    </xf>
    <xf numFmtId="0" fontId="141" fillId="20" borderId="1" xfId="0" applyFont="1" applyFill="1" applyBorder="1" applyAlignment="1">
      <alignment horizontal="left" vertical="center"/>
    </xf>
    <xf numFmtId="0" fontId="141" fillId="20" borderId="1" xfId="0" applyFont="1" applyFill="1" applyBorder="1" applyAlignment="1">
      <alignment horizontal="left" vertical="center" wrapText="1"/>
    </xf>
    <xf numFmtId="0" fontId="141" fillId="20" borderId="2" xfId="0" applyFont="1" applyFill="1" applyBorder="1" applyAlignment="1">
      <alignment horizontal="center" vertical="center"/>
    </xf>
    <xf numFmtId="0" fontId="141" fillId="20" borderId="19" xfId="0" applyFont="1" applyFill="1" applyBorder="1" applyAlignment="1">
      <alignment vertical="center" shrinkToFit="1"/>
    </xf>
    <xf numFmtId="0" fontId="141" fillId="20" borderId="142" xfId="0" applyFont="1" applyFill="1" applyBorder="1" applyAlignment="1">
      <alignment horizontal="center" vertical="center"/>
    </xf>
    <xf numFmtId="0" fontId="141" fillId="20" borderId="143" xfId="0" applyFont="1" applyFill="1" applyBorder="1">
      <alignment vertical="center"/>
    </xf>
    <xf numFmtId="0" fontId="141" fillId="20" borderId="16" xfId="0" applyFont="1" applyFill="1" applyBorder="1" applyAlignment="1">
      <alignment horizontal="center" vertical="center"/>
    </xf>
    <xf numFmtId="0" fontId="141" fillId="20" borderId="18" xfId="0" applyFont="1" applyFill="1" applyBorder="1" applyAlignment="1">
      <alignment horizontal="left" vertical="center" wrapText="1"/>
    </xf>
    <xf numFmtId="0" fontId="141" fillId="20" borderId="152" xfId="0" applyFont="1" applyFill="1" applyBorder="1" applyAlignment="1">
      <alignment horizontal="center" vertical="center"/>
    </xf>
    <xf numFmtId="0" fontId="141" fillId="20" borderId="15" xfId="0" applyFont="1" applyFill="1" applyBorder="1" applyAlignment="1">
      <alignment horizontal="left" vertical="center"/>
    </xf>
    <xf numFmtId="0" fontId="141" fillId="2" borderId="85" xfId="0" applyFont="1" applyFill="1" applyBorder="1" applyAlignment="1">
      <alignment horizontal="center" vertical="center"/>
    </xf>
    <xf numFmtId="0" fontId="141" fillId="2" borderId="142" xfId="0" applyFont="1" applyFill="1" applyBorder="1" applyAlignment="1">
      <alignment horizontal="center" vertical="center"/>
    </xf>
    <xf numFmtId="0" fontId="141" fillId="2" borderId="16" xfId="0" applyFont="1" applyFill="1" applyBorder="1" applyAlignment="1">
      <alignment horizontal="center" vertical="center"/>
    </xf>
    <xf numFmtId="0" fontId="141" fillId="2" borderId="144" xfId="0" applyFont="1" applyFill="1" applyBorder="1" applyAlignment="1">
      <alignment horizontal="center" vertical="center"/>
    </xf>
    <xf numFmtId="0" fontId="141" fillId="2" borderId="153" xfId="0" applyFont="1" applyFill="1" applyBorder="1" applyAlignment="1">
      <alignment horizontal="center" vertical="center"/>
    </xf>
    <xf numFmtId="257" fontId="141" fillId="0" borderId="143" xfId="0" applyNumberFormat="1" applyFont="1" applyBorder="1" applyAlignment="1">
      <alignment horizontal="left" vertical="center"/>
    </xf>
    <xf numFmtId="258" fontId="141" fillId="0" borderId="20" xfId="0" applyNumberFormat="1" applyFont="1" applyBorder="1" applyAlignment="1">
      <alignment horizontal="left" vertical="center"/>
    </xf>
    <xf numFmtId="0" fontId="141" fillId="3" borderId="19" xfId="0" applyFont="1" applyFill="1" applyBorder="1">
      <alignment vertical="center"/>
    </xf>
    <xf numFmtId="0" fontId="141" fillId="3" borderId="143" xfId="0" applyFont="1" applyFill="1" applyBorder="1" applyAlignment="1">
      <alignment horizontal="left" vertical="center"/>
    </xf>
    <xf numFmtId="0" fontId="141" fillId="3" borderId="20" xfId="0" applyFont="1" applyFill="1" applyBorder="1" applyAlignment="1">
      <alignment horizontal="left" vertical="center"/>
    </xf>
    <xf numFmtId="234" fontId="189" fillId="0" borderId="20" xfId="0" applyNumberFormat="1" applyFont="1" applyBorder="1" applyAlignment="1">
      <alignment horizontal="center" vertical="center"/>
    </xf>
    <xf numFmtId="0" fontId="190" fillId="0" borderId="19" xfId="0" applyFont="1" applyBorder="1" applyAlignment="1">
      <alignment horizontal="center" vertical="center"/>
    </xf>
    <xf numFmtId="0" fontId="150" fillId="3" borderId="0" xfId="0" applyFont="1" applyFill="1" applyAlignment="1">
      <alignment horizontal="left" vertical="center"/>
    </xf>
    <xf numFmtId="0" fontId="141" fillId="0" borderId="132" xfId="0" applyFont="1" applyBorder="1" applyAlignment="1">
      <alignment horizontal="right" vertical="center"/>
    </xf>
    <xf numFmtId="0" fontId="141" fillId="0" borderId="129" xfId="0" applyFont="1" applyBorder="1">
      <alignment vertical="center"/>
    </xf>
    <xf numFmtId="0" fontId="141" fillId="0" borderId="102" xfId="0" applyFont="1" applyBorder="1">
      <alignment vertical="center"/>
    </xf>
    <xf numFmtId="0" fontId="141" fillId="0" borderId="135" xfId="0" applyFont="1" applyBorder="1">
      <alignment vertical="center"/>
    </xf>
    <xf numFmtId="0" fontId="142" fillId="0" borderId="0" xfId="0" applyFont="1" applyAlignment="1">
      <alignment horizontal="center" vertical="center"/>
    </xf>
    <xf numFmtId="0" fontId="146" fillId="15" borderId="70" xfId="0" applyFont="1" applyFill="1" applyBorder="1" applyAlignment="1">
      <alignment horizontal="center" vertical="center"/>
    </xf>
    <xf numFmtId="235" fontId="146" fillId="0" borderId="90" xfId="0" applyNumberFormat="1" applyFont="1" applyBorder="1" applyAlignment="1">
      <alignment horizontal="center" vertical="center"/>
    </xf>
    <xf numFmtId="0" fontId="141" fillId="0" borderId="154" xfId="0" applyFont="1" applyBorder="1" applyAlignment="1">
      <alignment horizontal="center" vertical="center"/>
    </xf>
    <xf numFmtId="0" fontId="141" fillId="0" borderId="113" xfId="0" applyFont="1" applyBorder="1" applyAlignment="1">
      <alignment horizontal="center" vertical="center"/>
    </xf>
    <xf numFmtId="235" fontId="141" fillId="0" borderId="113" xfId="0" applyNumberFormat="1" applyFont="1" applyBorder="1" applyAlignment="1">
      <alignment horizontal="center" vertical="center"/>
    </xf>
    <xf numFmtId="0" fontId="141" fillId="0" borderId="113" xfId="0" applyFont="1" applyBorder="1">
      <alignment vertical="center"/>
    </xf>
    <xf numFmtId="0" fontId="141" fillId="0" borderId="155" xfId="0" applyFont="1" applyBorder="1">
      <alignment vertical="center"/>
    </xf>
    <xf numFmtId="0" fontId="141" fillId="2" borderId="85" xfId="0" applyFont="1" applyFill="1" applyBorder="1" applyAlignment="1" applyProtection="1">
      <alignment horizontal="center" vertical="center"/>
      <protection locked="0"/>
    </xf>
    <xf numFmtId="0" fontId="141" fillId="3" borderId="19" xfId="0" applyFont="1" applyFill="1" applyBorder="1" applyAlignment="1" applyProtection="1">
      <alignment horizontal="left" vertical="center"/>
      <protection locked="0"/>
    </xf>
    <xf numFmtId="0" fontId="141" fillId="2" borderId="142" xfId="0" applyFont="1" applyFill="1" applyBorder="1" applyAlignment="1" applyProtection="1">
      <alignment horizontal="center" vertical="center"/>
      <protection locked="0"/>
    </xf>
    <xf numFmtId="0" fontId="141" fillId="3" borderId="143" xfId="0" applyFont="1" applyFill="1" applyBorder="1" applyProtection="1">
      <alignment vertical="center"/>
      <protection locked="0"/>
    </xf>
    <xf numFmtId="0" fontId="141" fillId="3" borderId="143" xfId="0" applyFont="1" applyFill="1" applyBorder="1" applyAlignment="1" applyProtection="1">
      <alignment horizontal="left" vertical="center"/>
      <protection locked="0"/>
    </xf>
    <xf numFmtId="0" fontId="141" fillId="2" borderId="16" xfId="0" applyFont="1" applyFill="1" applyBorder="1" applyAlignment="1" applyProtection="1">
      <alignment horizontal="center" vertical="center"/>
      <protection locked="0"/>
    </xf>
    <xf numFmtId="0" fontId="141" fillId="3" borderId="20" xfId="0" applyFont="1" applyFill="1" applyBorder="1" applyAlignment="1" applyProtection="1">
      <alignment horizontal="left" vertical="center"/>
      <protection locked="0"/>
    </xf>
    <xf numFmtId="0" fontId="142" fillId="12" borderId="0" xfId="0" applyFont="1" applyFill="1" applyAlignment="1">
      <alignment horizontal="center" vertical="center"/>
    </xf>
    <xf numFmtId="256" fontId="63" fillId="0" borderId="90" xfId="0" applyNumberFormat="1" applyFont="1" applyBorder="1" applyAlignment="1" applyProtection="1">
      <alignment horizontal="center" vertical="center"/>
      <protection locked="0"/>
    </xf>
    <xf numFmtId="0" fontId="191" fillId="3" borderId="0" xfId="0" applyFont="1" applyFill="1" applyAlignment="1" applyProtection="1">
      <alignment horizontal="left" vertical="center"/>
      <protection locked="0"/>
    </xf>
    <xf numFmtId="0" fontId="6" fillId="0" borderId="1" xfId="0" applyFont="1" applyBorder="1" applyAlignment="1">
      <alignment horizontal="left" vertical="center"/>
    </xf>
    <xf numFmtId="217" fontId="192" fillId="0" borderId="1" xfId="0" applyNumberFormat="1" applyFont="1" applyBorder="1" applyAlignment="1">
      <alignment horizontal="center" vertical="center"/>
    </xf>
    <xf numFmtId="204" fontId="35" fillId="0" borderId="1" xfId="0" applyNumberFormat="1" applyFont="1" applyBorder="1" applyAlignment="1">
      <alignment horizontal="center" vertical="center"/>
    </xf>
    <xf numFmtId="229" fontId="35" fillId="0" borderId="1" xfId="0" applyNumberFormat="1" applyFont="1" applyBorder="1" applyAlignment="1">
      <alignment horizontal="center" vertical="center"/>
    </xf>
    <xf numFmtId="0" fontId="29" fillId="0" borderId="1" xfId="0" applyFont="1" applyBorder="1" applyAlignment="1">
      <alignment horizontal="center" vertical="center"/>
    </xf>
    <xf numFmtId="237" fontId="35" fillId="0" borderId="1" xfId="0" applyNumberFormat="1" applyFont="1" applyBorder="1" applyAlignment="1">
      <alignment horizontal="center" vertical="center"/>
    </xf>
    <xf numFmtId="0" fontId="31" fillId="0" borderId="1" xfId="0" applyFont="1" applyBorder="1" applyAlignment="1">
      <alignment horizontal="center" vertical="center"/>
    </xf>
    <xf numFmtId="49" fontId="51" fillId="0" borderId="1" xfId="0" applyNumberFormat="1" applyFont="1" applyBorder="1" applyAlignment="1">
      <alignment horizontal="center" vertical="center"/>
    </xf>
    <xf numFmtId="49" fontId="51" fillId="0" borderId="1" xfId="0" applyNumberFormat="1" applyFont="1" applyBorder="1" applyAlignment="1">
      <alignment horizontal="center" vertical="center" wrapText="1"/>
    </xf>
    <xf numFmtId="49" fontId="31" fillId="0" borderId="1" xfId="0" applyNumberFormat="1" applyFont="1" applyBorder="1" applyAlignment="1">
      <alignment horizontal="center" vertical="center"/>
    </xf>
    <xf numFmtId="10" fontId="35" fillId="0" borderId="1" xfId="16" applyNumberFormat="1" applyFont="1" applyBorder="1" applyAlignment="1">
      <alignment horizontal="center" vertical="center"/>
    </xf>
    <xf numFmtId="0" fontId="131" fillId="0" borderId="0" xfId="0" applyFont="1">
      <alignment vertical="center"/>
    </xf>
    <xf numFmtId="196" fontId="6" fillId="0" borderId="1" xfId="0" applyNumberFormat="1" applyFont="1" applyBorder="1" applyAlignment="1">
      <alignment horizontal="right" vertical="center"/>
    </xf>
    <xf numFmtId="49" fontId="193" fillId="0" borderId="1" xfId="0" applyNumberFormat="1" applyFont="1" applyBorder="1" applyAlignment="1">
      <alignment horizontal="left" vertical="center"/>
    </xf>
    <xf numFmtId="178" fontId="109" fillId="0" borderId="1" xfId="0" applyNumberFormat="1" applyFont="1" applyBorder="1" applyAlignment="1">
      <alignment horizontal="right" vertical="center"/>
    </xf>
    <xf numFmtId="193" fontId="35" fillId="0" borderId="1" xfId="0" applyNumberFormat="1" applyFont="1" applyBorder="1">
      <alignment vertical="center"/>
    </xf>
    <xf numFmtId="194" fontId="35" fillId="0" borderId="1" xfId="0" applyNumberFormat="1" applyFont="1" applyBorder="1">
      <alignment vertical="center"/>
    </xf>
    <xf numFmtId="217" fontId="35" fillId="0" borderId="1" xfId="0" applyNumberFormat="1" applyFont="1" applyBorder="1" applyAlignment="1">
      <alignment horizontal="left" vertical="center"/>
    </xf>
    <xf numFmtId="207" fontId="104" fillId="0" borderId="1" xfId="6" applyFont="1" applyFill="1" applyBorder="1" applyAlignment="1">
      <alignment horizontal="center" vertical="center" wrapText="1"/>
    </xf>
    <xf numFmtId="49" fontId="195" fillId="0" borderId="1" xfId="0" applyNumberFormat="1" applyFont="1" applyBorder="1" applyAlignment="1">
      <alignment horizontal="center" vertical="center" shrinkToFit="1"/>
    </xf>
    <xf numFmtId="0" fontId="51" fillId="0" borderId="1" xfId="0" applyFont="1" applyBorder="1" applyAlignment="1">
      <alignment horizontal="center" vertical="center" shrinkToFit="1"/>
    </xf>
    <xf numFmtId="0" fontId="51" fillId="0" borderId="1" xfId="0" applyFont="1" applyBorder="1" applyAlignment="1">
      <alignment horizontal="center" vertical="center" wrapText="1" shrinkToFit="1"/>
    </xf>
    <xf numFmtId="207" fontId="104" fillId="0" borderId="1" xfId="6" applyFont="1" applyFill="1" applyBorder="1" applyAlignment="1">
      <alignment horizontal="center" vertical="center"/>
    </xf>
    <xf numFmtId="0" fontId="109" fillId="0" borderId="0" xfId="0" applyFont="1">
      <alignment vertical="center"/>
    </xf>
    <xf numFmtId="0" fontId="102" fillId="0" borderId="1" xfId="0" applyFont="1" applyBorder="1" applyAlignment="1">
      <alignment horizontal="left" vertical="center" wrapText="1"/>
    </xf>
    <xf numFmtId="0" fontId="102" fillId="0" borderId="1" xfId="0" applyFont="1" applyBorder="1" applyAlignment="1">
      <alignment vertical="center" wrapText="1"/>
    </xf>
    <xf numFmtId="0" fontId="35" fillId="0" borderId="1" xfId="0" applyFont="1" applyBorder="1" applyAlignment="1">
      <alignment horizontal="right" vertical="center" wrapText="1"/>
    </xf>
    <xf numFmtId="237" fontId="102" fillId="0" borderId="1" xfId="0" applyNumberFormat="1" applyFont="1" applyBorder="1" applyAlignment="1">
      <alignment horizontal="right" vertical="center" wrapText="1"/>
    </xf>
    <xf numFmtId="0" fontId="196" fillId="0" borderId="11" xfId="0" applyFont="1" applyBorder="1" applyAlignment="1">
      <alignment horizontal="left" vertical="center"/>
    </xf>
    <xf numFmtId="0" fontId="102" fillId="0" borderId="0" xfId="0" applyFont="1" applyAlignment="1">
      <alignment horizontal="center" vertical="center" wrapText="1"/>
    </xf>
    <xf numFmtId="0" fontId="102" fillId="0" borderId="0" xfId="0" applyFont="1" applyAlignment="1">
      <alignment horizontal="left" vertical="center" wrapText="1"/>
    </xf>
    <xf numFmtId="0" fontId="102" fillId="0" borderId="0" xfId="0" applyFont="1" applyAlignment="1">
      <alignment vertical="center" wrapText="1"/>
    </xf>
    <xf numFmtId="0" fontId="102" fillId="0" borderId="0" xfId="0" applyFont="1" applyAlignment="1">
      <alignment horizontal="right" vertical="center" wrapText="1"/>
    </xf>
    <xf numFmtId="237" fontId="102" fillId="0" borderId="0" xfId="0" applyNumberFormat="1" applyFont="1" applyAlignment="1">
      <alignment horizontal="right" vertical="center" wrapText="1"/>
    </xf>
    <xf numFmtId="0" fontId="196" fillId="0" borderId="0" xfId="0" applyFont="1" applyAlignment="1">
      <alignment horizontal="left" vertical="center"/>
    </xf>
    <xf numFmtId="49" fontId="51" fillId="0" borderId="1" xfId="0" applyNumberFormat="1" applyFont="1" applyBorder="1" applyAlignment="1">
      <alignment horizontal="center" vertical="center" shrinkToFit="1"/>
    </xf>
    <xf numFmtId="0" fontId="112" fillId="0" borderId="1" xfId="0" applyFont="1" applyBorder="1" applyAlignment="1">
      <alignment horizontal="right" vertical="center" wrapText="1"/>
    </xf>
    <xf numFmtId="239" fontId="198" fillId="0" borderId="0" xfId="24" applyNumberFormat="1" applyFont="1"/>
    <xf numFmtId="259" fontId="198" fillId="0" borderId="0" xfId="24" applyNumberFormat="1" applyFont="1"/>
    <xf numFmtId="0" fontId="14" fillId="0" borderId="0" xfId="24" applyFont="1"/>
    <xf numFmtId="0" fontId="198" fillId="0" borderId="0" xfId="24" applyFont="1"/>
    <xf numFmtId="0" fontId="197" fillId="0" borderId="0" xfId="24" applyFont="1" applyAlignment="1">
      <alignment horizontal="center"/>
    </xf>
    <xf numFmtId="0" fontId="197" fillId="0" borderId="0" xfId="24" applyFont="1" applyAlignment="1">
      <alignment horizontal="right"/>
    </xf>
    <xf numFmtId="0" fontId="197" fillId="0" borderId="0" xfId="24" applyFont="1"/>
    <xf numFmtId="0" fontId="200" fillId="0" borderId="0" xfId="24" applyFont="1" applyAlignment="1">
      <alignment horizontal="center"/>
    </xf>
    <xf numFmtId="0" fontId="201" fillId="0" borderId="0" xfId="24" applyFont="1" applyAlignment="1">
      <alignment vertical="center"/>
    </xf>
    <xf numFmtId="49" fontId="200" fillId="0" borderId="0" xfId="24" applyNumberFormat="1" applyFont="1"/>
    <xf numFmtId="49" fontId="197" fillId="0" borderId="0" xfId="24" applyNumberFormat="1" applyFont="1"/>
    <xf numFmtId="0" fontId="202" fillId="0" borderId="0" xfId="24" applyFont="1" applyAlignment="1">
      <alignment vertical="center"/>
    </xf>
    <xf numFmtId="191" fontId="7" fillId="0" borderId="9" xfId="0" applyNumberFormat="1" applyFont="1" applyBorder="1">
      <alignment vertical="center"/>
    </xf>
    <xf numFmtId="0" fontId="7" fillId="0" borderId="17" xfId="0" applyFont="1" applyBorder="1" applyAlignment="1">
      <alignment horizontal="left" vertical="center"/>
    </xf>
    <xf numFmtId="0" fontId="5" fillId="0" borderId="156" xfId="0" applyFont="1" applyBorder="1">
      <alignment vertical="center"/>
    </xf>
    <xf numFmtId="0" fontId="7" fillId="0" borderId="17" xfId="0" applyFont="1" applyBorder="1" applyAlignment="1">
      <alignment horizontal="center" vertical="center"/>
    </xf>
    <xf numFmtId="178" fontId="84" fillId="0" borderId="1" xfId="0" applyNumberFormat="1" applyFont="1" applyBorder="1" applyAlignment="1">
      <alignment horizontal="right" vertical="center"/>
    </xf>
    <xf numFmtId="0" fontId="84" fillId="0" borderId="1" xfId="0" applyFont="1" applyBorder="1" applyAlignment="1">
      <alignment horizontal="center" vertical="center"/>
    </xf>
    <xf numFmtId="38" fontId="7" fillId="0" borderId="0" xfId="23" applyFont="1" applyBorder="1" applyAlignment="1">
      <alignment horizontal="right" vertical="center"/>
    </xf>
    <xf numFmtId="208" fontId="203" fillId="8" borderId="1" xfId="0" applyNumberFormat="1" applyFont="1" applyFill="1" applyBorder="1" applyAlignment="1">
      <alignment horizontal="right" vertical="center" wrapText="1"/>
    </xf>
    <xf numFmtId="0" fontId="204" fillId="0" borderId="1" xfId="0" applyFont="1" applyBorder="1" applyAlignment="1">
      <alignment horizontal="center" vertical="center"/>
    </xf>
    <xf numFmtId="179" fontId="205" fillId="0" borderId="1" xfId="0" applyNumberFormat="1" applyFont="1" applyBorder="1" applyAlignment="1">
      <alignment horizontal="center" vertical="center"/>
    </xf>
    <xf numFmtId="0" fontId="206" fillId="0" borderId="0" xfId="0" applyFont="1">
      <alignment vertical="center"/>
    </xf>
    <xf numFmtId="0" fontId="93" fillId="0" borderId="0" xfId="0" applyFont="1">
      <alignment vertical="center"/>
    </xf>
    <xf numFmtId="0" fontId="207" fillId="0" borderId="1" xfId="0" applyFont="1" applyBorder="1" applyAlignment="1">
      <alignment horizontal="center" vertical="center"/>
    </xf>
    <xf numFmtId="0" fontId="6" fillId="0" borderId="1" xfId="0" applyFont="1" applyBorder="1" applyAlignment="1">
      <alignment horizontal="right" vertical="center"/>
    </xf>
    <xf numFmtId="0" fontId="6" fillId="0" borderId="1" xfId="0" applyFont="1" applyBorder="1" applyAlignment="1">
      <alignment horizontal="center" vertical="center" wrapText="1"/>
    </xf>
    <xf numFmtId="237" fontId="10" fillId="0" borderId="1" xfId="0" applyNumberFormat="1" applyFont="1" applyBorder="1" applyAlignment="1">
      <alignment horizontal="center" vertical="center"/>
    </xf>
    <xf numFmtId="188" fontId="36" fillId="0" borderId="1" xfId="0" applyNumberFormat="1" applyFont="1" applyBorder="1" applyAlignment="1">
      <alignment horizontal="center" vertical="center"/>
    </xf>
    <xf numFmtId="210" fontId="36" fillId="0" borderId="1" xfId="0" applyNumberFormat="1" applyFont="1" applyBorder="1" applyAlignment="1">
      <alignment horizontal="center" vertical="center"/>
    </xf>
    <xf numFmtId="210" fontId="36" fillId="0" borderId="1" xfId="0" applyNumberFormat="1" applyFont="1" applyBorder="1" applyAlignment="1">
      <alignment horizontal="center" vertical="center" wrapText="1"/>
    </xf>
    <xf numFmtId="236" fontId="35" fillId="0" borderId="1" xfId="0" applyNumberFormat="1" applyFont="1" applyBorder="1" applyAlignment="1">
      <alignment horizontal="center" vertical="center"/>
    </xf>
    <xf numFmtId="188" fontId="51" fillId="0" borderId="1" xfId="0" applyNumberFormat="1" applyFont="1" applyBorder="1" applyAlignment="1">
      <alignment horizontal="center" vertical="center"/>
    </xf>
    <xf numFmtId="210" fontId="51" fillId="0" borderId="1" xfId="0" applyNumberFormat="1" applyFont="1" applyBorder="1" applyAlignment="1">
      <alignment horizontal="center" vertical="center"/>
    </xf>
    <xf numFmtId="210" fontId="51" fillId="0" borderId="1" xfId="0" applyNumberFormat="1" applyFont="1" applyBorder="1" applyAlignment="1">
      <alignment horizontal="center" vertical="center" wrapText="1"/>
    </xf>
    <xf numFmtId="0" fontId="29" fillId="0" borderId="0" xfId="0" applyFont="1" applyAlignment="1">
      <alignment vertical="center" wrapText="1"/>
    </xf>
    <xf numFmtId="0" fontId="141" fillId="0" borderId="143" xfId="0" quotePrefix="1" applyFont="1" applyBorder="1" applyAlignment="1">
      <alignment horizontal="left" vertical="center"/>
    </xf>
    <xf numFmtId="0" fontId="193" fillId="0" borderId="0" xfId="0" applyFont="1">
      <alignment vertical="center"/>
    </xf>
    <xf numFmtId="0" fontId="208" fillId="0" borderId="0" xfId="0" applyFont="1">
      <alignment vertical="center"/>
    </xf>
    <xf numFmtId="0" fontId="209" fillId="0" borderId="0" xfId="0" applyFont="1">
      <alignment vertical="center"/>
    </xf>
    <xf numFmtId="0" fontId="210" fillId="0" borderId="0" xfId="0" applyFont="1" applyAlignment="1">
      <alignment horizontal="right" vertical="center"/>
    </xf>
    <xf numFmtId="248" fontId="6" fillId="0" borderId="1" xfId="0" applyNumberFormat="1" applyFont="1" applyBorder="1">
      <alignment vertical="center"/>
    </xf>
    <xf numFmtId="0" fontId="31" fillId="0" borderId="1" xfId="0" applyFont="1" applyBorder="1" applyAlignment="1">
      <alignment horizontal="right" vertical="center"/>
    </xf>
    <xf numFmtId="248" fontId="38" fillId="0" borderId="1" xfId="0" applyNumberFormat="1" applyFont="1" applyBorder="1">
      <alignment vertical="center"/>
    </xf>
    <xf numFmtId="0" fontId="195" fillId="0" borderId="1" xfId="0" applyFont="1" applyBorder="1" applyAlignment="1">
      <alignment horizontal="center" vertical="center"/>
    </xf>
    <xf numFmtId="178" fontId="35" fillId="0" borderId="1" xfId="0" applyNumberFormat="1" applyFont="1" applyBorder="1" applyAlignment="1">
      <alignment horizontal="right" vertical="center"/>
    </xf>
    <xf numFmtId="49" fontId="7" fillId="0" borderId="1" xfId="0" quotePrefix="1" applyNumberFormat="1" applyFont="1" applyBorder="1" applyAlignment="1">
      <alignment horizontal="left" vertical="center"/>
    </xf>
    <xf numFmtId="49" fontId="7" fillId="7" borderId="1" xfId="0" quotePrefix="1" applyNumberFormat="1" applyFont="1" applyFill="1" applyBorder="1" applyAlignment="1">
      <alignment horizontal="left" vertical="center"/>
    </xf>
    <xf numFmtId="0" fontId="6" fillId="0" borderId="0" xfId="0" applyFont="1" applyAlignment="1">
      <alignment horizontal="center" vertical="center"/>
    </xf>
    <xf numFmtId="217" fontId="35" fillId="0" borderId="3" xfId="0" applyNumberFormat="1" applyFont="1" applyBorder="1" applyAlignment="1">
      <alignment horizontal="left" vertical="center"/>
    </xf>
    <xf numFmtId="238" fontId="38" fillId="0" borderId="1" xfId="0" applyNumberFormat="1" applyFont="1" applyBorder="1" applyAlignment="1">
      <alignment horizontal="center" vertical="center"/>
    </xf>
    <xf numFmtId="237" fontId="38" fillId="0" borderId="1" xfId="0" applyNumberFormat="1" applyFont="1" applyBorder="1">
      <alignment vertical="center"/>
    </xf>
    <xf numFmtId="191" fontId="6" fillId="0" borderId="1" xfId="0" applyNumberFormat="1" applyFont="1" applyBorder="1">
      <alignment vertical="center"/>
    </xf>
    <xf numFmtId="0" fontId="35" fillId="0" borderId="6" xfId="0" applyFont="1" applyBorder="1" applyAlignment="1">
      <alignment horizontal="justify" vertical="center"/>
    </xf>
    <xf numFmtId="0" fontId="102" fillId="0" borderId="7" xfId="0" applyFont="1" applyBorder="1" applyAlignment="1">
      <alignment horizontal="center" vertical="center"/>
    </xf>
    <xf numFmtId="0" fontId="212" fillId="0" borderId="6" xfId="0" applyFont="1" applyBorder="1" applyAlignment="1">
      <alignment horizontal="justify" vertical="center"/>
    </xf>
    <xf numFmtId="0" fontId="211" fillId="0" borderId="7" xfId="0" applyFont="1" applyBorder="1" applyAlignment="1">
      <alignment horizontal="center" vertical="center"/>
    </xf>
    <xf numFmtId="6" fontId="211" fillId="0" borderId="7" xfId="0" applyNumberFormat="1" applyFont="1" applyBorder="1" applyAlignment="1">
      <alignment horizontal="center" vertical="center"/>
    </xf>
    <xf numFmtId="0" fontId="193" fillId="0" borderId="6" xfId="0" applyFont="1" applyBorder="1" applyAlignment="1">
      <alignment horizontal="justify" vertical="center"/>
    </xf>
    <xf numFmtId="260" fontId="102" fillId="0" borderId="7" xfId="0" applyNumberFormat="1" applyFont="1" applyBorder="1" applyAlignment="1">
      <alignment horizontal="center" vertical="center"/>
    </xf>
    <xf numFmtId="0" fontId="0" fillId="0" borderId="56" xfId="0" applyBorder="1">
      <alignment vertical="center"/>
    </xf>
    <xf numFmtId="49" fontId="6" fillId="0" borderId="4" xfId="0" applyNumberFormat="1" applyFont="1" applyBorder="1" applyAlignment="1">
      <alignment horizontal="center" vertical="center"/>
    </xf>
    <xf numFmtId="260" fontId="102" fillId="0" borderId="4" xfId="0" applyNumberFormat="1" applyFont="1" applyBorder="1" applyAlignment="1">
      <alignment horizontal="right" vertical="center"/>
    </xf>
    <xf numFmtId="0" fontId="213" fillId="0" borderId="1" xfId="0" applyFont="1" applyBorder="1" applyAlignment="1">
      <alignment horizontal="center" vertical="center"/>
    </xf>
    <xf numFmtId="204" fontId="79" fillId="0" borderId="1" xfId="0" applyNumberFormat="1" applyFont="1" applyBorder="1" applyAlignment="1">
      <alignment horizontal="center" vertical="center"/>
    </xf>
    <xf numFmtId="204" fontId="79" fillId="0" borderId="1" xfId="26" applyNumberFormat="1" applyFont="1" applyFill="1" applyBorder="1" applyAlignment="1">
      <alignment horizontal="right" vertical="center" wrapText="1"/>
    </xf>
    <xf numFmtId="204" fontId="79" fillId="0" borderId="0" xfId="26" applyNumberFormat="1" applyFont="1" applyFill="1" applyBorder="1" applyAlignment="1">
      <alignment horizontal="right" vertical="center" wrapText="1"/>
    </xf>
    <xf numFmtId="0" fontId="79" fillId="0" borderId="0" xfId="0" applyFont="1" applyAlignment="1">
      <alignment horizontal="center" vertical="center"/>
    </xf>
    <xf numFmtId="0" fontId="79" fillId="0" borderId="1" xfId="0" quotePrefix="1" applyFont="1" applyBorder="1" applyAlignment="1">
      <alignment horizontal="center" vertical="center"/>
    </xf>
    <xf numFmtId="204" fontId="79" fillId="0" borderId="1" xfId="26" applyNumberFormat="1" applyFont="1" applyBorder="1" applyAlignment="1">
      <alignment horizontal="right" vertical="center"/>
    </xf>
    <xf numFmtId="261" fontId="179" fillId="3" borderId="1" xfId="0" applyNumberFormat="1" applyFont="1" applyFill="1" applyBorder="1" applyAlignment="1">
      <alignment horizontal="right" vertical="center"/>
    </xf>
    <xf numFmtId="0" fontId="79" fillId="0" borderId="0" xfId="0" applyFont="1">
      <alignment vertical="center"/>
    </xf>
    <xf numFmtId="17" fontId="79" fillId="0" borderId="1" xfId="0" quotePrefix="1" applyNumberFormat="1" applyFont="1" applyBorder="1" applyAlignment="1">
      <alignment horizontal="center" vertical="center"/>
    </xf>
    <xf numFmtId="0" fontId="216" fillId="0" borderId="1" xfId="0" applyFont="1" applyBorder="1" applyAlignment="1">
      <alignment horizontal="center" vertical="center"/>
    </xf>
    <xf numFmtId="0" fontId="79" fillId="0" borderId="1" xfId="30" applyFont="1" applyBorder="1" applyAlignment="1">
      <alignment horizontal="center" vertical="center"/>
    </xf>
    <xf numFmtId="204" fontId="216" fillId="0" borderId="1" xfId="0" applyNumberFormat="1" applyFont="1" applyBorder="1" applyAlignment="1">
      <alignment horizontal="right" vertical="center"/>
    </xf>
    <xf numFmtId="0" fontId="79" fillId="0" borderId="0" xfId="0" applyFont="1" applyAlignment="1">
      <alignment horizontal="right" vertical="center"/>
    </xf>
    <xf numFmtId="0" fontId="214" fillId="0" borderId="1" xfId="0" applyFont="1" applyBorder="1" applyAlignment="1">
      <alignment horizontal="center" vertical="center"/>
    </xf>
    <xf numFmtId="204" fontId="216" fillId="0" borderId="1" xfId="0" applyNumberFormat="1" applyFont="1" applyBorder="1" applyAlignment="1">
      <alignment horizontal="center" vertical="center"/>
    </xf>
    <xf numFmtId="0" fontId="214" fillId="0" borderId="1" xfId="0" applyFont="1" applyBorder="1">
      <alignment vertical="center"/>
    </xf>
    <xf numFmtId="204" fontId="217" fillId="0" borderId="1" xfId="0" applyNumberFormat="1" applyFont="1" applyBorder="1" applyAlignment="1">
      <alignment horizontal="center" vertical="center"/>
    </xf>
    <xf numFmtId="0" fontId="79" fillId="0" borderId="1" xfId="0" applyFont="1" applyBorder="1" applyAlignment="1">
      <alignment horizontal="right" vertical="center"/>
    </xf>
    <xf numFmtId="204" fontId="79" fillId="0" borderId="1" xfId="26" applyNumberFormat="1" applyFont="1" applyFill="1" applyBorder="1" applyAlignment="1">
      <alignment horizontal="right" vertical="center"/>
    </xf>
    <xf numFmtId="0" fontId="93" fillId="0" borderId="0" xfId="0" applyFont="1" applyAlignment="1">
      <alignment horizontal="justify" vertical="center"/>
    </xf>
    <xf numFmtId="49" fontId="104" fillId="0" borderId="1" xfId="0" applyNumberFormat="1" applyFont="1" applyBorder="1" applyAlignment="1">
      <alignment horizontal="center" vertical="center" wrapText="1"/>
    </xf>
    <xf numFmtId="0" fontId="93" fillId="0" borderId="1" xfId="0" applyFont="1" applyBorder="1" applyAlignment="1">
      <alignment horizontal="center" vertical="center"/>
    </xf>
    <xf numFmtId="0" fontId="218" fillId="0" borderId="1" xfId="0" applyFont="1" applyBorder="1" applyAlignment="1">
      <alignment horizontal="center" vertical="center"/>
    </xf>
    <xf numFmtId="0" fontId="104" fillId="0" borderId="10" xfId="10" applyFont="1" applyBorder="1" applyAlignment="1">
      <alignment horizontal="center" vertical="center" wrapText="1"/>
    </xf>
    <xf numFmtId="0" fontId="218" fillId="0" borderId="10" xfId="0" applyFont="1" applyBorder="1" applyAlignment="1">
      <alignment horizontal="center" vertical="center"/>
    </xf>
    <xf numFmtId="0" fontId="93" fillId="0" borderId="10" xfId="0" applyFont="1" applyBorder="1" applyAlignment="1">
      <alignment horizontal="center" vertical="center"/>
    </xf>
    <xf numFmtId="0" fontId="21" fillId="0" borderId="1" xfId="10" applyFont="1" applyBorder="1" applyAlignment="1">
      <alignment horizontal="center" vertical="center"/>
    </xf>
    <xf numFmtId="0" fontId="51" fillId="0" borderId="1" xfId="10" applyFont="1" applyBorder="1" applyAlignment="1">
      <alignment horizontal="center" vertical="center" wrapText="1"/>
    </xf>
    <xf numFmtId="260" fontId="35" fillId="0" borderId="1" xfId="0" applyNumberFormat="1" applyFont="1" applyBorder="1" applyAlignment="1">
      <alignment horizontal="right" vertical="center"/>
    </xf>
    <xf numFmtId="262" fontId="35" fillId="0" borderId="1" xfId="0" applyNumberFormat="1" applyFont="1" applyBorder="1" applyAlignment="1">
      <alignment horizontal="right" vertical="center"/>
    </xf>
    <xf numFmtId="237" fontId="6" fillId="0" borderId="1" xfId="0" applyNumberFormat="1" applyFont="1" applyBorder="1" applyAlignment="1">
      <alignment horizontal="center" vertical="center"/>
    </xf>
    <xf numFmtId="0" fontId="195" fillId="0" borderId="1" xfId="10" applyFont="1" applyBorder="1" applyAlignment="1">
      <alignment horizontal="center" vertical="center"/>
    </xf>
    <xf numFmtId="0" fontId="102" fillId="0" borderId="151" xfId="0" applyFont="1" applyBorder="1" applyAlignment="1">
      <alignment horizontal="center" vertical="center"/>
    </xf>
    <xf numFmtId="0" fontId="102" fillId="0" borderId="157" xfId="0" applyFont="1" applyBorder="1" applyAlignment="1">
      <alignment horizontal="center" vertical="center" wrapText="1"/>
    </xf>
    <xf numFmtId="6" fontId="102" fillId="0" borderId="7" xfId="0" applyNumberFormat="1" applyFont="1" applyBorder="1" applyAlignment="1">
      <alignment horizontal="center" vertical="center"/>
    </xf>
    <xf numFmtId="6" fontId="102" fillId="0" borderId="7" xfId="0" applyNumberFormat="1" applyFont="1" applyBorder="1" applyAlignment="1">
      <alignment horizontal="right" vertical="center"/>
    </xf>
    <xf numFmtId="0" fontId="102" fillId="0" borderId="7" xfId="0" applyFont="1" applyBorder="1" applyAlignment="1">
      <alignment horizontal="right" vertical="center"/>
    </xf>
    <xf numFmtId="6" fontId="102" fillId="0" borderId="7" xfId="0" applyNumberFormat="1" applyFont="1" applyBorder="1" applyAlignment="1">
      <alignment horizontal="right" vertical="center" wrapText="1"/>
    </xf>
    <xf numFmtId="0" fontId="102" fillId="0" borderId="157" xfId="0" applyFont="1" applyBorder="1" applyAlignment="1">
      <alignment horizontal="center" vertical="center"/>
    </xf>
    <xf numFmtId="17" fontId="102" fillId="0" borderId="1" xfId="0" applyNumberFormat="1" applyFont="1" applyBorder="1" applyAlignment="1">
      <alignment horizontal="center" vertical="center"/>
    </xf>
    <xf numFmtId="207" fontId="51" fillId="0" borderId="1" xfId="6" applyFont="1" applyFill="1" applyBorder="1" applyAlignment="1">
      <alignment horizontal="center" vertical="center"/>
    </xf>
    <xf numFmtId="188" fontId="6" fillId="0" borderId="0" xfId="0" applyNumberFormat="1" applyFont="1">
      <alignment vertical="center"/>
    </xf>
    <xf numFmtId="193" fontId="6" fillId="0" borderId="0" xfId="0" applyNumberFormat="1" applyFont="1">
      <alignment vertical="center"/>
    </xf>
    <xf numFmtId="178" fontId="6" fillId="0" borderId="0" xfId="0" applyNumberFormat="1" applyFont="1" applyAlignment="1">
      <alignment horizontal="right" vertical="center"/>
    </xf>
    <xf numFmtId="236" fontId="35" fillId="0" borderId="0" xfId="0" applyNumberFormat="1" applyFont="1" applyAlignment="1">
      <alignment horizontal="right" vertical="center"/>
    </xf>
    <xf numFmtId="0" fontId="220" fillId="0" borderId="1" xfId="0" applyFont="1" applyBorder="1" applyAlignment="1">
      <alignment horizontal="center" vertical="center"/>
    </xf>
    <xf numFmtId="0" fontId="221" fillId="0" borderId="0" xfId="0" applyFont="1" applyAlignment="1">
      <alignment horizontal="center" vertical="center"/>
    </xf>
    <xf numFmtId="10" fontId="222" fillId="0" borderId="0" xfId="16" applyNumberFormat="1" applyFont="1">
      <alignment vertical="center"/>
    </xf>
    <xf numFmtId="0" fontId="222" fillId="0" borderId="0" xfId="0" applyFont="1">
      <alignment vertical="center"/>
    </xf>
    <xf numFmtId="0" fontId="35" fillId="0" borderId="11" xfId="0" applyFont="1" applyBorder="1" applyAlignment="1">
      <alignment horizontal="center" vertical="center" shrinkToFit="1"/>
    </xf>
    <xf numFmtId="226" fontId="35" fillId="0" borderId="11" xfId="0" applyNumberFormat="1" applyFont="1" applyBorder="1" applyAlignment="1">
      <alignment horizontal="center" vertical="center" shrinkToFit="1"/>
    </xf>
    <xf numFmtId="0" fontId="195" fillId="0" borderId="1" xfId="0" applyFont="1" applyBorder="1" applyAlignment="1">
      <alignment horizontal="center" vertical="center" shrinkToFit="1"/>
    </xf>
    <xf numFmtId="0" fontId="35" fillId="0" borderId="158" xfId="0" applyFont="1" applyBorder="1" applyAlignment="1">
      <alignment horizontal="center" vertical="center" shrinkToFit="1"/>
    </xf>
    <xf numFmtId="226" fontId="35" fillId="0" borderId="158" xfId="0" applyNumberFormat="1" applyFont="1" applyBorder="1" applyAlignment="1">
      <alignment horizontal="center" vertical="center" shrinkToFit="1"/>
    </xf>
    <xf numFmtId="226" fontId="35" fillId="0" borderId="158" xfId="0" applyNumberFormat="1" applyFont="1" applyBorder="1" applyAlignment="1">
      <alignment horizontal="center" vertical="center" wrapText="1" shrinkToFit="1"/>
    </xf>
    <xf numFmtId="0" fontId="35" fillId="0" borderId="159" xfId="0" applyFont="1" applyBorder="1" applyAlignment="1">
      <alignment horizontal="center" vertical="center" shrinkToFit="1"/>
    </xf>
    <xf numFmtId="226" fontId="35" fillId="0" borderId="159" xfId="0" applyNumberFormat="1" applyFont="1" applyBorder="1" applyAlignment="1">
      <alignment horizontal="center" vertical="center" wrapText="1" shrinkToFit="1"/>
    </xf>
    <xf numFmtId="226" fontId="35" fillId="0" borderId="159" xfId="0" applyNumberFormat="1" applyFont="1" applyBorder="1" applyAlignment="1">
      <alignment horizontal="center" vertical="center" shrinkToFit="1"/>
    </xf>
    <xf numFmtId="0" fontId="36" fillId="3" borderId="0" xfId="0" applyFont="1" applyFill="1">
      <alignment vertical="center"/>
    </xf>
    <xf numFmtId="263" fontId="223" fillId="0" borderId="0" xfId="16" applyNumberFormat="1" applyFont="1">
      <alignment vertical="center"/>
    </xf>
    <xf numFmtId="179" fontId="6" fillId="7" borderId="1" xfId="0" applyNumberFormat="1" applyFont="1" applyFill="1" applyBorder="1" applyAlignment="1">
      <alignment horizontal="center" vertical="center"/>
    </xf>
    <xf numFmtId="0" fontId="192" fillId="0" borderId="1" xfId="0" applyFont="1" applyBorder="1" applyAlignment="1">
      <alignment horizontal="center" vertical="center"/>
    </xf>
    <xf numFmtId="176" fontId="35" fillId="0" borderId="1" xfId="0" applyNumberFormat="1" applyFont="1" applyBorder="1" applyAlignment="1">
      <alignment horizontal="center" vertical="center"/>
    </xf>
    <xf numFmtId="238" fontId="35" fillId="0" borderId="1" xfId="0" applyNumberFormat="1" applyFont="1" applyBorder="1">
      <alignment vertical="center"/>
    </xf>
    <xf numFmtId="211" fontId="51" fillId="8" borderId="1" xfId="0" applyNumberFormat="1" applyFont="1" applyFill="1" applyBorder="1" applyAlignment="1">
      <alignment horizontal="center" vertical="center"/>
    </xf>
    <xf numFmtId="0" fontId="204" fillId="0" borderId="0" xfId="0" applyFont="1" applyAlignment="1">
      <alignment horizontal="center" vertical="center"/>
    </xf>
    <xf numFmtId="264" fontId="35" fillId="0" borderId="1" xfId="0" quotePrefix="1" applyNumberFormat="1" applyFont="1" applyBorder="1" applyAlignment="1">
      <alignment horizontal="right"/>
    </xf>
    <xf numFmtId="10" fontId="224" fillId="0" borderId="0" xfId="16" applyNumberFormat="1" applyFont="1">
      <alignment vertical="center"/>
    </xf>
    <xf numFmtId="0" fontId="224" fillId="0" borderId="0" xfId="0" applyFont="1">
      <alignment vertical="center"/>
    </xf>
    <xf numFmtId="0" fontId="35" fillId="0" borderId="0" xfId="0" applyFont="1" applyAlignment="1"/>
    <xf numFmtId="212" fontId="35" fillId="0" borderId="1" xfId="0" applyNumberFormat="1" applyFont="1" applyBorder="1" applyAlignment="1">
      <alignment horizontal="center"/>
    </xf>
    <xf numFmtId="184" fontId="7" fillId="0" borderId="1" xfId="0" applyNumberFormat="1" applyFont="1" applyBorder="1">
      <alignment vertical="center"/>
    </xf>
    <xf numFmtId="208" fontId="7" fillId="0" borderId="1" xfId="0" applyNumberFormat="1" applyFont="1" applyBorder="1">
      <alignment vertical="center"/>
    </xf>
    <xf numFmtId="221" fontId="35" fillId="0" borderId="1" xfId="0" quotePrefix="1" applyNumberFormat="1" applyFont="1" applyBorder="1" applyAlignment="1">
      <alignment horizontal="right"/>
    </xf>
    <xf numFmtId="250" fontId="35" fillId="0" borderId="1" xfId="0" applyNumberFormat="1" applyFont="1" applyBorder="1" applyAlignment="1">
      <alignment horizontal="center" vertical="center"/>
    </xf>
    <xf numFmtId="200" fontId="35" fillId="0" borderId="1" xfId="0" applyNumberFormat="1" applyFont="1" applyBorder="1" applyAlignment="1">
      <alignment horizontal="center" vertical="center"/>
    </xf>
    <xf numFmtId="265" fontId="35" fillId="0" borderId="1" xfId="0" applyNumberFormat="1" applyFont="1" applyBorder="1" applyAlignment="1">
      <alignment horizontal="center"/>
    </xf>
    <xf numFmtId="0" fontId="195" fillId="0" borderId="1" xfId="0" applyFont="1" applyBorder="1" applyAlignment="1">
      <alignment horizontal="center"/>
    </xf>
    <xf numFmtId="266" fontId="51" fillId="0" borderId="1" xfId="0" applyNumberFormat="1" applyFont="1" applyBorder="1" applyAlignment="1">
      <alignment horizontal="center" vertical="center"/>
    </xf>
    <xf numFmtId="0" fontId="193" fillId="0" borderId="1" xfId="22" applyFont="1" applyBorder="1" applyAlignment="1">
      <alignment horizontal="center" vertical="center"/>
    </xf>
    <xf numFmtId="267" fontId="35" fillId="0" borderId="1" xfId="22" applyNumberFormat="1" applyFont="1" applyBorder="1" applyAlignment="1">
      <alignment horizontal="center" vertical="center"/>
    </xf>
    <xf numFmtId="199" fontId="35" fillId="0" borderId="1" xfId="22" applyNumberFormat="1" applyFont="1" applyBorder="1" applyAlignment="1">
      <alignment horizontal="center" vertical="center"/>
    </xf>
    <xf numFmtId="207" fontId="35" fillId="0" borderId="1" xfId="22" applyNumberFormat="1" applyFont="1" applyBorder="1" applyAlignment="1">
      <alignment horizontal="center" vertical="center"/>
    </xf>
    <xf numFmtId="0" fontId="35" fillId="0" borderId="0" xfId="22" applyFont="1" applyAlignment="1">
      <alignment horizontal="center" vertical="center"/>
    </xf>
    <xf numFmtId="5" fontId="35" fillId="13" borderId="0" xfId="22" applyNumberFormat="1" applyFont="1" applyFill="1" applyAlignment="1">
      <alignment horizontal="center" vertical="center"/>
    </xf>
    <xf numFmtId="268" fontId="35" fillId="0" borderId="1" xfId="22" applyNumberFormat="1" applyFont="1" applyBorder="1" applyAlignment="1">
      <alignment horizontal="center" vertical="center"/>
    </xf>
    <xf numFmtId="0" fontId="35" fillId="0" borderId="1" xfId="22" applyFont="1" applyBorder="1" applyAlignment="1">
      <alignment horizontal="center" vertical="center"/>
    </xf>
    <xf numFmtId="267" fontId="193" fillId="0" borderId="1" xfId="22" applyNumberFormat="1" applyFont="1" applyBorder="1" applyAlignment="1">
      <alignment horizontal="center" vertical="center"/>
    </xf>
    <xf numFmtId="0" fontId="31" fillId="0" borderId="1" xfId="0" applyFont="1" applyBorder="1" applyAlignment="1">
      <alignment horizontal="center" vertical="center" wrapText="1" shrinkToFit="1"/>
    </xf>
    <xf numFmtId="204" fontId="35" fillId="0" borderId="1" xfId="0" applyNumberFormat="1" applyFont="1" applyBorder="1" applyAlignment="1">
      <alignment horizontal="right" vertical="center" wrapText="1"/>
    </xf>
    <xf numFmtId="9" fontId="35" fillId="0" borderId="0" xfId="16" applyFont="1" applyFill="1" applyAlignment="1">
      <alignment horizontal="center" vertical="center"/>
    </xf>
    <xf numFmtId="192" fontId="17" fillId="0" borderId="1" xfId="0" applyNumberFormat="1" applyFont="1" applyBorder="1" applyAlignment="1">
      <alignment horizontal="center" vertical="center"/>
    </xf>
    <xf numFmtId="14" fontId="15" fillId="0" borderId="1" xfId="0" applyNumberFormat="1" applyFont="1" applyBorder="1" applyAlignment="1">
      <alignment horizontal="center" vertical="center"/>
    </xf>
    <xf numFmtId="0" fontId="76" fillId="0" borderId="0" xfId="0" applyFont="1">
      <alignment vertical="center"/>
    </xf>
    <xf numFmtId="179" fontId="15" fillId="7" borderId="1" xfId="0" applyNumberFormat="1" applyFont="1" applyFill="1" applyBorder="1" applyAlignment="1">
      <alignment horizontal="center" vertical="center" wrapText="1"/>
    </xf>
    <xf numFmtId="179" fontId="7" fillId="7" borderId="1" xfId="0" applyNumberFormat="1" applyFont="1" applyFill="1" applyBorder="1" applyAlignment="1">
      <alignment horizontal="center" vertical="center" wrapText="1"/>
    </xf>
    <xf numFmtId="192" fontId="17" fillId="7" borderId="1" xfId="0" applyNumberFormat="1" applyFont="1" applyFill="1" applyBorder="1" applyAlignment="1">
      <alignment horizontal="center" vertical="center"/>
    </xf>
    <xf numFmtId="224" fontId="223" fillId="0" borderId="1" xfId="0" applyNumberFormat="1" applyFont="1" applyBorder="1" applyAlignment="1">
      <alignment horizontal="center" vertical="center" shrinkToFit="1"/>
    </xf>
    <xf numFmtId="224" fontId="223" fillId="0" borderId="1" xfId="0" quotePrefix="1" applyNumberFormat="1" applyFont="1" applyBorder="1" applyAlignment="1">
      <alignment horizontal="center" vertical="center"/>
    </xf>
    <xf numFmtId="224" fontId="15" fillId="0" borderId="1" xfId="0" quotePrefix="1" applyNumberFormat="1" applyFont="1" applyBorder="1" applyAlignment="1">
      <alignment horizontal="center" vertical="center"/>
    </xf>
    <xf numFmtId="0" fontId="15" fillId="0" borderId="1" xfId="0" quotePrefix="1" applyFont="1" applyBorder="1" applyAlignment="1">
      <alignment horizontal="center" vertical="center"/>
    </xf>
    <xf numFmtId="0" fontId="161" fillId="0" borderId="0" xfId="0" applyFont="1" applyAlignment="1">
      <alignment horizontal="center" vertical="center"/>
    </xf>
    <xf numFmtId="0" fontId="210" fillId="0" borderId="1" xfId="0" applyFont="1" applyBorder="1">
      <alignment vertical="center"/>
    </xf>
    <xf numFmtId="187" fontId="6" fillId="0" borderId="1" xfId="0" applyNumberFormat="1" applyFont="1" applyBorder="1" applyAlignment="1">
      <alignment horizontal="center" vertical="center"/>
    </xf>
    <xf numFmtId="237" fontId="227" fillId="0" borderId="1" xfId="0" applyNumberFormat="1" applyFont="1" applyBorder="1" applyAlignment="1">
      <alignment horizontal="center" vertical="center"/>
    </xf>
    <xf numFmtId="207" fontId="51" fillId="0" borderId="1" xfId="6" applyFont="1" applyFill="1" applyBorder="1" applyAlignment="1">
      <alignment horizontal="center" vertical="center" wrapText="1"/>
    </xf>
    <xf numFmtId="0" fontId="229" fillId="0" borderId="10" xfId="10" applyFont="1" applyBorder="1" applyAlignment="1">
      <alignment horizontal="center" vertical="center" wrapText="1"/>
    </xf>
    <xf numFmtId="49" fontId="230" fillId="0" borderId="1" xfId="0" applyNumberFormat="1" applyFont="1" applyBorder="1" applyAlignment="1">
      <alignment horizontal="center" vertical="center" wrapText="1"/>
    </xf>
    <xf numFmtId="188" fontId="35" fillId="0" borderId="1" xfId="0" applyNumberFormat="1" applyFont="1" applyBorder="1" applyAlignment="1">
      <alignment horizontal="center" vertical="center"/>
    </xf>
    <xf numFmtId="0" fontId="219" fillId="0" borderId="6" xfId="0" applyFont="1" applyBorder="1">
      <alignment vertical="center"/>
    </xf>
    <xf numFmtId="0" fontId="231" fillId="0" borderId="7" xfId="0" applyFont="1" applyBorder="1" applyAlignment="1">
      <alignment horizontal="center" vertical="center"/>
    </xf>
    <xf numFmtId="0" fontId="219" fillId="0" borderId="7" xfId="0" applyFont="1" applyBorder="1" applyAlignment="1">
      <alignment horizontal="center" vertical="center"/>
    </xf>
    <xf numFmtId="0" fontId="118" fillId="0" borderId="7" xfId="0" applyFont="1" applyBorder="1" applyAlignment="1">
      <alignment horizontal="center" vertical="center"/>
    </xf>
    <xf numFmtId="6" fontId="231" fillId="0" borderId="7" xfId="0" applyNumberFormat="1" applyFont="1" applyBorder="1" applyAlignment="1">
      <alignment horizontal="center" vertical="center"/>
    </xf>
    <xf numFmtId="0" fontId="102" fillId="0" borderId="6" xfId="0" applyFont="1" applyBorder="1">
      <alignment vertical="center"/>
    </xf>
    <xf numFmtId="1" fontId="35" fillId="0" borderId="0" xfId="16" applyNumberFormat="1" applyFont="1" applyFill="1" applyAlignment="1">
      <alignment horizontal="center" vertical="center"/>
    </xf>
    <xf numFmtId="269" fontId="102" fillId="0" borderId="7" xfId="0" applyNumberFormat="1" applyFont="1" applyBorder="1" applyAlignment="1">
      <alignment horizontal="center" vertical="center"/>
    </xf>
    <xf numFmtId="188" fontId="66" fillId="0" borderId="1" xfId="0" applyNumberFormat="1" applyFont="1" applyBorder="1">
      <alignment vertical="center"/>
    </xf>
    <xf numFmtId="178" fontId="66" fillId="0" borderId="1" xfId="0" applyNumberFormat="1" applyFont="1" applyBorder="1" applyAlignment="1">
      <alignment horizontal="right" vertical="center"/>
    </xf>
    <xf numFmtId="236" fontId="232" fillId="0" borderId="1" xfId="0" applyNumberFormat="1" applyFont="1" applyBorder="1" applyAlignment="1">
      <alignment horizontal="right" vertical="center"/>
    </xf>
    <xf numFmtId="237" fontId="66" fillId="0" borderId="1" xfId="0" applyNumberFormat="1" applyFont="1" applyBorder="1">
      <alignment vertical="center"/>
    </xf>
    <xf numFmtId="191" fontId="233" fillId="0" borderId="1" xfId="0" applyNumberFormat="1" applyFont="1" applyBorder="1" applyAlignment="1">
      <alignment horizontal="center" vertical="center"/>
    </xf>
    <xf numFmtId="38" fontId="66" fillId="0" borderId="0" xfId="23" applyFont="1" applyBorder="1">
      <alignment vertical="center"/>
    </xf>
    <xf numFmtId="193" fontId="6" fillId="0" borderId="1" xfId="0" applyNumberFormat="1" applyFont="1" applyBorder="1" applyAlignment="1">
      <alignment horizontal="center" vertical="center"/>
    </xf>
    <xf numFmtId="194" fontId="6" fillId="0" borderId="1" xfId="0" applyNumberFormat="1" applyFont="1" applyBorder="1" applyAlignment="1">
      <alignment horizontal="center" vertical="center"/>
    </xf>
    <xf numFmtId="196" fontId="6" fillId="0" borderId="1" xfId="0" applyNumberFormat="1" applyFont="1" applyBorder="1" applyAlignment="1">
      <alignment horizontal="center" vertical="center"/>
    </xf>
    <xf numFmtId="200" fontId="193" fillId="0" borderId="1" xfId="0" applyNumberFormat="1" applyFont="1" applyBorder="1" applyAlignment="1">
      <alignment horizontal="center" vertical="center"/>
    </xf>
    <xf numFmtId="236" fontId="35" fillId="0" borderId="3" xfId="0" applyNumberFormat="1" applyFont="1" applyBorder="1" applyAlignment="1">
      <alignment horizontal="right" vertical="center"/>
    </xf>
    <xf numFmtId="49" fontId="35" fillId="0" borderId="0" xfId="0" applyNumberFormat="1" applyFont="1" applyAlignment="1">
      <alignment horizontal="center"/>
    </xf>
    <xf numFmtId="0" fontId="227" fillId="0" borderId="0" xfId="0" applyFont="1" applyAlignment="1">
      <alignment horizontal="justify" vertical="center"/>
    </xf>
    <xf numFmtId="0" fontId="207" fillId="0" borderId="4" xfId="0" applyFont="1" applyBorder="1" applyAlignment="1">
      <alignment horizontal="center" vertical="center" wrapText="1"/>
    </xf>
    <xf numFmtId="0" fontId="6" fillId="0" borderId="4" xfId="0" applyFont="1" applyBorder="1" applyAlignment="1">
      <alignment horizontal="center" vertical="center" wrapText="1"/>
    </xf>
    <xf numFmtId="0" fontId="235" fillId="0" borderId="0" xfId="0" applyFont="1" applyAlignment="1">
      <alignment horizontal="justify" vertical="center"/>
    </xf>
    <xf numFmtId="178" fontId="6" fillId="0" borderId="1" xfId="0" applyNumberFormat="1" applyFont="1" applyBorder="1" applyAlignment="1">
      <alignment horizontal="center" vertical="center"/>
    </xf>
    <xf numFmtId="185" fontId="6" fillId="0" borderId="1" xfId="0" applyNumberFormat="1" applyFont="1" applyBorder="1" applyAlignment="1">
      <alignment horizontal="center" vertical="center"/>
    </xf>
    <xf numFmtId="0" fontId="227" fillId="3" borderId="1" xfId="0" applyFont="1" applyFill="1" applyBorder="1" applyAlignment="1">
      <alignment horizontal="center" vertical="center"/>
    </xf>
    <xf numFmtId="0" fontId="195" fillId="0" borderId="1" xfId="0" applyFont="1" applyBorder="1" applyAlignment="1">
      <alignment horizontal="center" vertical="center" wrapText="1" shrinkToFit="1"/>
    </xf>
    <xf numFmtId="270" fontId="6" fillId="0" borderId="4" xfId="0" applyNumberFormat="1" applyFont="1" applyBorder="1" applyAlignment="1">
      <alignment horizontal="center" vertical="center"/>
    </xf>
    <xf numFmtId="0" fontId="195" fillId="0" borderId="4" xfId="0" applyFont="1" applyBorder="1" applyAlignment="1">
      <alignment horizontal="center" vertical="center" wrapText="1" shrinkToFit="1"/>
    </xf>
    <xf numFmtId="0" fontId="221" fillId="0" borderId="4" xfId="0" applyFont="1" applyBorder="1" applyAlignment="1">
      <alignment horizontal="center" vertical="center"/>
    </xf>
    <xf numFmtId="0" fontId="18" fillId="0" borderId="4" xfId="0" applyFont="1" applyBorder="1" applyAlignment="1">
      <alignment horizontal="center" vertical="center"/>
    </xf>
    <xf numFmtId="9" fontId="35" fillId="0" borderId="4" xfId="16" applyFont="1" applyFill="1" applyBorder="1" applyAlignment="1">
      <alignment horizontal="center" vertical="center"/>
    </xf>
    <xf numFmtId="0" fontId="222" fillId="0" borderId="4" xfId="0" applyFont="1" applyBorder="1">
      <alignment vertical="center"/>
    </xf>
    <xf numFmtId="0" fontId="221" fillId="0" borderId="1" xfId="0" applyFont="1" applyBorder="1" applyAlignment="1">
      <alignment horizontal="center" vertical="center"/>
    </xf>
    <xf numFmtId="9" fontId="35" fillId="0" borderId="1" xfId="16" applyFont="1" applyFill="1" applyBorder="1" applyAlignment="1">
      <alignment horizontal="center" vertical="center"/>
    </xf>
    <xf numFmtId="0" fontId="222" fillId="0" borderId="1" xfId="0" applyFont="1" applyBorder="1" applyAlignment="1">
      <alignment horizontal="center" vertical="center"/>
    </xf>
    <xf numFmtId="0" fontId="207" fillId="0" borderId="1" xfId="0" applyFont="1" applyBorder="1" applyAlignment="1">
      <alignment horizontal="center" vertical="center" wrapText="1"/>
    </xf>
    <xf numFmtId="270" fontId="6" fillId="0" borderId="1" xfId="0" applyNumberFormat="1" applyFont="1" applyBorder="1" applyAlignment="1">
      <alignment horizontal="center" vertical="center"/>
    </xf>
    <xf numFmtId="0" fontId="207" fillId="0" borderId="0" xfId="0" applyFont="1">
      <alignment vertical="center"/>
    </xf>
    <xf numFmtId="0" fontId="6" fillId="0" borderId="4" xfId="0" applyFont="1" applyBorder="1">
      <alignment vertical="center"/>
    </xf>
    <xf numFmtId="0" fontId="93" fillId="0" borderId="5" xfId="0" applyFont="1" applyBorder="1" applyAlignment="1">
      <alignment horizontal="center" vertical="center"/>
    </xf>
    <xf numFmtId="0" fontId="6" fillId="0" borderId="6" xfId="0" applyFont="1" applyBorder="1">
      <alignment vertical="center"/>
    </xf>
    <xf numFmtId="0" fontId="93" fillId="0" borderId="6" xfId="0" applyFont="1" applyBorder="1">
      <alignment vertical="center"/>
    </xf>
    <xf numFmtId="0" fontId="237" fillId="0" borderId="0" xfId="0" applyFont="1" applyAlignment="1">
      <alignment horizontal="justify" vertical="center"/>
    </xf>
    <xf numFmtId="0" fontId="93" fillId="0" borderId="7" xfId="0" applyFont="1" applyBorder="1" applyAlignment="1">
      <alignment horizontal="center" vertical="center" wrapText="1"/>
    </xf>
    <xf numFmtId="0" fontId="93" fillId="0" borderId="6" xfId="0" applyFont="1" applyBorder="1" applyAlignment="1">
      <alignment vertical="center" wrapText="1"/>
    </xf>
    <xf numFmtId="0" fontId="93" fillId="0" borderId="0" xfId="0" applyFont="1" applyAlignment="1">
      <alignment horizontal="center" vertical="center"/>
    </xf>
    <xf numFmtId="0" fontId="151" fillId="0" borderId="0" xfId="0" applyFont="1">
      <alignment vertical="center"/>
    </xf>
    <xf numFmtId="0" fontId="57" fillId="0" borderId="0" xfId="0" applyFont="1" applyAlignment="1"/>
    <xf numFmtId="0" fontId="239" fillId="0" borderId="161" xfId="0" applyFont="1" applyBorder="1">
      <alignment vertical="center"/>
    </xf>
    <xf numFmtId="0" fontId="240" fillId="0" borderId="161" xfId="0" applyFont="1" applyBorder="1">
      <alignment vertical="center"/>
    </xf>
    <xf numFmtId="0" fontId="241" fillId="0" borderId="161" xfId="0" applyFont="1" applyBorder="1">
      <alignment vertical="center"/>
    </xf>
    <xf numFmtId="0" fontId="112" fillId="0" borderId="0" xfId="0" applyFont="1" applyAlignment="1">
      <alignment horizontal="center" vertical="center"/>
    </xf>
    <xf numFmtId="0" fontId="112" fillId="0" borderId="0" xfId="0" quotePrefix="1" applyFont="1" applyAlignment="1">
      <alignment horizontal="center" vertical="center"/>
    </xf>
    <xf numFmtId="236" fontId="95" fillId="5" borderId="161" xfId="0" applyNumberFormat="1" applyFont="1" applyFill="1" applyBorder="1" applyAlignment="1">
      <alignment horizontal="center" vertical="center" wrapText="1"/>
    </xf>
    <xf numFmtId="10" fontId="242" fillId="5" borderId="161" xfId="16" applyNumberFormat="1" applyFont="1" applyFill="1" applyBorder="1">
      <alignment vertical="center"/>
    </xf>
    <xf numFmtId="207" fontId="242" fillId="5" borderId="161" xfId="0" applyNumberFormat="1" applyFont="1" applyFill="1" applyBorder="1" applyAlignment="1">
      <alignment horizontal="center" vertical="center"/>
    </xf>
    <xf numFmtId="0" fontId="241" fillId="0" borderId="0" xfId="0" applyFont="1" applyAlignment="1">
      <alignment horizontal="center" vertical="center"/>
    </xf>
    <xf numFmtId="236" fontId="95" fillId="5" borderId="0" xfId="0" applyNumberFormat="1" applyFont="1" applyFill="1" applyAlignment="1">
      <alignment horizontal="center" vertical="center" wrapText="1"/>
    </xf>
    <xf numFmtId="10" fontId="242" fillId="5" borderId="0" xfId="16" applyNumberFormat="1" applyFont="1" applyFill="1" applyBorder="1">
      <alignment vertical="center"/>
    </xf>
    <xf numFmtId="207" fontId="242" fillId="5" borderId="0" xfId="0" applyNumberFormat="1" applyFont="1" applyFill="1" applyAlignment="1">
      <alignment horizontal="center" vertical="center"/>
    </xf>
    <xf numFmtId="236" fontId="15" fillId="0" borderId="1" xfId="0" applyNumberFormat="1" applyFont="1" applyBorder="1" applyAlignment="1">
      <alignment horizontal="center" vertical="center" wrapText="1"/>
    </xf>
    <xf numFmtId="0" fontId="223" fillId="0" borderId="1" xfId="0" applyFont="1" applyBorder="1" applyAlignment="1">
      <alignment horizontal="center" vertical="center"/>
    </xf>
    <xf numFmtId="0" fontId="193" fillId="0" borderId="1" xfId="0" applyFont="1" applyBorder="1" applyAlignment="1">
      <alignment horizontal="center" vertical="center"/>
    </xf>
    <xf numFmtId="207" fontId="193" fillId="0" borderId="1" xfId="6" applyFont="1" applyFill="1" applyBorder="1" applyAlignment="1">
      <alignment horizontal="center" vertical="center"/>
    </xf>
    <xf numFmtId="0" fontId="243" fillId="0" borderId="161" xfId="0" applyFont="1" applyBorder="1" applyAlignment="1">
      <alignment horizontal="center" vertical="center" wrapText="1"/>
    </xf>
    <xf numFmtId="0" fontId="247" fillId="5" borderId="161" xfId="0" applyFont="1" applyFill="1" applyBorder="1" applyAlignment="1">
      <alignment horizontal="center" vertical="center"/>
    </xf>
    <xf numFmtId="6" fontId="248" fillId="0" borderId="161" xfId="0" applyNumberFormat="1" applyFont="1" applyBorder="1" applyAlignment="1">
      <alignment horizontal="center" vertical="center" wrapText="1"/>
    </xf>
    <xf numFmtId="0" fontId="182" fillId="0" borderId="161" xfId="0" applyFont="1" applyBorder="1" applyAlignment="1">
      <alignment horizontal="center" vertical="center" wrapText="1"/>
    </xf>
    <xf numFmtId="0" fontId="249" fillId="0" borderId="161" xfId="0" applyFont="1" applyBorder="1" applyAlignment="1">
      <alignment horizontal="center" vertical="center" wrapText="1"/>
    </xf>
    <xf numFmtId="0" fontId="102" fillId="0" borderId="161" xfId="0" applyFont="1" applyBorder="1" applyAlignment="1">
      <alignment horizontal="center" vertical="center" wrapText="1"/>
    </xf>
    <xf numFmtId="0" fontId="35" fillId="0" borderId="161" xfId="0" applyFont="1" applyBorder="1" applyAlignment="1">
      <alignment horizontal="center" vertical="center" wrapText="1"/>
    </xf>
    <xf numFmtId="236" fontId="102" fillId="0" borderId="161" xfId="0" applyNumberFormat="1" applyFont="1" applyBorder="1" applyAlignment="1">
      <alignment horizontal="center" vertical="center" wrapText="1"/>
    </xf>
    <xf numFmtId="0" fontId="112" fillId="0" borderId="161" xfId="0" applyFont="1" applyBorder="1" applyAlignment="1">
      <alignment horizontal="center" vertical="center"/>
    </xf>
    <xf numFmtId="0" fontId="112" fillId="0" borderId="161" xfId="0" quotePrefix="1" applyFont="1" applyBorder="1" applyAlignment="1">
      <alignment horizontal="center" vertical="center"/>
    </xf>
    <xf numFmtId="237" fontId="35" fillId="0" borderId="1" xfId="0" applyNumberFormat="1" applyFont="1" applyBorder="1" applyAlignment="1">
      <alignment horizontal="right" vertical="center"/>
    </xf>
    <xf numFmtId="0" fontId="250" fillId="0" borderId="0" xfId="0" applyFont="1" applyAlignment="1">
      <alignment horizontal="left" vertical="center"/>
    </xf>
    <xf numFmtId="0" fontId="29" fillId="0" borderId="0" xfId="0" applyFont="1" applyAlignment="1">
      <alignment horizontal="left" vertical="center"/>
    </xf>
    <xf numFmtId="189" fontId="6" fillId="0" borderId="1" xfId="0" applyNumberFormat="1" applyFont="1" applyBorder="1">
      <alignment vertical="center"/>
    </xf>
    <xf numFmtId="0" fontId="251" fillId="0" borderId="1" xfId="0" applyFont="1" applyBorder="1" applyAlignment="1">
      <alignment horizontal="center" vertical="center"/>
    </xf>
    <xf numFmtId="189" fontId="6" fillId="0" borderId="1" xfId="0" applyNumberFormat="1" applyFont="1" applyBorder="1" applyAlignment="1">
      <alignment horizontal="center" vertical="center"/>
    </xf>
    <xf numFmtId="184" fontId="6" fillId="0" borderId="1" xfId="0" applyNumberFormat="1" applyFont="1" applyBorder="1" applyAlignment="1">
      <alignment horizontal="center" vertical="center"/>
    </xf>
    <xf numFmtId="0" fontId="252" fillId="0" borderId="1" xfId="0" applyFont="1" applyBorder="1" applyAlignment="1">
      <alignment horizontal="center" vertical="center"/>
    </xf>
    <xf numFmtId="0" fontId="193" fillId="0" borderId="1" xfId="0" applyFont="1" applyBorder="1">
      <alignment vertical="center"/>
    </xf>
    <xf numFmtId="0" fontId="253" fillId="0" borderId="1" xfId="0" applyFont="1" applyBorder="1" applyAlignment="1">
      <alignment horizontal="center" vertical="center"/>
    </xf>
    <xf numFmtId="0" fontId="116" fillId="0" borderId="1" xfId="0" applyFont="1" applyBorder="1" applyAlignment="1">
      <alignment horizontal="center" vertical="center"/>
    </xf>
    <xf numFmtId="238" fontId="84" fillId="0" borderId="1" xfId="0" applyNumberFormat="1" applyFont="1" applyBorder="1">
      <alignment vertical="center"/>
    </xf>
    <xf numFmtId="271" fontId="248" fillId="0" borderId="161" xfId="0" applyNumberFormat="1" applyFont="1" applyBorder="1" applyAlignment="1">
      <alignment horizontal="center" vertical="center" wrapText="1"/>
    </xf>
    <xf numFmtId="0" fontId="254" fillId="0" borderId="1" xfId="0" applyFont="1" applyBorder="1" applyAlignment="1">
      <alignment horizontal="center" vertical="center"/>
    </xf>
    <xf numFmtId="272" fontId="6" fillId="0" borderId="1" xfId="0" applyNumberFormat="1" applyFont="1" applyBorder="1" applyAlignment="1">
      <alignment horizontal="center" vertical="center"/>
    </xf>
    <xf numFmtId="0" fontId="255" fillId="5" borderId="161" xfId="0" applyFont="1" applyFill="1" applyBorder="1" applyAlignment="1">
      <alignment horizontal="center" vertical="center"/>
    </xf>
    <xf numFmtId="10" fontId="116" fillId="0" borderId="161" xfId="16" applyNumberFormat="1" applyFont="1" applyFill="1" applyBorder="1">
      <alignment vertical="center"/>
    </xf>
    <xf numFmtId="273" fontId="116" fillId="0" borderId="161" xfId="0" applyNumberFormat="1" applyFont="1" applyBorder="1" applyAlignment="1">
      <alignment horizontal="center" vertical="center"/>
    </xf>
    <xf numFmtId="238" fontId="227" fillId="0" borderId="1" xfId="0" applyNumberFormat="1" applyFont="1" applyBorder="1" applyAlignment="1">
      <alignment horizontal="center" vertical="center"/>
    </xf>
    <xf numFmtId="236" fontId="256" fillId="0" borderId="1" xfId="0" applyNumberFormat="1" applyFont="1" applyBorder="1" applyAlignment="1">
      <alignment horizontal="right" vertical="center"/>
    </xf>
    <xf numFmtId="207" fontId="257" fillId="0" borderId="1" xfId="6" applyFont="1" applyFill="1" applyBorder="1" applyAlignment="1">
      <alignment horizontal="center" vertical="center"/>
    </xf>
    <xf numFmtId="248" fontId="7" fillId="0" borderId="1" xfId="0" applyNumberFormat="1" applyFont="1" applyBorder="1" applyAlignment="1">
      <alignment horizontal="right" vertical="center"/>
    </xf>
    <xf numFmtId="207" fontId="258" fillId="0" borderId="1" xfId="6" applyFont="1" applyFill="1" applyBorder="1" applyAlignment="1">
      <alignment horizontal="center" vertical="center"/>
    </xf>
    <xf numFmtId="207" fontId="31" fillId="0" borderId="1" xfId="6" applyFont="1" applyFill="1" applyBorder="1" applyAlignment="1">
      <alignment horizontal="center" vertical="center"/>
    </xf>
    <xf numFmtId="0" fontId="0" fillId="0" borderId="29" xfId="0" applyBorder="1">
      <alignment vertical="center"/>
    </xf>
    <xf numFmtId="248" fontId="7" fillId="0" borderId="29" xfId="0" applyNumberFormat="1" applyFont="1" applyBorder="1" applyAlignment="1">
      <alignment horizontal="right" vertical="center"/>
    </xf>
    <xf numFmtId="248" fontId="77" fillId="0" borderId="1" xfId="0" applyNumberFormat="1" applyFont="1" applyBorder="1" applyAlignment="1">
      <alignment horizontal="right" vertical="center"/>
    </xf>
    <xf numFmtId="248" fontId="76" fillId="0" borderId="1" xfId="0" applyNumberFormat="1" applyFont="1" applyBorder="1" applyAlignment="1">
      <alignment horizontal="right" vertical="center"/>
    </xf>
    <xf numFmtId="248" fontId="259" fillId="0" borderId="1" xfId="0" applyNumberFormat="1" applyFont="1" applyBorder="1" applyAlignment="1">
      <alignment horizontal="right" vertical="center"/>
    </xf>
    <xf numFmtId="263" fontId="0" fillId="0" borderId="1" xfId="16" applyNumberFormat="1" applyFont="1" applyBorder="1">
      <alignment vertical="center"/>
    </xf>
    <xf numFmtId="248" fontId="260" fillId="0" borderId="1" xfId="0" applyNumberFormat="1" applyFont="1" applyBorder="1">
      <alignment vertical="center"/>
    </xf>
    <xf numFmtId="241" fontId="7" fillId="0" borderId="1" xfId="0" applyNumberFormat="1" applyFont="1" applyBorder="1">
      <alignment vertical="center"/>
    </xf>
    <xf numFmtId="248" fontId="262" fillId="0" borderId="1" xfId="0" applyNumberFormat="1" applyFont="1" applyBorder="1" applyAlignment="1">
      <alignment horizontal="right" vertical="center"/>
    </xf>
    <xf numFmtId="207" fontId="258" fillId="0" borderId="9" xfId="6" applyFont="1" applyFill="1" applyBorder="1" applyAlignment="1">
      <alignment horizontal="center" vertical="center" wrapText="1"/>
    </xf>
    <xf numFmtId="248" fontId="262" fillId="0" borderId="9" xfId="0" applyNumberFormat="1" applyFont="1" applyBorder="1" applyAlignment="1">
      <alignment horizontal="right" vertical="center"/>
    </xf>
    <xf numFmtId="207" fontId="31" fillId="0" borderId="10" xfId="6" applyFont="1" applyFill="1" applyBorder="1" applyAlignment="1">
      <alignment horizontal="center" vertical="center"/>
    </xf>
    <xf numFmtId="263" fontId="0" fillId="0" borderId="10" xfId="16" applyNumberFormat="1" applyFont="1" applyBorder="1">
      <alignment vertical="center"/>
    </xf>
    <xf numFmtId="207" fontId="31" fillId="0" borderId="162" xfId="6" applyFont="1" applyFill="1" applyBorder="1" applyAlignment="1">
      <alignment horizontal="center" vertical="center"/>
    </xf>
    <xf numFmtId="248" fontId="260" fillId="0" borderId="163" xfId="0" applyNumberFormat="1" applyFont="1" applyBorder="1">
      <alignment vertical="center"/>
    </xf>
    <xf numFmtId="248" fontId="260" fillId="0" borderId="164" xfId="0" applyNumberFormat="1" applyFont="1" applyBorder="1">
      <alignment vertical="center"/>
    </xf>
    <xf numFmtId="207" fontId="31" fillId="0" borderId="165" xfId="6" applyFont="1" applyFill="1" applyBorder="1" applyAlignment="1">
      <alignment horizontal="center" vertical="center"/>
    </xf>
    <xf numFmtId="207" fontId="31" fillId="0" borderId="158" xfId="6" applyFont="1" applyFill="1" applyBorder="1" applyAlignment="1">
      <alignment horizontal="center" vertical="center"/>
    </xf>
    <xf numFmtId="248" fontId="261" fillId="0" borderId="166" xfId="0" applyNumberFormat="1" applyFont="1" applyBorder="1" applyAlignment="1">
      <alignment horizontal="right" vertical="center"/>
    </xf>
    <xf numFmtId="248" fontId="259" fillId="0" borderId="163" xfId="0" applyNumberFormat="1" applyFont="1" applyBorder="1" applyAlignment="1">
      <alignment horizontal="right" vertical="center"/>
    </xf>
    <xf numFmtId="248" fontId="261" fillId="0" borderId="167" xfId="0" applyNumberFormat="1" applyFont="1" applyBorder="1" applyAlignment="1">
      <alignment horizontal="right" vertical="center"/>
    </xf>
    <xf numFmtId="248" fontId="262" fillId="0" borderId="159" xfId="0" applyNumberFormat="1" applyFont="1" applyBorder="1" applyAlignment="1">
      <alignment horizontal="right" vertical="center"/>
    </xf>
    <xf numFmtId="248" fontId="259" fillId="0" borderId="164" xfId="0" applyNumberFormat="1" applyFont="1" applyBorder="1" applyAlignment="1">
      <alignment horizontal="right" vertical="center"/>
    </xf>
    <xf numFmtId="248" fontId="264" fillId="3" borderId="0" xfId="0" applyNumberFormat="1" applyFont="1" applyFill="1">
      <alignment vertical="center"/>
    </xf>
    <xf numFmtId="248" fontId="19" fillId="3" borderId="0" xfId="0" applyNumberFormat="1" applyFont="1" applyFill="1">
      <alignment vertical="center"/>
    </xf>
    <xf numFmtId="263" fontId="0" fillId="0" borderId="10" xfId="16" applyNumberFormat="1" applyFont="1" applyFill="1" applyBorder="1">
      <alignment vertical="center"/>
    </xf>
    <xf numFmtId="38" fontId="29" fillId="0" borderId="1" xfId="20" applyFont="1" applyBorder="1">
      <alignment vertical="center"/>
    </xf>
    <xf numFmtId="237" fontId="193" fillId="0" borderId="1" xfId="0" applyNumberFormat="1" applyFont="1" applyBorder="1" applyAlignment="1">
      <alignment horizontal="center" vertical="center"/>
    </xf>
    <xf numFmtId="0" fontId="71" fillId="4" borderId="1" xfId="0" applyFont="1" applyFill="1" applyBorder="1" applyAlignment="1">
      <alignment horizontal="left" vertical="center"/>
    </xf>
    <xf numFmtId="38" fontId="7" fillId="4" borderId="0" xfId="23" applyFont="1" applyFill="1" applyBorder="1">
      <alignment vertical="center"/>
    </xf>
    <xf numFmtId="263" fontId="223" fillId="4" borderId="0" xfId="16" applyNumberFormat="1" applyFont="1" applyFill="1">
      <alignment vertical="center"/>
    </xf>
    <xf numFmtId="179" fontId="251" fillId="0" borderId="1" xfId="0" applyNumberFormat="1" applyFont="1" applyBorder="1" applyAlignment="1">
      <alignment horizontal="center" vertical="center" wrapText="1"/>
    </xf>
    <xf numFmtId="0" fontId="6" fillId="7" borderId="1" xfId="0" applyFont="1" applyFill="1" applyBorder="1" applyAlignment="1">
      <alignment horizontal="center" vertical="center"/>
    </xf>
    <xf numFmtId="176" fontId="6" fillId="7" borderId="1" xfId="0" applyNumberFormat="1" applyFont="1" applyFill="1" applyBorder="1" applyAlignment="1">
      <alignment horizontal="center" vertical="center"/>
    </xf>
    <xf numFmtId="185" fontId="6" fillId="7" borderId="1" xfId="0" applyNumberFormat="1" applyFont="1" applyFill="1" applyBorder="1" applyAlignment="1">
      <alignment horizontal="right" vertical="center"/>
    </xf>
    <xf numFmtId="194" fontId="6" fillId="7" borderId="1" xfId="0" applyNumberFormat="1" applyFont="1" applyFill="1" applyBorder="1">
      <alignment vertical="center"/>
    </xf>
    <xf numFmtId="193" fontId="6" fillId="7" borderId="1" xfId="0" applyNumberFormat="1" applyFont="1" applyFill="1" applyBorder="1">
      <alignment vertical="center"/>
    </xf>
    <xf numFmtId="238" fontId="6" fillId="7" borderId="1" xfId="0" applyNumberFormat="1" applyFont="1" applyFill="1" applyBorder="1">
      <alignment vertical="center"/>
    </xf>
    <xf numFmtId="49" fontId="6" fillId="7" borderId="1" xfId="0" applyNumberFormat="1" applyFont="1" applyFill="1" applyBorder="1" applyAlignment="1">
      <alignment horizontal="left" vertical="center"/>
    </xf>
    <xf numFmtId="188" fontId="6" fillId="0" borderId="1" xfId="0" applyNumberFormat="1" applyFont="1" applyBorder="1" applyAlignment="1">
      <alignment horizontal="right"/>
    </xf>
    <xf numFmtId="0" fontId="6" fillId="21" borderId="1" xfId="0" applyFont="1" applyFill="1" applyBorder="1" applyAlignment="1">
      <alignment horizontal="center" vertical="center"/>
    </xf>
    <xf numFmtId="0" fontId="6" fillId="22" borderId="1" xfId="0" applyFont="1" applyFill="1" applyBorder="1" applyAlignment="1">
      <alignment horizontal="center" vertical="center"/>
    </xf>
    <xf numFmtId="237" fontId="6" fillId="0" borderId="1" xfId="0" applyNumberFormat="1" applyFont="1" applyBorder="1" applyAlignment="1">
      <alignment horizontal="right" vertical="center"/>
    </xf>
    <xf numFmtId="0" fontId="265" fillId="0" borderId="1" xfId="0" applyFont="1" applyBorder="1" applyAlignment="1">
      <alignment horizontal="center" vertical="center"/>
    </xf>
    <xf numFmtId="198" fontId="6" fillId="0" borderId="1" xfId="0" applyNumberFormat="1" applyFont="1" applyBorder="1">
      <alignment vertical="center"/>
    </xf>
    <xf numFmtId="262" fontId="35" fillId="0" borderId="1" xfId="0" applyNumberFormat="1" applyFont="1" applyBorder="1" applyAlignment="1">
      <alignment horizontal="center" vertical="center"/>
    </xf>
    <xf numFmtId="260" fontId="35" fillId="0" borderId="1" xfId="0" applyNumberFormat="1" applyFont="1" applyBorder="1" applyAlignment="1">
      <alignment horizontal="center" vertical="center"/>
    </xf>
    <xf numFmtId="38" fontId="76" fillId="0" borderId="0" xfId="23" applyFont="1" applyBorder="1">
      <alignment vertical="center"/>
    </xf>
    <xf numFmtId="0" fontId="35" fillId="0" borderId="0" xfId="0" applyFont="1" applyAlignment="1">
      <alignment vertical="top"/>
    </xf>
    <xf numFmtId="260" fontId="35" fillId="0" borderId="10" xfId="0" applyNumberFormat="1" applyFont="1" applyBorder="1" applyAlignment="1">
      <alignment horizontal="center" vertical="center"/>
    </xf>
    <xf numFmtId="3" fontId="76" fillId="7" borderId="0" xfId="0" applyNumberFormat="1" applyFont="1" applyFill="1" applyAlignment="1">
      <alignment horizontal="right" vertical="center"/>
    </xf>
    <xf numFmtId="192" fontId="266" fillId="0" borderId="1" xfId="0" applyNumberFormat="1" applyFont="1" applyBorder="1" applyAlignment="1">
      <alignment horizontal="center" vertical="center"/>
    </xf>
    <xf numFmtId="192" fontId="266" fillId="7" borderId="1" xfId="0" applyNumberFormat="1" applyFont="1" applyFill="1" applyBorder="1" applyAlignment="1">
      <alignment horizontal="center" vertical="center"/>
    </xf>
    <xf numFmtId="248" fontId="0" fillId="0" borderId="1" xfId="0" applyNumberFormat="1" applyBorder="1">
      <alignment vertical="center"/>
    </xf>
    <xf numFmtId="248" fontId="263" fillId="0" borderId="1" xfId="0" applyNumberFormat="1" applyFont="1" applyBorder="1">
      <alignment vertical="center"/>
    </xf>
    <xf numFmtId="248" fontId="19" fillId="0" borderId="1" xfId="0" applyNumberFormat="1" applyFont="1" applyBorder="1">
      <alignment vertical="center"/>
    </xf>
    <xf numFmtId="0" fontId="268" fillId="0" borderId="1" xfId="0" applyFont="1" applyBorder="1" applyAlignment="1">
      <alignment horizontal="center" vertical="center"/>
    </xf>
    <xf numFmtId="248" fontId="221" fillId="0" borderId="1" xfId="0" applyNumberFormat="1" applyFont="1" applyBorder="1">
      <alignment vertical="center"/>
    </xf>
    <xf numFmtId="0" fontId="267" fillId="0" borderId="1" xfId="0" applyFont="1" applyBorder="1" applyAlignment="1">
      <alignment horizontal="center" vertical="center"/>
    </xf>
    <xf numFmtId="192" fontId="268" fillId="0" borderId="1" xfId="0" applyNumberFormat="1" applyFont="1" applyBorder="1" applyAlignment="1">
      <alignment horizontal="center" vertical="center"/>
    </xf>
    <xf numFmtId="0" fontId="269" fillId="0" borderId="1" xfId="0" applyFont="1" applyBorder="1" applyAlignment="1">
      <alignment horizontal="center" vertical="center"/>
    </xf>
    <xf numFmtId="178" fontId="76" fillId="0" borderId="1" xfId="0" applyNumberFormat="1" applyFont="1" applyBorder="1" applyAlignment="1">
      <alignment horizontal="right" vertical="center"/>
    </xf>
    <xf numFmtId="186" fontId="6" fillId="0" borderId="10" xfId="0" applyNumberFormat="1" applyFont="1" applyBorder="1">
      <alignment vertical="center"/>
    </xf>
    <xf numFmtId="238" fontId="106" fillId="0" borderId="1" xfId="0" applyNumberFormat="1" applyFont="1" applyBorder="1" applyAlignment="1">
      <alignment horizontal="center" vertical="center"/>
    </xf>
    <xf numFmtId="0" fontId="75" fillId="7" borderId="0" xfId="0" applyFont="1" applyFill="1">
      <alignment vertical="center"/>
    </xf>
    <xf numFmtId="0" fontId="6" fillId="0" borderId="0" xfId="0" applyFont="1" applyAlignment="1">
      <alignment horizontal="left" vertical="center"/>
    </xf>
    <xf numFmtId="217" fontId="35" fillId="0" borderId="0" xfId="0" applyNumberFormat="1" applyFont="1" applyAlignment="1">
      <alignment horizontal="left" vertical="center"/>
    </xf>
    <xf numFmtId="0" fontId="205" fillId="0" borderId="1" xfId="0" applyFont="1" applyBorder="1" applyAlignment="1">
      <alignment horizontal="center" vertical="center"/>
    </xf>
    <xf numFmtId="0" fontId="270" fillId="0" borderId="1" xfId="10" applyFont="1" applyBorder="1" applyAlignment="1">
      <alignment horizontal="center" vertical="center" wrapText="1"/>
    </xf>
    <xf numFmtId="49" fontId="7" fillId="0" borderId="0" xfId="0" applyNumberFormat="1" applyFont="1" applyAlignment="1">
      <alignment horizontal="left" vertical="center"/>
    </xf>
    <xf numFmtId="186" fontId="67" fillId="0" borderId="0" xfId="0" applyNumberFormat="1" applyFont="1" applyAlignment="1">
      <alignment horizontal="center" vertical="center"/>
    </xf>
    <xf numFmtId="195" fontId="7" fillId="0" borderId="0" xfId="0" applyNumberFormat="1" applyFont="1">
      <alignment vertical="center"/>
    </xf>
    <xf numFmtId="0" fontId="10" fillId="0" borderId="17" xfId="0" applyFont="1" applyBorder="1" applyAlignment="1">
      <alignment horizontal="center" vertical="center"/>
    </xf>
    <xf numFmtId="186" fontId="271" fillId="0" borderId="156" xfId="0" applyNumberFormat="1" applyFont="1" applyBorder="1" applyAlignment="1">
      <alignment horizontal="center" vertical="center"/>
    </xf>
    <xf numFmtId="0" fontId="5" fillId="7" borderId="0" xfId="0" applyFont="1" applyFill="1" applyAlignment="1">
      <alignment horizontal="center" vertical="center"/>
    </xf>
    <xf numFmtId="176" fontId="15" fillId="7" borderId="1" xfId="0" applyNumberFormat="1" applyFont="1" applyFill="1" applyBorder="1" applyAlignment="1">
      <alignment horizontal="center" vertical="center"/>
    </xf>
    <xf numFmtId="191" fontId="7" fillId="7" borderId="1" xfId="0" applyNumberFormat="1" applyFont="1" applyFill="1" applyBorder="1">
      <alignment vertical="center"/>
    </xf>
    <xf numFmtId="191" fontId="67" fillId="7" borderId="9" xfId="0" applyNumberFormat="1" applyFont="1" applyFill="1" applyBorder="1">
      <alignment vertical="center"/>
    </xf>
    <xf numFmtId="0" fontId="7" fillId="7" borderId="17" xfId="0" applyFont="1" applyFill="1" applyBorder="1" applyAlignment="1">
      <alignment horizontal="center" vertical="center"/>
    </xf>
    <xf numFmtId="191" fontId="67" fillId="7" borderId="168" xfId="0" applyNumberFormat="1" applyFont="1" applyFill="1" applyBorder="1">
      <alignment vertical="center"/>
    </xf>
    <xf numFmtId="217" fontId="35" fillId="0" borderId="0" xfId="0" applyNumberFormat="1" applyFont="1" applyAlignment="1">
      <alignment horizontal="center" vertical="center"/>
    </xf>
    <xf numFmtId="0" fontId="205" fillId="0" borderId="0" xfId="0" applyFont="1" applyAlignment="1">
      <alignment horizontal="center" vertical="center"/>
    </xf>
    <xf numFmtId="214" fontId="51" fillId="0" borderId="1" xfId="0" applyNumberFormat="1" applyFont="1" applyBorder="1" applyAlignment="1">
      <alignment horizontal="center" vertical="center" wrapText="1"/>
    </xf>
    <xf numFmtId="274" fontId="35" fillId="0" borderId="0" xfId="0" applyNumberFormat="1" applyFont="1" applyAlignment="1"/>
    <xf numFmtId="186" fontId="67" fillId="0" borderId="9" xfId="0" applyNumberFormat="1" applyFont="1" applyBorder="1">
      <alignment vertical="center"/>
    </xf>
    <xf numFmtId="0" fontId="7" fillId="0" borderId="17" xfId="0" applyFont="1" applyBorder="1">
      <alignment vertical="center"/>
    </xf>
    <xf numFmtId="186" fontId="67" fillId="0" borderId="168" xfId="0" applyNumberFormat="1" applyFont="1" applyBorder="1">
      <alignment vertical="center"/>
    </xf>
    <xf numFmtId="248" fontId="110" fillId="0" borderId="1" xfId="0" applyNumberFormat="1" applyFont="1" applyBorder="1" applyAlignment="1">
      <alignment horizontal="right" vertical="center"/>
    </xf>
    <xf numFmtId="248" fontId="7" fillId="0" borderId="1" xfId="0" applyNumberFormat="1" applyFont="1" applyBorder="1">
      <alignment vertical="center"/>
    </xf>
    <xf numFmtId="194" fontId="76" fillId="7" borderId="1" xfId="0" applyNumberFormat="1" applyFont="1" applyFill="1" applyBorder="1">
      <alignment vertical="center"/>
    </xf>
    <xf numFmtId="193" fontId="76" fillId="7" borderId="1" xfId="0" applyNumberFormat="1" applyFont="1" applyFill="1" applyBorder="1">
      <alignment vertical="center"/>
    </xf>
    <xf numFmtId="248" fontId="35" fillId="0" borderId="1" xfId="0" applyNumberFormat="1" applyFont="1" applyBorder="1" applyAlignment="1">
      <alignment horizontal="right" vertical="center"/>
    </xf>
    <xf numFmtId="275" fontId="6" fillId="0" borderId="1" xfId="0" applyNumberFormat="1" applyFont="1" applyBorder="1">
      <alignment vertical="center"/>
    </xf>
    <xf numFmtId="248" fontId="110" fillId="7" borderId="1" xfId="0" applyNumberFormat="1" applyFont="1" applyFill="1" applyBorder="1" applyAlignment="1">
      <alignment horizontal="right" vertical="center"/>
    </xf>
    <xf numFmtId="238" fontId="6" fillId="0" borderId="1" xfId="0" applyNumberFormat="1" applyFont="1" applyBorder="1" applyAlignment="1">
      <alignment horizontal="right" vertical="center"/>
    </xf>
    <xf numFmtId="0" fontId="35" fillId="0" borderId="1" xfId="0" applyFont="1" applyBorder="1" applyAlignment="1">
      <alignment horizontal="center" vertical="center" wrapText="1"/>
    </xf>
    <xf numFmtId="3" fontId="212" fillId="0" borderId="0" xfId="0" applyNumberFormat="1" applyFont="1">
      <alignment vertical="center"/>
    </xf>
    <xf numFmtId="238" fontId="35" fillId="0" borderId="1" xfId="0" applyNumberFormat="1" applyFont="1" applyBorder="1" applyAlignment="1">
      <alignment horizontal="right" vertical="center"/>
    </xf>
    <xf numFmtId="208" fontId="35" fillId="0" borderId="1" xfId="0" applyNumberFormat="1" applyFont="1" applyBorder="1" applyAlignment="1">
      <alignment horizontal="center" vertical="center"/>
    </xf>
    <xf numFmtId="0" fontId="6" fillId="0" borderId="0" xfId="0" applyFont="1" applyAlignment="1">
      <alignment horizontal="justify" vertical="center"/>
    </xf>
    <xf numFmtId="0" fontId="263" fillId="0" borderId="0" xfId="0" applyFont="1">
      <alignment vertical="center"/>
    </xf>
    <xf numFmtId="201" fontId="15" fillId="0" borderId="1" xfId="0" applyNumberFormat="1" applyFont="1" applyBorder="1" applyAlignment="1">
      <alignment horizontal="center" vertical="center"/>
    </xf>
    <xf numFmtId="0" fontId="19" fillId="0" borderId="3" xfId="0" applyFont="1" applyBorder="1" applyAlignment="1">
      <alignment horizontal="center" vertical="center"/>
    </xf>
    <xf numFmtId="237" fontId="66" fillId="0" borderId="1" xfId="0" applyNumberFormat="1" applyFont="1" applyBorder="1" applyAlignment="1">
      <alignment horizontal="center" vertical="center"/>
    </xf>
    <xf numFmtId="192" fontId="274" fillId="0" borderId="1" xfId="0" applyNumberFormat="1" applyFont="1" applyBorder="1" applyAlignment="1">
      <alignment horizontal="center" vertical="center"/>
    </xf>
    <xf numFmtId="188" fontId="6" fillId="0" borderId="1" xfId="0" applyNumberFormat="1" applyFont="1" applyBorder="1" applyAlignment="1"/>
    <xf numFmtId="237" fontId="106" fillId="0" borderId="1" xfId="0" applyNumberFormat="1" applyFont="1" applyBorder="1" applyAlignment="1">
      <alignment horizontal="right" vertical="center"/>
    </xf>
    <xf numFmtId="0" fontId="67" fillId="0" borderId="0" xfId="0" applyFont="1" applyAlignment="1">
      <alignment horizontal="right" vertical="center"/>
    </xf>
    <xf numFmtId="179" fontId="70" fillId="0" borderId="1" xfId="0" applyNumberFormat="1" applyFont="1" applyBorder="1" applyAlignment="1">
      <alignment horizontal="center" vertical="center" wrapText="1"/>
    </xf>
    <xf numFmtId="0" fontId="67" fillId="0" borderId="1" xfId="0" applyFont="1" applyBorder="1" applyAlignment="1">
      <alignment horizontal="center" vertical="center"/>
    </xf>
    <xf numFmtId="0" fontId="275" fillId="23" borderId="174" xfId="0" applyFont="1" applyFill="1" applyBorder="1">
      <alignment vertical="center"/>
    </xf>
    <xf numFmtId="0" fontId="277" fillId="0" borderId="0" xfId="0" applyFont="1">
      <alignment vertical="center"/>
    </xf>
    <xf numFmtId="0" fontId="102" fillId="24" borderId="6" xfId="0" applyFont="1" applyFill="1" applyBorder="1" applyAlignment="1">
      <alignment vertical="center" wrapText="1"/>
    </xf>
    <xf numFmtId="0" fontId="102" fillId="24" borderId="7" xfId="0" applyFont="1" applyFill="1" applyBorder="1" applyAlignment="1">
      <alignment vertical="center" wrapText="1"/>
    </xf>
    <xf numFmtId="0" fontId="102" fillId="25" borderId="6" xfId="0" applyFont="1" applyFill="1" applyBorder="1" applyAlignment="1">
      <alignment vertical="center" wrapText="1"/>
    </xf>
    <xf numFmtId="0" fontId="102" fillId="25" borderId="7" xfId="0" applyFont="1" applyFill="1" applyBorder="1" applyAlignment="1">
      <alignment vertical="center" wrapText="1"/>
    </xf>
    <xf numFmtId="0" fontId="51" fillId="0" borderId="10" xfId="10" applyFont="1" applyBorder="1" applyAlignment="1">
      <alignment horizontal="center" vertical="center" wrapText="1"/>
    </xf>
    <xf numFmtId="0" fontId="278" fillId="0" borderId="1" xfId="10" applyFont="1" applyBorder="1" applyAlignment="1">
      <alignment horizontal="center" vertical="center" wrapText="1"/>
    </xf>
    <xf numFmtId="49" fontId="193" fillId="0" borderId="1" xfId="0" applyNumberFormat="1" applyFont="1" applyBorder="1" applyAlignment="1">
      <alignment horizontal="center" vertical="center" wrapText="1"/>
    </xf>
    <xf numFmtId="9" fontId="222" fillId="0" borderId="0" xfId="16" applyFont="1">
      <alignment vertical="center"/>
    </xf>
    <xf numFmtId="49" fontId="6" fillId="0" borderId="1" xfId="0" applyNumberFormat="1" applyFont="1" applyBorder="1" applyAlignment="1">
      <alignment horizontal="center" vertical="center" wrapText="1"/>
    </xf>
    <xf numFmtId="9" fontId="222" fillId="0" borderId="1" xfId="16" applyFont="1" applyBorder="1">
      <alignment vertical="center"/>
    </xf>
    <xf numFmtId="0" fontId="281" fillId="0" borderId="0" xfId="0" applyFont="1" applyAlignment="1">
      <alignment horizontal="right" vertical="center"/>
    </xf>
    <xf numFmtId="179" fontId="109" fillId="0" borderId="1" xfId="0" applyNumberFormat="1" applyFont="1" applyBorder="1" applyAlignment="1">
      <alignment horizontal="center" vertical="center" wrapText="1"/>
    </xf>
    <xf numFmtId="276" fontId="65" fillId="0" borderId="2" xfId="0" applyNumberFormat="1" applyFont="1" applyBorder="1" applyAlignment="1">
      <alignment horizontal="center" vertical="center" shrinkToFit="1"/>
    </xf>
    <xf numFmtId="276" fontId="65" fillId="0" borderId="1" xfId="0" applyNumberFormat="1" applyFont="1" applyBorder="1" applyAlignment="1">
      <alignment horizontal="center" vertical="center" shrinkToFit="1"/>
    </xf>
    <xf numFmtId="276" fontId="65" fillId="0" borderId="18" xfId="0" applyNumberFormat="1" applyFont="1" applyBorder="1" applyAlignment="1">
      <alignment horizontal="center" vertical="center" shrinkToFit="1"/>
    </xf>
    <xf numFmtId="203" fontId="284" fillId="0" borderId="1" xfId="0" applyNumberFormat="1" applyFont="1" applyBorder="1" applyAlignment="1">
      <alignment horizontal="center"/>
    </xf>
    <xf numFmtId="213" fontId="35" fillId="0" borderId="1" xfId="0" applyNumberFormat="1" applyFont="1" applyBorder="1" applyAlignment="1">
      <alignment horizontal="center" vertical="center" wrapText="1" shrinkToFit="1"/>
    </xf>
    <xf numFmtId="213" fontId="35" fillId="0" borderId="1" xfId="0" applyNumberFormat="1" applyFont="1" applyBorder="1" applyAlignment="1">
      <alignment horizontal="center" vertical="center" shrinkToFit="1"/>
    </xf>
    <xf numFmtId="213" fontId="29" fillId="0" borderId="11" xfId="0" applyNumberFormat="1" applyFont="1" applyBorder="1" applyAlignment="1">
      <alignment horizontal="center" vertical="center" shrinkToFit="1"/>
    </xf>
    <xf numFmtId="0" fontId="282" fillId="0" borderId="0" xfId="0" applyFont="1" applyAlignment="1">
      <alignment horizontal="center" vertical="center"/>
    </xf>
    <xf numFmtId="213" fontId="29" fillId="0" borderId="1" xfId="0" applyNumberFormat="1" applyFont="1" applyBorder="1" applyAlignment="1">
      <alignment horizontal="center" vertical="center" shrinkToFit="1"/>
    </xf>
    <xf numFmtId="213" fontId="4" fillId="0" borderId="1" xfId="0" applyNumberFormat="1" applyFont="1" applyBorder="1" applyAlignment="1">
      <alignment horizontal="center" vertical="center" shrinkToFit="1"/>
    </xf>
    <xf numFmtId="213" fontId="195" fillId="0" borderId="1" xfId="0" applyNumberFormat="1" applyFont="1" applyBorder="1" applyAlignment="1">
      <alignment horizontal="center" vertical="center" wrapText="1" shrinkToFit="1"/>
    </xf>
    <xf numFmtId="213" fontId="283" fillId="0" borderId="1" xfId="0" applyNumberFormat="1" applyFont="1" applyBorder="1" applyAlignment="1">
      <alignment horizontal="center" vertical="center" shrinkToFit="1"/>
    </xf>
    <xf numFmtId="207" fontId="107" fillId="0" borderId="1" xfId="6" applyFont="1" applyFill="1" applyBorder="1" applyAlignment="1">
      <alignment horizontal="center" vertical="center"/>
    </xf>
    <xf numFmtId="213" fontId="265" fillId="0" borderId="1" xfId="0" applyNumberFormat="1" applyFont="1" applyBorder="1" applyAlignment="1">
      <alignment horizontal="center" vertical="center" wrapText="1" shrinkToFit="1"/>
    </xf>
    <xf numFmtId="213" fontId="51" fillId="0" borderId="1" xfId="0" applyNumberFormat="1" applyFont="1" applyBorder="1" applyAlignment="1">
      <alignment horizontal="center" vertical="center" shrinkToFit="1"/>
    </xf>
    <xf numFmtId="213" fontId="35" fillId="0" borderId="1" xfId="0" applyNumberFormat="1" applyFont="1" applyBorder="1" applyAlignment="1">
      <alignment horizontal="center" vertical="top" shrinkToFit="1"/>
    </xf>
    <xf numFmtId="213" fontId="35" fillId="0" borderId="1" xfId="0" applyNumberFormat="1" applyFont="1" applyBorder="1" applyAlignment="1">
      <alignment horizontal="center" shrinkToFit="1"/>
    </xf>
    <xf numFmtId="49" fontId="35" fillId="0" borderId="0" xfId="0" applyNumberFormat="1" applyFont="1" applyAlignment="1">
      <alignment horizontal="center" vertical="center" shrinkToFit="1"/>
    </xf>
    <xf numFmtId="213" fontId="257" fillId="0" borderId="1" xfId="0" applyNumberFormat="1" applyFont="1" applyBorder="1" applyAlignment="1">
      <alignment horizontal="center" vertical="center" wrapText="1" shrinkToFit="1"/>
    </xf>
    <xf numFmtId="213" fontId="285" fillId="0" borderId="1" xfId="0" applyNumberFormat="1" applyFont="1" applyBorder="1" applyAlignment="1">
      <alignment horizontal="center" vertical="center" wrapText="1" shrinkToFit="1"/>
    </xf>
    <xf numFmtId="0" fontId="286" fillId="0" borderId="161" xfId="0" applyFont="1" applyBorder="1" applyAlignment="1">
      <alignment horizontal="center" vertical="center" wrapText="1"/>
    </xf>
    <xf numFmtId="0" fontId="173" fillId="0" borderId="161" xfId="0" applyFont="1" applyBorder="1" applyAlignment="1">
      <alignment horizontal="center" vertical="center" wrapText="1"/>
    </xf>
    <xf numFmtId="0" fontId="173" fillId="5" borderId="161" xfId="0" applyFont="1" applyFill="1" applyBorder="1" applyAlignment="1">
      <alignment horizontal="center" vertical="center" wrapText="1"/>
    </xf>
    <xf numFmtId="0" fontId="182" fillId="5" borderId="161" xfId="0" applyFont="1" applyFill="1" applyBorder="1" applyAlignment="1">
      <alignment horizontal="center" vertical="center" wrapText="1"/>
    </xf>
    <xf numFmtId="0" fontId="93" fillId="0" borderId="161" xfId="0" applyFont="1" applyBorder="1" applyAlignment="1">
      <alignment horizontal="center" vertical="center" wrapText="1"/>
    </xf>
    <xf numFmtId="0" fontId="15" fillId="0" borderId="161" xfId="0" applyFont="1" applyBorder="1" applyAlignment="1">
      <alignment horizontal="center" vertical="center" wrapText="1"/>
    </xf>
    <xf numFmtId="6" fontId="93" fillId="0" borderId="161" xfId="0" applyNumberFormat="1" applyFont="1" applyBorder="1" applyAlignment="1">
      <alignment horizontal="center" vertical="center" wrapText="1"/>
    </xf>
    <xf numFmtId="0" fontId="195" fillId="0" borderId="1" xfId="10" applyFont="1" applyBorder="1">
      <alignment vertical="center"/>
    </xf>
    <xf numFmtId="0" fontId="216" fillId="0" borderId="1" xfId="0" applyFont="1" applyBorder="1">
      <alignment vertical="center"/>
    </xf>
    <xf numFmtId="277" fontId="35" fillId="0" borderId="1" xfId="0" applyNumberFormat="1" applyFont="1" applyBorder="1" applyAlignment="1">
      <alignment horizontal="center" vertical="center"/>
    </xf>
    <xf numFmtId="0" fontId="216" fillId="0" borderId="3" xfId="0" applyFont="1" applyBorder="1">
      <alignment vertical="center"/>
    </xf>
    <xf numFmtId="0" fontId="35" fillId="0" borderId="4" xfId="0" applyFont="1" applyBorder="1" applyAlignment="1">
      <alignment horizontal="center" vertical="center"/>
    </xf>
    <xf numFmtId="0" fontId="287" fillId="0" borderId="0" xfId="0" applyFont="1" applyAlignment="1">
      <alignment horizontal="justify" vertical="center"/>
    </xf>
    <xf numFmtId="0" fontId="35" fillId="0" borderId="10" xfId="0" applyFont="1" applyBorder="1">
      <alignment vertical="center"/>
    </xf>
    <xf numFmtId="193" fontId="141" fillId="0" borderId="113" xfId="0" applyNumberFormat="1" applyFont="1" applyBorder="1" applyAlignment="1">
      <alignment horizontal="center" vertical="center"/>
    </xf>
    <xf numFmtId="194" fontId="141" fillId="0" borderId="113" xfId="0" applyNumberFormat="1" applyFont="1" applyBorder="1" applyAlignment="1">
      <alignment horizontal="center" vertical="center"/>
    </xf>
    <xf numFmtId="0" fontId="7" fillId="7" borderId="1" xfId="0" applyFont="1" applyFill="1" applyBorder="1" applyAlignment="1">
      <alignment horizontal="right" vertical="center"/>
    </xf>
    <xf numFmtId="0" fontId="76" fillId="7" borderId="1" xfId="0" applyFont="1" applyFill="1" applyBorder="1" applyAlignment="1">
      <alignment horizontal="right" vertical="center"/>
    </xf>
    <xf numFmtId="0" fontId="290" fillId="0" borderId="0" xfId="0" applyFont="1">
      <alignment vertical="center"/>
    </xf>
    <xf numFmtId="277" fontId="6" fillId="0" borderId="1" xfId="0" applyNumberFormat="1" applyFont="1" applyBorder="1" applyAlignment="1">
      <alignment horizontal="center" vertical="center"/>
    </xf>
    <xf numFmtId="9" fontId="35" fillId="0" borderId="0" xfId="16" applyFont="1" applyFill="1" applyAlignment="1">
      <alignment horizontal="center"/>
    </xf>
    <xf numFmtId="191" fontId="6" fillId="0" borderId="1" xfId="0" applyNumberFormat="1" applyFont="1" applyBorder="1" applyAlignment="1">
      <alignment horizontal="center" vertical="center"/>
    </xf>
    <xf numFmtId="236" fontId="6" fillId="0" borderId="1" xfId="0" applyNumberFormat="1" applyFont="1" applyBorder="1" applyAlignment="1">
      <alignment horizontal="right" vertical="center"/>
    </xf>
    <xf numFmtId="0" fontId="291" fillId="0" borderId="1" xfId="0" applyFont="1" applyBorder="1" applyAlignment="1">
      <alignment horizontal="center" vertical="center"/>
    </xf>
    <xf numFmtId="0" fontId="290" fillId="0" borderId="0" xfId="0" applyFont="1" applyAlignment="1">
      <alignment horizontal="left" vertical="center"/>
    </xf>
    <xf numFmtId="210" fontId="285" fillId="0" borderId="1" xfId="0" applyNumberFormat="1" applyFont="1" applyBorder="1" applyAlignment="1">
      <alignment horizontal="center" vertical="center" wrapText="1"/>
    </xf>
    <xf numFmtId="278" fontId="15" fillId="0" borderId="1" xfId="0" applyNumberFormat="1" applyFont="1" applyBorder="1" applyAlignment="1">
      <alignment horizontal="right" vertical="center"/>
    </xf>
    <xf numFmtId="195" fontId="15" fillId="0" borderId="1" xfId="0" applyNumberFormat="1" applyFont="1" applyBorder="1" applyAlignment="1">
      <alignment horizontal="right" vertical="center"/>
    </xf>
    <xf numFmtId="0" fontId="15" fillId="0" borderId="0" xfId="16" applyNumberFormat="1" applyFont="1" applyAlignment="1"/>
    <xf numFmtId="9" fontId="15" fillId="0" borderId="0" xfId="16" applyFont="1" applyAlignment="1"/>
    <xf numFmtId="0" fontId="293" fillId="0" borderId="0" xfId="0" applyFont="1" applyAlignment="1">
      <alignment horizontal="center" vertical="center"/>
    </xf>
    <xf numFmtId="210" fontId="52" fillId="0" borderId="1" xfId="0" applyNumberFormat="1" applyFont="1" applyBorder="1" applyAlignment="1">
      <alignment horizontal="center" vertical="center"/>
    </xf>
    <xf numFmtId="211" fontId="52" fillId="0" borderId="1" xfId="0" applyNumberFormat="1" applyFont="1" applyBorder="1" applyAlignment="1">
      <alignment horizontal="center" vertical="center"/>
    </xf>
    <xf numFmtId="203" fontId="294" fillId="0" borderId="1" xfId="0" applyNumberFormat="1" applyFont="1" applyBorder="1" applyAlignment="1">
      <alignment horizontal="center" vertical="center"/>
    </xf>
    <xf numFmtId="0" fontId="294" fillId="0" borderId="1" xfId="0" applyFont="1" applyBorder="1" applyAlignment="1">
      <alignment horizontal="center"/>
    </xf>
    <xf numFmtId="237" fontId="227" fillId="0" borderId="1" xfId="0" applyNumberFormat="1" applyFont="1" applyBorder="1">
      <alignment vertical="center"/>
    </xf>
    <xf numFmtId="238" fontId="227" fillId="0" borderId="0" xfId="0" applyNumberFormat="1" applyFont="1" applyAlignment="1">
      <alignment horizontal="center" vertical="center"/>
    </xf>
    <xf numFmtId="237" fontId="227" fillId="0" borderId="0" xfId="0" applyNumberFormat="1" applyFont="1">
      <alignment vertical="center"/>
    </xf>
    <xf numFmtId="0" fontId="67" fillId="0" borderId="1" xfId="0" applyFont="1" applyBorder="1" applyAlignment="1">
      <alignment horizontal="left" vertical="center"/>
    </xf>
    <xf numFmtId="207" fontId="195" fillId="0" borderId="1" xfId="6" applyFont="1" applyFill="1" applyBorder="1" applyAlignment="1">
      <alignment horizontal="center" vertical="center" wrapText="1"/>
    </xf>
    <xf numFmtId="0" fontId="35" fillId="0" borderId="1" xfId="0" applyFont="1" applyBorder="1" applyAlignment="1">
      <alignment horizontal="left" vertical="center" wrapText="1"/>
    </xf>
    <xf numFmtId="0" fontId="223" fillId="0" borderId="0" xfId="0" applyFont="1">
      <alignment vertical="center"/>
    </xf>
    <xf numFmtId="186" fontId="223" fillId="0" borderId="1" xfId="0" applyNumberFormat="1" applyFont="1" applyBorder="1">
      <alignment vertical="center"/>
    </xf>
    <xf numFmtId="0" fontId="15" fillId="0" borderId="4" xfId="0" applyFont="1" applyBorder="1" applyAlignment="1">
      <alignment horizontal="right" vertical="center"/>
    </xf>
    <xf numFmtId="0" fontId="70" fillId="0" borderId="1" xfId="0" applyFont="1" applyBorder="1" applyAlignment="1">
      <alignment horizontal="left" vertical="center"/>
    </xf>
    <xf numFmtId="0" fontId="70" fillId="0" borderId="1" xfId="0" applyFont="1" applyBorder="1" applyAlignment="1">
      <alignment horizontal="center" vertical="center"/>
    </xf>
    <xf numFmtId="186" fontId="70" fillId="0" borderId="1" xfId="0" applyNumberFormat="1" applyFont="1" applyBorder="1">
      <alignment vertical="center"/>
    </xf>
    <xf numFmtId="0" fontId="296" fillId="0" borderId="0" xfId="0" applyFont="1">
      <alignment vertical="center"/>
    </xf>
    <xf numFmtId="186" fontId="296" fillId="0" borderId="1" xfId="0" applyNumberFormat="1" applyFont="1" applyBorder="1">
      <alignment vertical="center"/>
    </xf>
    <xf numFmtId="238" fontId="61" fillId="0" borderId="114" xfId="0" applyNumberFormat="1" applyFont="1" applyBorder="1" applyAlignment="1" applyProtection="1">
      <alignment horizontal="center" vertical="center"/>
      <protection locked="0"/>
    </xf>
    <xf numFmtId="0" fontId="291" fillId="0" borderId="0" xfId="0" applyFont="1" applyAlignment="1">
      <alignment horizontal="right" vertical="center"/>
    </xf>
    <xf numFmtId="0" fontId="9" fillId="4" borderId="1" xfId="0" applyFont="1" applyFill="1" applyBorder="1" applyAlignment="1">
      <alignment horizontal="center"/>
    </xf>
    <xf numFmtId="179" fontId="7" fillId="4" borderId="1" xfId="0" applyNumberFormat="1" applyFont="1" applyFill="1" applyBorder="1" applyAlignment="1">
      <alignment horizontal="center" vertical="center" wrapText="1"/>
    </xf>
    <xf numFmtId="179" fontId="6" fillId="4" borderId="1" xfId="0" applyNumberFormat="1" applyFont="1" applyFill="1" applyBorder="1" applyAlignment="1">
      <alignment horizontal="center" vertical="center" wrapText="1"/>
    </xf>
    <xf numFmtId="186" fontId="67" fillId="4" borderId="1" xfId="0" applyNumberFormat="1" applyFont="1" applyFill="1" applyBorder="1">
      <alignment vertical="center"/>
    </xf>
    <xf numFmtId="0" fontId="161" fillId="4" borderId="1" xfId="0" applyFont="1" applyFill="1" applyBorder="1" applyAlignment="1">
      <alignment horizontal="center" vertical="center"/>
    </xf>
    <xf numFmtId="0" fontId="76" fillId="4" borderId="0" xfId="0" applyFont="1" applyFill="1" applyAlignment="1">
      <alignment horizontal="right" vertical="center"/>
    </xf>
    <xf numFmtId="0" fontId="5" fillId="4" borderId="0" xfId="0" applyFont="1" applyFill="1" applyAlignment="1">
      <alignment horizontal="center" vertical="center"/>
    </xf>
    <xf numFmtId="176" fontId="15" fillId="4" borderId="1" xfId="0" applyNumberFormat="1" applyFont="1" applyFill="1" applyBorder="1" applyAlignment="1">
      <alignment horizontal="center" vertical="center"/>
    </xf>
    <xf numFmtId="191" fontId="67" fillId="4" borderId="9" xfId="0" applyNumberFormat="1" applyFont="1" applyFill="1" applyBorder="1">
      <alignment vertical="center"/>
    </xf>
    <xf numFmtId="0" fontId="7" fillId="4" borderId="17" xfId="0" applyFont="1" applyFill="1" applyBorder="1" applyAlignment="1">
      <alignment horizontal="center" vertical="center"/>
    </xf>
    <xf numFmtId="191" fontId="67" fillId="4" borderId="168" xfId="0" applyNumberFormat="1" applyFont="1" applyFill="1" applyBorder="1">
      <alignment vertical="center"/>
    </xf>
    <xf numFmtId="192" fontId="164" fillId="0" borderId="1" xfId="0" applyNumberFormat="1" applyFont="1" applyBorder="1" applyAlignment="1">
      <alignment horizontal="center" vertical="center"/>
    </xf>
    <xf numFmtId="217" fontId="110" fillId="0" borderId="1" xfId="0" applyNumberFormat="1" applyFont="1" applyBorder="1" applyAlignment="1">
      <alignment horizontal="left" vertical="center"/>
    </xf>
    <xf numFmtId="187" fontId="7" fillId="0" borderId="1" xfId="0" applyNumberFormat="1" applyFont="1" applyBorder="1" applyAlignment="1">
      <alignment horizontal="center" vertical="center"/>
    </xf>
    <xf numFmtId="0" fontId="15" fillId="0" borderId="1" xfId="0" applyFont="1" applyBorder="1" applyAlignment="1">
      <alignment horizontal="center" vertical="center" wrapText="1"/>
    </xf>
    <xf numFmtId="236" fontId="195" fillId="0" borderId="1" xfId="0" applyNumberFormat="1" applyFont="1" applyBorder="1" applyAlignment="1">
      <alignment horizontal="right" vertical="center"/>
    </xf>
    <xf numFmtId="188" fontId="15" fillId="0" borderId="1" xfId="0" applyNumberFormat="1" applyFont="1" applyBorder="1">
      <alignment vertical="center"/>
    </xf>
    <xf numFmtId="193" fontId="15" fillId="0" borderId="1" xfId="0" applyNumberFormat="1" applyFont="1" applyBorder="1">
      <alignment vertical="center"/>
    </xf>
    <xf numFmtId="194" fontId="15" fillId="0" borderId="1" xfId="0" applyNumberFormat="1" applyFont="1" applyBorder="1">
      <alignment vertical="center"/>
    </xf>
    <xf numFmtId="238" fontId="15" fillId="0" borderId="1" xfId="0" applyNumberFormat="1" applyFont="1" applyBorder="1">
      <alignment vertical="center"/>
    </xf>
    <xf numFmtId="193" fontId="15" fillId="0" borderId="1" xfId="0" applyNumberFormat="1" applyFont="1" applyBorder="1" applyAlignment="1">
      <alignment horizontal="right" vertical="center"/>
    </xf>
    <xf numFmtId="188" fontId="35" fillId="0" borderId="1" xfId="0" applyNumberFormat="1" applyFont="1" applyBorder="1">
      <alignment vertical="center"/>
    </xf>
    <xf numFmtId="193" fontId="35" fillId="0" borderId="1" xfId="0" applyNumberFormat="1" applyFont="1" applyBorder="1" applyAlignment="1">
      <alignment horizontal="right" vertical="center"/>
    </xf>
    <xf numFmtId="0" fontId="6" fillId="26" borderId="1" xfId="0" applyFont="1" applyFill="1" applyBorder="1" applyAlignment="1">
      <alignment horizontal="center" vertical="center"/>
    </xf>
    <xf numFmtId="188" fontId="6" fillId="0" borderId="0" xfId="0" applyNumberFormat="1" applyFont="1" applyAlignment="1">
      <alignment horizontal="right"/>
    </xf>
    <xf numFmtId="193" fontId="35" fillId="0" borderId="0" xfId="0" applyNumberFormat="1" applyFont="1">
      <alignment vertical="center"/>
    </xf>
    <xf numFmtId="194" fontId="35" fillId="0" borderId="0" xfId="0" applyNumberFormat="1" applyFont="1">
      <alignment vertical="center"/>
    </xf>
    <xf numFmtId="237" fontId="6" fillId="0" borderId="0" xfId="0" applyNumberFormat="1" applyFont="1">
      <alignment vertical="center"/>
    </xf>
    <xf numFmtId="179" fontId="6" fillId="0" borderId="0" xfId="0" applyNumberFormat="1" applyFont="1" applyAlignment="1">
      <alignment horizontal="center" vertical="center" wrapText="1"/>
    </xf>
    <xf numFmtId="0" fontId="6" fillId="2" borderId="1" xfId="0" applyFont="1" applyFill="1" applyBorder="1" applyAlignment="1">
      <alignment horizontal="center" vertical="center"/>
    </xf>
    <xf numFmtId="0" fontId="36" fillId="13" borderId="1" xfId="0" applyFont="1" applyFill="1" applyBorder="1" applyAlignment="1">
      <alignment horizontal="center" vertical="center"/>
    </xf>
    <xf numFmtId="0" fontId="36" fillId="13" borderId="1" xfId="0" applyFont="1" applyFill="1" applyBorder="1" applyAlignment="1">
      <alignment horizontal="center" vertical="center" wrapText="1" shrinkToFit="1"/>
    </xf>
    <xf numFmtId="237" fontId="299" fillId="13" borderId="1" xfId="6" applyNumberFormat="1" applyFont="1" applyFill="1" applyBorder="1" applyAlignment="1">
      <alignment horizontal="center" vertical="center" wrapText="1"/>
    </xf>
    <xf numFmtId="278" fontId="22" fillId="0" borderId="3" xfId="0" applyNumberFormat="1" applyFont="1" applyBorder="1" applyAlignment="1">
      <alignment horizontal="right" vertical="center"/>
    </xf>
    <xf numFmtId="0" fontId="300" fillId="0" borderId="0" xfId="0" applyFont="1" applyAlignment="1">
      <alignment horizontal="center" vertical="center"/>
    </xf>
    <xf numFmtId="0" fontId="247" fillId="0" borderId="0" xfId="0" applyFont="1" applyAlignment="1">
      <alignment horizontal="center" vertical="center"/>
    </xf>
    <xf numFmtId="279" fontId="15" fillId="0" borderId="1" xfId="0" applyNumberFormat="1" applyFont="1" applyBorder="1" applyAlignment="1">
      <alignment horizontal="center"/>
    </xf>
    <xf numFmtId="237" fontId="36" fillId="0" borderId="1" xfId="0" applyNumberFormat="1" applyFont="1" applyBorder="1" applyAlignment="1">
      <alignment horizontal="right" vertical="center"/>
    </xf>
    <xf numFmtId="278" fontId="242" fillId="0" borderId="1" xfId="0" applyNumberFormat="1" applyFont="1" applyBorder="1" applyAlignment="1">
      <alignment horizontal="right"/>
    </xf>
    <xf numFmtId="10" fontId="302" fillId="0" borderId="0" xfId="16" applyNumberFormat="1" applyFont="1" applyFill="1" applyAlignment="1">
      <alignment horizontal="center" vertical="center"/>
    </xf>
    <xf numFmtId="207" fontId="242" fillId="0" borderId="0" xfId="0" applyNumberFormat="1" applyFont="1" applyAlignment="1">
      <alignment horizontal="center" vertical="center"/>
    </xf>
    <xf numFmtId="192" fontId="164" fillId="0" borderId="1" xfId="0" quotePrefix="1" applyNumberFormat="1" applyFont="1" applyBorder="1" applyAlignment="1">
      <alignment horizontal="center" vertical="center"/>
    </xf>
    <xf numFmtId="192" fontId="13" fillId="7" borderId="1" xfId="0" quotePrefix="1" applyNumberFormat="1" applyFont="1" applyFill="1" applyBorder="1" applyAlignment="1">
      <alignment horizontal="center" vertical="center"/>
    </xf>
    <xf numFmtId="179" fontId="70" fillId="7" borderId="1" xfId="0" applyNumberFormat="1" applyFont="1" applyFill="1" applyBorder="1" applyAlignment="1">
      <alignment horizontal="center" vertical="center" wrapText="1"/>
    </xf>
    <xf numFmtId="0" fontId="222" fillId="0" borderId="1" xfId="0" applyFont="1" applyBorder="1">
      <alignment vertical="center"/>
    </xf>
    <xf numFmtId="0" fontId="220" fillId="0" borderId="1" xfId="0" applyFont="1" applyBorder="1" applyAlignment="1">
      <alignment horizontal="center" vertical="center" wrapText="1"/>
    </xf>
    <xf numFmtId="9" fontId="35" fillId="0" borderId="1" xfId="16" applyFont="1" applyFill="1" applyBorder="1" applyAlignment="1">
      <alignment horizontal="right" vertical="center"/>
    </xf>
    <xf numFmtId="0" fontId="114" fillId="0" borderId="0" xfId="0" applyFont="1" applyAlignment="1">
      <alignment horizontal="center" vertical="center"/>
    </xf>
    <xf numFmtId="0" fontId="306" fillId="0" borderId="0" xfId="0" applyFont="1" applyAlignment="1">
      <alignment horizontal="right" vertical="center"/>
    </xf>
    <xf numFmtId="0" fontId="307" fillId="0" borderId="0" xfId="0" applyFont="1">
      <alignment vertical="center"/>
    </xf>
    <xf numFmtId="191" fontId="6" fillId="0" borderId="0" xfId="0" applyNumberFormat="1" applyFont="1" applyAlignment="1">
      <alignment horizontal="center" vertical="center"/>
    </xf>
    <xf numFmtId="0" fontId="303" fillId="0" borderId="0" xfId="32" applyAlignment="1">
      <alignment vertical="center" wrapText="1"/>
    </xf>
    <xf numFmtId="0" fontId="0" fillId="0" borderId="0" xfId="0" applyAlignment="1">
      <alignment vertical="center" wrapText="1"/>
    </xf>
    <xf numFmtId="0" fontId="281" fillId="0" borderId="17" xfId="0" applyFont="1" applyBorder="1" applyAlignment="1">
      <alignment horizontal="left" vertical="center"/>
    </xf>
    <xf numFmtId="176" fontId="17" fillId="7" borderId="1" xfId="0" applyNumberFormat="1" applyFont="1" applyFill="1" applyBorder="1" applyAlignment="1">
      <alignment horizontal="right" vertical="center"/>
    </xf>
    <xf numFmtId="191" fontId="7" fillId="7" borderId="1" xfId="0" applyNumberFormat="1" applyFont="1" applyFill="1" applyBorder="1" applyAlignment="1">
      <alignment horizontal="right" vertical="center"/>
    </xf>
    <xf numFmtId="38" fontId="7" fillId="0" borderId="1" xfId="0" applyNumberFormat="1" applyFont="1" applyBorder="1">
      <alignment vertical="center"/>
    </xf>
    <xf numFmtId="189" fontId="6" fillId="0" borderId="1" xfId="0" applyNumberFormat="1" applyFont="1" applyBorder="1" applyAlignment="1">
      <alignment horizontal="center"/>
    </xf>
    <xf numFmtId="178" fontId="106" fillId="0" borderId="1" xfId="0" applyNumberFormat="1" applyFont="1" applyBorder="1" applyAlignment="1">
      <alignment horizontal="center" vertical="center"/>
    </xf>
    <xf numFmtId="178" fontId="84" fillId="0" borderId="1" xfId="0" applyNumberFormat="1" applyFont="1" applyBorder="1" applyAlignment="1">
      <alignment horizontal="center" vertical="center"/>
    </xf>
    <xf numFmtId="280" fontId="242" fillId="0" borderId="1" xfId="0" applyNumberFormat="1" applyFont="1" applyBorder="1" applyAlignment="1">
      <alignment horizontal="right"/>
    </xf>
    <xf numFmtId="237" fontId="15" fillId="0" borderId="1" xfId="0" applyNumberFormat="1" applyFont="1" applyBorder="1" applyAlignment="1">
      <alignment horizontal="right" vertical="center"/>
    </xf>
    <xf numFmtId="0" fontId="67" fillId="7" borderId="0" xfId="0" applyFont="1" applyFill="1" applyAlignment="1">
      <alignment horizontal="right" vertical="center"/>
    </xf>
    <xf numFmtId="0" fontId="72" fillId="7" borderId="0" xfId="0" applyFont="1" applyFill="1" applyAlignment="1">
      <alignment horizontal="right" vertical="center"/>
    </xf>
    <xf numFmtId="0" fontId="141" fillId="0" borderId="113" xfId="0" applyFont="1" applyBorder="1" applyAlignment="1">
      <alignment horizontal="left" vertical="center"/>
    </xf>
    <xf numFmtId="178" fontId="141" fillId="0" borderId="113" xfId="0" applyNumberFormat="1" applyFont="1" applyBorder="1" applyAlignment="1">
      <alignment horizontal="center" vertical="center"/>
    </xf>
    <xf numFmtId="179" fontId="205" fillId="0" borderId="1" xfId="0" applyNumberFormat="1" applyFont="1" applyBorder="1" applyAlignment="1">
      <alignment horizontal="center" vertical="center" wrapText="1"/>
    </xf>
    <xf numFmtId="0" fontId="223" fillId="0" borderId="0" xfId="0" applyFont="1" applyAlignment="1">
      <alignment horizontal="right" vertical="center"/>
    </xf>
    <xf numFmtId="0" fontId="309" fillId="0" borderId="0" xfId="0" applyFont="1" applyAlignment="1">
      <alignment horizontal="justify" vertical="center"/>
    </xf>
    <xf numFmtId="0" fontId="310" fillId="0" borderId="0" xfId="0" applyFont="1" applyAlignment="1">
      <alignment horizontal="justify" vertical="center"/>
    </xf>
    <xf numFmtId="0" fontId="207" fillId="0" borderId="161" xfId="0" applyFont="1" applyBorder="1" applyAlignment="1">
      <alignment horizontal="center" vertical="center" wrapText="1"/>
    </xf>
    <xf numFmtId="0" fontId="207" fillId="0" borderId="161" xfId="0" applyFont="1" applyBorder="1" applyAlignment="1">
      <alignment horizontal="justify" vertical="center" wrapText="1"/>
    </xf>
    <xf numFmtId="0" fontId="221" fillId="0" borderId="161" xfId="0" applyFont="1" applyBorder="1" applyAlignment="1">
      <alignment horizontal="center" vertical="center"/>
    </xf>
    <xf numFmtId="0" fontId="93" fillId="0" borderId="161" xfId="0" applyFont="1" applyBorder="1" applyAlignment="1">
      <alignment horizontal="left" vertical="center" wrapText="1"/>
    </xf>
    <xf numFmtId="237" fontId="93" fillId="0" borderId="161" xfId="0" applyNumberFormat="1" applyFont="1" applyBorder="1" applyAlignment="1">
      <alignment horizontal="right" vertical="center" wrapText="1"/>
    </xf>
    <xf numFmtId="0" fontId="93" fillId="0" borderId="161" xfId="0" applyFont="1" applyBorder="1" applyAlignment="1">
      <alignment horizontal="right" vertical="center" wrapText="1"/>
    </xf>
    <xf numFmtId="0" fontId="18" fillId="0" borderId="161" xfId="0" applyFont="1" applyBorder="1" applyAlignment="1">
      <alignment horizontal="center" vertical="center"/>
    </xf>
    <xf numFmtId="0" fontId="222" fillId="0" borderId="161" xfId="0" applyFont="1" applyBorder="1">
      <alignment vertical="center"/>
    </xf>
    <xf numFmtId="237" fontId="93" fillId="0" borderId="161" xfId="0" applyNumberFormat="1" applyFont="1" applyBorder="1" applyAlignment="1">
      <alignment horizontal="center" vertical="center" wrapText="1"/>
    </xf>
    <xf numFmtId="0" fontId="31" fillId="0" borderId="161" xfId="0" applyFont="1" applyBorder="1" applyAlignment="1">
      <alignment horizontal="center" vertical="center" wrapText="1" shrinkToFit="1"/>
    </xf>
    <xf numFmtId="0" fontId="195" fillId="0" borderId="5" xfId="0" applyFont="1" applyBorder="1" applyAlignment="1">
      <alignment horizontal="center" vertical="center" wrapText="1" shrinkToFit="1"/>
    </xf>
    <xf numFmtId="0" fontId="18" fillId="0" borderId="5" xfId="0" applyFont="1" applyBorder="1" applyAlignment="1">
      <alignment horizontal="center" vertical="center"/>
    </xf>
    <xf numFmtId="208" fontId="63" fillId="0" borderId="89" xfId="0" applyNumberFormat="1" applyFont="1" applyBorder="1" applyAlignment="1" applyProtection="1">
      <alignment horizontal="center" vertical="center"/>
      <protection locked="0"/>
    </xf>
    <xf numFmtId="208" fontId="63" fillId="0" borderId="120" xfId="0" applyNumberFormat="1" applyFont="1" applyBorder="1" applyAlignment="1" applyProtection="1">
      <alignment horizontal="center" vertical="center"/>
      <protection locked="0"/>
    </xf>
    <xf numFmtId="208" fontId="61" fillId="0" borderId="11" xfId="0" applyNumberFormat="1" applyFont="1" applyBorder="1" applyAlignment="1" applyProtection="1">
      <alignment horizontal="center" vertical="center"/>
      <protection locked="0"/>
    </xf>
    <xf numFmtId="0" fontId="63" fillId="0" borderId="52" xfId="0" applyFont="1" applyBorder="1" applyAlignment="1" applyProtection="1">
      <alignment horizontal="center" vertical="center"/>
      <protection locked="0"/>
    </xf>
    <xf numFmtId="0" fontId="63" fillId="0" borderId="53" xfId="0" applyFont="1" applyBorder="1" applyAlignment="1" applyProtection="1">
      <alignment horizontal="center" vertical="center"/>
      <protection locked="0"/>
    </xf>
    <xf numFmtId="0" fontId="126" fillId="0" borderId="101" xfId="0" applyFont="1" applyBorder="1" applyAlignment="1" applyProtection="1">
      <alignment horizontal="center" vertical="center"/>
      <protection locked="0"/>
    </xf>
    <xf numFmtId="0" fontId="126" fillId="0" borderId="98" xfId="0" applyFont="1" applyBorder="1" applyAlignment="1" applyProtection="1">
      <alignment horizontal="center" vertical="center"/>
      <protection locked="0"/>
    </xf>
    <xf numFmtId="0" fontId="63" fillId="0" borderId="113" xfId="0" applyFont="1" applyBorder="1" applyAlignment="1" applyProtection="1">
      <alignment horizontal="center" vertical="center"/>
      <protection locked="0"/>
    </xf>
    <xf numFmtId="0" fontId="63" fillId="0" borderId="112" xfId="0" applyFont="1" applyBorder="1" applyAlignment="1" applyProtection="1">
      <alignment horizontal="center" vertical="center"/>
      <protection locked="0"/>
    </xf>
    <xf numFmtId="0" fontId="63" fillId="0" borderId="116" xfId="0" applyFont="1" applyBorder="1" applyAlignment="1" applyProtection="1">
      <alignment horizontal="center" vertical="center"/>
      <protection locked="0"/>
    </xf>
    <xf numFmtId="0" fontId="63" fillId="0" borderId="117" xfId="0" applyFont="1" applyBorder="1" applyAlignment="1" applyProtection="1">
      <alignment horizontal="center" vertical="center"/>
      <protection locked="0"/>
    </xf>
    <xf numFmtId="0" fontId="61" fillId="12" borderId="105" xfId="0" applyFont="1" applyFill="1" applyBorder="1" applyAlignment="1" applyProtection="1">
      <alignment horizontal="left" vertical="center"/>
      <protection locked="0"/>
    </xf>
    <xf numFmtId="0" fontId="61" fillId="12" borderId="106" xfId="0" applyFont="1" applyFill="1" applyBorder="1" applyAlignment="1" applyProtection="1">
      <alignment horizontal="left" vertical="center"/>
      <protection locked="0"/>
    </xf>
    <xf numFmtId="0" fontId="141" fillId="20" borderId="151" xfId="0" applyFont="1" applyFill="1" applyBorder="1" applyAlignment="1">
      <alignment horizontal="center" vertical="center" wrapText="1"/>
    </xf>
    <xf numFmtId="0" fontId="141" fillId="20" borderId="22" xfId="0" applyFont="1" applyFill="1" applyBorder="1" applyAlignment="1">
      <alignment horizontal="center" vertical="center"/>
    </xf>
    <xf numFmtId="0" fontId="141" fillId="20" borderId="6" xfId="0" applyFont="1" applyFill="1" applyBorder="1" applyAlignment="1">
      <alignment horizontal="center" vertical="center"/>
    </xf>
    <xf numFmtId="0" fontId="141" fillId="0" borderId="146" xfId="0" applyFont="1" applyBorder="1" applyAlignment="1" applyProtection="1">
      <alignment horizontal="center" vertical="center"/>
      <protection locked="0"/>
    </xf>
    <xf numFmtId="0" fontId="141" fillId="0" borderId="147" xfId="0" applyFont="1" applyBorder="1" applyAlignment="1" applyProtection="1">
      <alignment horizontal="center" vertical="center"/>
      <protection locked="0"/>
    </xf>
    <xf numFmtId="0" fontId="63" fillId="0" borderId="50" xfId="0" applyFont="1" applyBorder="1" applyAlignment="1" applyProtection="1">
      <alignment horizontal="center" vertical="center"/>
      <protection locked="0"/>
    </xf>
    <xf numFmtId="0" fontId="63" fillId="0" borderId="51" xfId="0" applyFont="1" applyBorder="1" applyAlignment="1" applyProtection="1">
      <alignment horizontal="center" vertical="center"/>
      <protection locked="0"/>
    </xf>
    <xf numFmtId="0" fontId="63" fillId="0" borderId="119" xfId="0" applyFont="1" applyBorder="1" applyAlignment="1" applyProtection="1">
      <alignment horizontal="center" vertical="center"/>
      <protection locked="0"/>
    </xf>
    <xf numFmtId="0" fontId="63" fillId="0" borderId="21" xfId="0" applyFont="1" applyBorder="1" applyAlignment="1" applyProtection="1">
      <alignment horizontal="center" vertical="center"/>
      <protection locked="0"/>
    </xf>
    <xf numFmtId="0" fontId="63" fillId="0" borderId="48" xfId="0" applyFont="1" applyBorder="1" applyAlignment="1" applyProtection="1">
      <alignment horizontal="center" vertical="center"/>
      <protection locked="0"/>
    </xf>
    <xf numFmtId="0" fontId="63" fillId="0" borderId="41" xfId="0" applyFont="1" applyBorder="1" applyAlignment="1" applyProtection="1">
      <alignment horizontal="center" vertical="center"/>
      <protection locked="0"/>
    </xf>
    <xf numFmtId="230" fontId="61" fillId="12" borderId="101" xfId="0" applyNumberFormat="1" applyFont="1" applyFill="1" applyBorder="1" applyAlignment="1" applyProtection="1">
      <alignment horizontal="left" vertical="center"/>
      <protection locked="0"/>
    </xf>
    <xf numFmtId="0" fontId="61" fillId="12" borderId="98" xfId="0" applyFont="1" applyFill="1" applyBorder="1" applyAlignment="1" applyProtection="1">
      <alignment horizontal="left" vertical="center"/>
      <protection locked="0"/>
    </xf>
    <xf numFmtId="0" fontId="61" fillId="12" borderId="99" xfId="0" applyFont="1" applyFill="1" applyBorder="1" applyAlignment="1" applyProtection="1">
      <alignment horizontal="left" vertical="center"/>
      <protection locked="0"/>
    </xf>
    <xf numFmtId="0" fontId="61" fillId="12" borderId="101" xfId="0" applyFont="1" applyFill="1" applyBorder="1" applyAlignment="1" applyProtection="1">
      <alignment horizontal="left" vertical="center"/>
      <protection locked="0"/>
    </xf>
    <xf numFmtId="0" fontId="57" fillId="0" borderId="0" xfId="0" applyFont="1" applyAlignment="1" applyProtection="1">
      <alignment horizontal="left" vertical="center" wrapText="1"/>
      <protection locked="0"/>
    </xf>
    <xf numFmtId="0" fontId="57" fillId="0" borderId="0" xfId="0" applyFont="1" applyAlignment="1" applyProtection="1">
      <alignment horizontal="left" vertical="center"/>
      <protection locked="0"/>
    </xf>
    <xf numFmtId="0" fontId="57" fillId="0" borderId="30" xfId="0" applyFont="1" applyBorder="1" applyAlignment="1" applyProtection="1">
      <alignment horizontal="left" vertical="center"/>
      <protection locked="0"/>
    </xf>
    <xf numFmtId="0" fontId="62" fillId="0" borderId="0" xfId="0" applyFont="1" applyAlignment="1" applyProtection="1">
      <alignment horizontal="left" vertical="top"/>
      <protection locked="0"/>
    </xf>
    <xf numFmtId="0" fontId="132" fillId="0" borderId="0" xfId="0" applyFont="1" applyAlignment="1" applyProtection="1">
      <alignment horizontal="left" vertical="center"/>
      <protection locked="0"/>
    </xf>
    <xf numFmtId="230" fontId="61" fillId="0" borderId="30" xfId="0" applyNumberFormat="1" applyFont="1" applyBorder="1" applyAlignment="1" applyProtection="1">
      <alignment horizontal="left" vertical="center"/>
      <protection locked="0"/>
    </xf>
    <xf numFmtId="0" fontId="61" fillId="12" borderId="111" xfId="0" applyFont="1" applyFill="1" applyBorder="1" applyAlignment="1" applyProtection="1">
      <alignment horizontal="left" vertical="center"/>
      <protection locked="0"/>
    </xf>
    <xf numFmtId="0" fontId="61" fillId="12" borderId="77" xfId="0" applyFont="1" applyFill="1" applyBorder="1" applyAlignment="1" applyProtection="1">
      <alignment horizontal="left" vertical="center"/>
      <protection locked="0"/>
    </xf>
    <xf numFmtId="0" fontId="61" fillId="0" borderId="105" xfId="0" applyFont="1" applyBorder="1" applyAlignment="1" applyProtection="1">
      <alignment horizontal="left" vertical="center"/>
      <protection locked="0"/>
    </xf>
    <xf numFmtId="0" fontId="61" fillId="0" borderId="107" xfId="0" applyFont="1" applyBorder="1" applyAlignment="1" applyProtection="1">
      <alignment horizontal="left" vertical="center"/>
      <protection locked="0"/>
    </xf>
    <xf numFmtId="0" fontId="61" fillId="0" borderId="106" xfId="0" applyFont="1" applyBorder="1" applyAlignment="1" applyProtection="1">
      <alignment horizontal="left" vertical="center"/>
      <protection locked="0"/>
    </xf>
    <xf numFmtId="0" fontId="141" fillId="0" borderId="1" xfId="0" applyFont="1" applyBorder="1" applyAlignment="1">
      <alignment horizontal="left" vertical="center"/>
    </xf>
    <xf numFmtId="0" fontId="61" fillId="0" borderId="111" xfId="0" applyFont="1" applyBorder="1" applyAlignment="1" applyProtection="1">
      <alignment horizontal="left" vertical="center"/>
      <protection locked="0"/>
    </xf>
    <xf numFmtId="0" fontId="61" fillId="0" borderId="77" xfId="0" applyFont="1" applyBorder="1" applyAlignment="1" applyProtection="1">
      <alignment horizontal="left" vertical="center"/>
      <protection locked="0"/>
    </xf>
    <xf numFmtId="0" fontId="63" fillId="0" borderId="3" xfId="0" applyFont="1" applyBorder="1" applyAlignment="1" applyProtection="1">
      <alignment horizontal="center" vertical="center"/>
      <protection locked="0"/>
    </xf>
    <xf numFmtId="0" fontId="63" fillId="0" borderId="56" xfId="0" applyFont="1" applyBorder="1" applyAlignment="1" applyProtection="1">
      <alignment horizontal="center" vertical="center"/>
      <protection locked="0"/>
    </xf>
    <xf numFmtId="0" fontId="63" fillId="0" borderId="15" xfId="0" applyFont="1" applyBorder="1" applyAlignment="1" applyProtection="1">
      <alignment horizontal="center" vertical="center"/>
      <protection locked="0"/>
    </xf>
    <xf numFmtId="208" fontId="61" fillId="0" borderId="89" xfId="0" applyNumberFormat="1" applyFont="1" applyBorder="1" applyAlignment="1" applyProtection="1">
      <alignment horizontal="center" vertical="center"/>
      <protection locked="0"/>
    </xf>
    <xf numFmtId="208" fontId="61" fillId="0" borderId="120" xfId="0" applyNumberFormat="1" applyFont="1" applyBorder="1" applyAlignment="1" applyProtection="1">
      <alignment horizontal="center" vertical="center"/>
      <protection locked="0"/>
    </xf>
    <xf numFmtId="0" fontId="126" fillId="0" borderId="101" xfId="0" applyFont="1" applyBorder="1" applyAlignment="1" applyProtection="1">
      <alignment horizontal="left" vertical="center"/>
      <protection locked="0"/>
    </xf>
    <xf numFmtId="0" fontId="126" fillId="0" borderId="98" xfId="0" applyFont="1" applyBorder="1" applyAlignment="1" applyProtection="1">
      <alignment horizontal="left" vertical="center"/>
      <protection locked="0"/>
    </xf>
    <xf numFmtId="0" fontId="63" fillId="0" borderId="23" xfId="0" applyFont="1" applyBorder="1" applyAlignment="1" applyProtection="1">
      <alignment horizontal="center" vertical="center"/>
      <protection locked="0"/>
    </xf>
    <xf numFmtId="0" fontId="61" fillId="0" borderId="101" xfId="0" applyFont="1" applyBorder="1" applyAlignment="1" applyProtection="1">
      <alignment horizontal="left" vertical="center"/>
      <protection locked="0"/>
    </xf>
    <xf numFmtId="0" fontId="61" fillId="0" borderId="99" xfId="0" applyFont="1" applyBorder="1" applyAlignment="1" applyProtection="1">
      <alignment horizontal="left" vertical="center"/>
      <protection locked="0"/>
    </xf>
    <xf numFmtId="0" fontId="61" fillId="0" borderId="98" xfId="0" applyFont="1" applyBorder="1" applyAlignment="1" applyProtection="1">
      <alignment horizontal="left" vertical="center"/>
      <protection locked="0"/>
    </xf>
    <xf numFmtId="0" fontId="141" fillId="0" borderId="135" xfId="0" applyFont="1" applyBorder="1" applyAlignment="1">
      <alignment horizontal="left" vertical="center" shrinkToFit="1"/>
    </xf>
    <xf numFmtId="0" fontId="141" fillId="0" borderId="136" xfId="0" applyFont="1" applyBorder="1" applyAlignment="1">
      <alignment horizontal="left" vertical="center" shrinkToFit="1"/>
    </xf>
    <xf numFmtId="0" fontId="141" fillId="0" borderId="137" xfId="0" applyFont="1" applyBorder="1" applyAlignment="1">
      <alignment horizontal="left" vertical="center" shrinkToFit="1"/>
    </xf>
    <xf numFmtId="0" fontId="141" fillId="0" borderId="0" xfId="0" applyFont="1" applyAlignment="1">
      <alignment horizontal="left" vertical="center" shrinkToFit="1"/>
    </xf>
    <xf numFmtId="0" fontId="140" fillId="0" borderId="0" xfId="0" applyFont="1" applyAlignment="1">
      <alignment horizontal="left" vertical="center"/>
    </xf>
    <xf numFmtId="0" fontId="145" fillId="0" borderId="0" xfId="0" applyFont="1" applyAlignment="1">
      <alignment horizontal="center" vertical="center"/>
    </xf>
    <xf numFmtId="0" fontId="141" fillId="0" borderId="129" xfId="0" applyFont="1" applyBorder="1" applyAlignment="1">
      <alignment horizontal="left" vertical="center" shrinkToFit="1"/>
    </xf>
    <xf numFmtId="0" fontId="141" fillId="0" borderId="130" xfId="0" applyFont="1" applyBorder="1" applyAlignment="1">
      <alignment horizontal="left" vertical="center" shrinkToFit="1"/>
    </xf>
    <xf numFmtId="0" fontId="141" fillId="0" borderId="131" xfId="0" applyFont="1" applyBorder="1" applyAlignment="1">
      <alignment horizontal="left" vertical="center" shrinkToFit="1"/>
    </xf>
    <xf numFmtId="0" fontId="141" fillId="0" borderId="102" xfId="0" applyFont="1" applyBorder="1" applyAlignment="1">
      <alignment horizontal="left" vertical="center" shrinkToFit="1"/>
    </xf>
    <xf numFmtId="0" fontId="141" fillId="0" borderId="95" xfId="0" applyFont="1" applyBorder="1" applyAlignment="1">
      <alignment horizontal="left" vertical="center" shrinkToFit="1"/>
    </xf>
    <xf numFmtId="0" fontId="141" fillId="0" borderId="133" xfId="0" applyFont="1" applyBorder="1" applyAlignment="1">
      <alignment horizontal="left" vertical="center" shrinkToFit="1"/>
    </xf>
    <xf numFmtId="0" fontId="197" fillId="0" borderId="0" xfId="24" applyFont="1" applyAlignment="1">
      <alignment horizontal="center"/>
    </xf>
    <xf numFmtId="0" fontId="197" fillId="0" borderId="0" xfId="24" applyFont="1" applyAlignment="1">
      <alignment horizontal="center" vertical="center"/>
    </xf>
    <xf numFmtId="0" fontId="197" fillId="0" borderId="0" xfId="24" applyFont="1" applyAlignment="1">
      <alignment horizontal="right"/>
    </xf>
    <xf numFmtId="0" fontId="200" fillId="0" borderId="0" xfId="24" applyFont="1" applyAlignment="1">
      <alignment horizontal="center"/>
    </xf>
    <xf numFmtId="192" fontId="125" fillId="0" borderId="11" xfId="0" applyNumberFormat="1" applyFont="1" applyBorder="1" applyAlignment="1">
      <alignment horizontal="center" vertical="center"/>
    </xf>
    <xf numFmtId="192" fontId="125" fillId="0" borderId="3" xfId="0" applyNumberFormat="1" applyFont="1" applyBorder="1" applyAlignment="1">
      <alignment horizontal="center" vertical="center"/>
    </xf>
    <xf numFmtId="192" fontId="125" fillId="0" borderId="15" xfId="0" applyNumberFormat="1" applyFont="1" applyBorder="1" applyAlignment="1">
      <alignment horizontal="center" vertical="center"/>
    </xf>
    <xf numFmtId="6" fontId="97" fillId="7" borderId="11" xfId="17" applyFont="1" applyFill="1" applyBorder="1" applyAlignment="1">
      <alignment horizontal="center" vertical="center" wrapText="1"/>
    </xf>
    <xf numFmtId="6" fontId="97" fillId="7" borderId="15" xfId="17" applyFont="1" applyFill="1" applyBorder="1" applyAlignment="1">
      <alignment horizontal="center" vertical="center" wrapText="1"/>
    </xf>
    <xf numFmtId="0" fontId="193" fillId="0" borderId="0" xfId="0" applyFont="1" applyAlignment="1">
      <alignment horizontal="left" vertical="top"/>
    </xf>
    <xf numFmtId="0" fontId="35" fillId="0" borderId="0" xfId="0" applyFont="1" applyAlignment="1">
      <alignment horizontal="left" vertical="top"/>
    </xf>
    <xf numFmtId="193" fontId="7" fillId="0" borderId="11" xfId="0" applyNumberFormat="1" applyFont="1" applyBorder="1" applyAlignment="1">
      <alignment horizontal="center" vertical="center" wrapText="1"/>
    </xf>
    <xf numFmtId="193" fontId="7" fillId="0" borderId="3" xfId="0" applyNumberFormat="1" applyFont="1" applyBorder="1" applyAlignment="1">
      <alignment horizontal="center" vertical="center" wrapText="1"/>
    </xf>
    <xf numFmtId="193" fontId="7" fillId="0" borderId="15" xfId="0" applyNumberFormat="1" applyFont="1" applyBorder="1" applyAlignment="1">
      <alignment horizontal="center" vertical="center" wrapText="1"/>
    </xf>
    <xf numFmtId="0" fontId="185" fillId="0" borderId="0" xfId="0" applyFont="1" applyAlignment="1">
      <alignment horizontal="center" vertical="center"/>
    </xf>
    <xf numFmtId="0" fontId="102" fillId="6" borderId="9" xfId="0" applyFont="1" applyFill="1" applyBorder="1" applyAlignment="1">
      <alignment horizontal="center" vertical="center"/>
    </xf>
    <xf numFmtId="0" fontId="102" fillId="6" borderId="10" xfId="0" applyFont="1" applyFill="1" applyBorder="1" applyAlignment="1">
      <alignment horizontal="center" vertical="center"/>
    </xf>
    <xf numFmtId="0" fontId="220" fillId="3" borderId="70" xfId="0" applyFont="1" applyFill="1" applyBorder="1" applyAlignment="1">
      <alignment horizontal="center" vertical="center"/>
    </xf>
    <xf numFmtId="0" fontId="220" fillId="3" borderId="160" xfId="0" applyFont="1" applyFill="1" applyBorder="1" applyAlignment="1">
      <alignment horizontal="center" vertical="center"/>
    </xf>
    <xf numFmtId="0" fontId="231" fillId="3" borderId="70" xfId="0" applyFont="1" applyFill="1" applyBorder="1" applyAlignment="1">
      <alignment horizontal="center" vertical="center"/>
    </xf>
    <xf numFmtId="0" fontId="231" fillId="3" borderId="160" xfId="0" applyFont="1" applyFill="1" applyBorder="1" applyAlignment="1">
      <alignment horizontal="center" vertical="center"/>
    </xf>
    <xf numFmtId="0" fontId="102" fillId="6" borderId="70" xfId="0" applyFont="1" applyFill="1" applyBorder="1" applyAlignment="1">
      <alignment horizontal="center" vertical="center"/>
    </xf>
    <xf numFmtId="0" fontId="102" fillId="6" borderId="5" xfId="0" applyFont="1" applyFill="1" applyBorder="1" applyAlignment="1">
      <alignment horizontal="center" vertical="center"/>
    </xf>
    <xf numFmtId="0" fontId="18" fillId="0" borderId="1" xfId="0" applyFont="1" applyBorder="1" applyAlignment="1">
      <alignment horizontal="center" vertical="center" wrapText="1"/>
    </xf>
    <xf numFmtId="0" fontId="18" fillId="0" borderId="1" xfId="0" applyFont="1" applyBorder="1" applyAlignment="1">
      <alignment horizontal="center" vertical="center"/>
    </xf>
    <xf numFmtId="179" fontId="116" fillId="0" borderId="11" xfId="0" applyNumberFormat="1" applyFont="1" applyBorder="1" applyAlignment="1">
      <alignment horizontal="center" vertical="center" wrapText="1"/>
    </xf>
    <xf numFmtId="179" fontId="116" fillId="0" borderId="3" xfId="0" applyNumberFormat="1" applyFont="1" applyBorder="1" applyAlignment="1">
      <alignment horizontal="center" vertical="center" wrapText="1"/>
    </xf>
    <xf numFmtId="179" fontId="116" fillId="0" borderId="15" xfId="0" applyNumberFormat="1" applyFont="1" applyBorder="1" applyAlignment="1">
      <alignment horizontal="center" vertical="center" wrapText="1"/>
    </xf>
    <xf numFmtId="6" fontId="97" fillId="5" borderId="1" xfId="17" applyFont="1" applyFill="1" applyBorder="1" applyAlignment="1">
      <alignment horizontal="center" vertical="center" wrapText="1"/>
    </xf>
    <xf numFmtId="6" fontId="97" fillId="5" borderId="1" xfId="17" applyFont="1" applyFill="1" applyBorder="1" applyAlignment="1">
      <alignment horizontal="center" vertical="center"/>
    </xf>
    <xf numFmtId="0" fontId="21" fillId="4" borderId="1" xfId="0" applyFont="1" applyFill="1" applyBorder="1" applyAlignment="1">
      <alignment horizontal="center" vertical="center" shrinkToFit="1"/>
    </xf>
    <xf numFmtId="0" fontId="124" fillId="10" borderId="11" xfId="0" applyFont="1" applyFill="1" applyBorder="1" applyAlignment="1">
      <alignment horizontal="center" vertical="center"/>
    </xf>
    <xf numFmtId="0" fontId="88" fillId="10" borderId="3" xfId="0" applyFont="1" applyFill="1" applyBorder="1" applyAlignment="1">
      <alignment horizontal="center" vertical="center"/>
    </xf>
    <xf numFmtId="0" fontId="21" fillId="7" borderId="1" xfId="0" applyFont="1" applyFill="1" applyBorder="1" applyAlignment="1">
      <alignment horizontal="center" vertical="center" wrapText="1" shrinkToFit="1"/>
    </xf>
    <xf numFmtId="49" fontId="21" fillId="7" borderId="1" xfId="0" applyNumberFormat="1" applyFont="1" applyFill="1" applyBorder="1" applyAlignment="1">
      <alignment horizontal="center" vertical="center" shrinkToFit="1"/>
    </xf>
    <xf numFmtId="0" fontId="21" fillId="7" borderId="11" xfId="0" applyFont="1" applyFill="1" applyBorder="1" applyAlignment="1">
      <alignment horizontal="center" vertical="center" shrinkToFit="1"/>
    </xf>
    <xf numFmtId="0" fontId="21" fillId="7" borderId="15" xfId="0" applyFont="1" applyFill="1" applyBorder="1" applyAlignment="1">
      <alignment horizontal="center" vertical="center" shrinkToFit="1"/>
    </xf>
    <xf numFmtId="0" fontId="21" fillId="7" borderId="11" xfId="0" applyFont="1" applyFill="1" applyBorder="1" applyAlignment="1">
      <alignment horizontal="center" vertical="center" wrapText="1" shrinkToFit="1"/>
    </xf>
    <xf numFmtId="0" fontId="21" fillId="7" borderId="15" xfId="0" applyFont="1" applyFill="1" applyBorder="1" applyAlignment="1">
      <alignment horizontal="center" vertical="center" wrapText="1" shrinkToFit="1"/>
    </xf>
    <xf numFmtId="0" fontId="164" fillId="0" borderId="11" xfId="0" applyFont="1" applyBorder="1" applyAlignment="1">
      <alignment horizontal="center" vertical="center" wrapText="1"/>
    </xf>
    <xf numFmtId="0" fontId="164" fillId="0" borderId="3" xfId="0" applyFont="1" applyBorder="1" applyAlignment="1">
      <alignment horizontal="center" vertical="center" wrapText="1"/>
    </xf>
    <xf numFmtId="0" fontId="164" fillId="0" borderId="15" xfId="0" applyFont="1" applyBorder="1" applyAlignment="1">
      <alignment horizontal="center" vertical="center" wrapText="1"/>
    </xf>
    <xf numFmtId="0" fontId="164" fillId="0" borderId="11" xfId="0" applyFont="1" applyBorder="1" applyAlignment="1">
      <alignment horizontal="center" vertical="center"/>
    </xf>
    <xf numFmtId="0" fontId="164" fillId="0" borderId="15" xfId="0" applyFont="1" applyBorder="1" applyAlignment="1">
      <alignment horizontal="center" vertical="center"/>
    </xf>
    <xf numFmtId="49" fontId="5" fillId="0" borderId="11" xfId="0" applyNumberFormat="1" applyFont="1" applyBorder="1" applyAlignment="1">
      <alignment horizontal="center" vertical="center"/>
    </xf>
    <xf numFmtId="49" fontId="5" fillId="0" borderId="3" xfId="0" applyNumberFormat="1" applyFont="1" applyBorder="1" applyAlignment="1">
      <alignment horizontal="center" vertical="center"/>
    </xf>
    <xf numFmtId="49" fontId="5" fillId="0" borderId="15" xfId="0" applyNumberFormat="1" applyFont="1" applyBorder="1" applyAlignment="1">
      <alignment horizontal="center" vertical="center"/>
    </xf>
    <xf numFmtId="179" fontId="35" fillId="0" borderId="3" xfId="0" applyNumberFormat="1" applyFont="1" applyBorder="1" applyAlignment="1">
      <alignment horizontal="center" vertical="center" wrapText="1"/>
    </xf>
    <xf numFmtId="179" fontId="35" fillId="0" borderId="15" xfId="0" applyNumberFormat="1" applyFont="1" applyBorder="1" applyAlignment="1">
      <alignment horizontal="center" vertical="center" wrapText="1"/>
    </xf>
    <xf numFmtId="176" fontId="17" fillId="0" borderId="9" xfId="0" applyNumberFormat="1" applyFont="1" applyBorder="1" applyAlignment="1">
      <alignment horizontal="center" vertical="center"/>
    </xf>
    <xf numFmtId="176" fontId="17" fillId="0" borderId="8" xfId="0" applyNumberFormat="1" applyFont="1" applyBorder="1" applyAlignment="1">
      <alignment horizontal="center" vertical="center"/>
    </xf>
    <xf numFmtId="176" fontId="17" fillId="0" borderId="10" xfId="0" applyNumberFormat="1" applyFont="1" applyBorder="1" applyAlignment="1">
      <alignment horizontal="center" vertical="center"/>
    </xf>
    <xf numFmtId="0" fontId="13" fillId="0" borderId="11" xfId="0" applyFont="1" applyBorder="1" applyAlignment="1">
      <alignment horizontal="center" vertical="center" wrapText="1"/>
    </xf>
    <xf numFmtId="0" fontId="13" fillId="0" borderId="3" xfId="0" applyFont="1" applyBorder="1" applyAlignment="1">
      <alignment horizontal="center" vertical="center"/>
    </xf>
    <xf numFmtId="0" fontId="13" fillId="0" borderId="15" xfId="0" applyFont="1" applyBorder="1" applyAlignment="1">
      <alignment horizontal="center" vertical="center"/>
    </xf>
    <xf numFmtId="6" fontId="97" fillId="8" borderId="11" xfId="17" applyFont="1" applyFill="1" applyBorder="1" applyAlignment="1">
      <alignment horizontal="center" vertical="center" wrapText="1"/>
    </xf>
    <xf numFmtId="6" fontId="97" fillId="8" borderId="15" xfId="17" applyFont="1" applyFill="1" applyBorder="1" applyAlignment="1">
      <alignment horizontal="center" vertical="center" wrapText="1"/>
    </xf>
    <xf numFmtId="6" fontId="97" fillId="7" borderId="1" xfId="17" applyFont="1" applyFill="1" applyBorder="1" applyAlignment="1">
      <alignment horizontal="center" vertical="center" wrapText="1"/>
    </xf>
    <xf numFmtId="6" fontId="97" fillId="7" borderId="1" xfId="17" applyFont="1" applyFill="1" applyBorder="1" applyAlignment="1">
      <alignment horizontal="center" vertical="center"/>
    </xf>
    <xf numFmtId="0" fontId="275" fillId="23" borderId="171" xfId="0" applyFont="1" applyFill="1" applyBorder="1" applyAlignment="1">
      <alignment horizontal="center" vertical="center"/>
    </xf>
    <xf numFmtId="0" fontId="275" fillId="23" borderId="172" xfId="0" applyFont="1" applyFill="1" applyBorder="1" applyAlignment="1">
      <alignment horizontal="center" vertical="center"/>
    </xf>
    <xf numFmtId="0" fontId="275" fillId="23" borderId="175" xfId="0" applyFont="1" applyFill="1" applyBorder="1" applyAlignment="1">
      <alignment horizontal="center" vertical="center"/>
    </xf>
    <xf numFmtId="0" fontId="275" fillId="23" borderId="170" xfId="0" applyFont="1" applyFill="1" applyBorder="1" applyAlignment="1">
      <alignment horizontal="center" vertical="center"/>
    </xf>
    <xf numFmtId="0" fontId="275" fillId="23" borderId="174" xfId="0" applyFont="1" applyFill="1" applyBorder="1" applyAlignment="1">
      <alignment horizontal="center" vertical="center"/>
    </xf>
    <xf numFmtId="0" fontId="249" fillId="24" borderId="70" xfId="0" applyFont="1" applyFill="1" applyBorder="1" applyAlignment="1">
      <alignment horizontal="center" vertical="center" wrapText="1"/>
    </xf>
    <xf numFmtId="0" fontId="182" fillId="24" borderId="71" xfId="0" applyFont="1" applyFill="1" applyBorder="1" applyAlignment="1">
      <alignment horizontal="center" vertical="center" wrapText="1"/>
    </xf>
    <xf numFmtId="0" fontId="182" fillId="24" borderId="5" xfId="0" applyFont="1" applyFill="1" applyBorder="1" applyAlignment="1">
      <alignment horizontal="center" vertical="center" wrapText="1"/>
    </xf>
    <xf numFmtId="0" fontId="102" fillId="25" borderId="151" xfId="0" applyFont="1" applyFill="1" applyBorder="1" applyAlignment="1">
      <alignment vertical="center" wrapText="1"/>
    </xf>
    <xf numFmtId="0" fontId="102" fillId="25" borderId="6" xfId="0" applyFont="1" applyFill="1" applyBorder="1" applyAlignment="1">
      <alignment vertical="center" wrapText="1"/>
    </xf>
    <xf numFmtId="0" fontId="275" fillId="23" borderId="169" xfId="0" applyFont="1" applyFill="1" applyBorder="1" applyAlignment="1">
      <alignment horizontal="center" vertical="center"/>
    </xf>
    <xf numFmtId="0" fontId="275" fillId="23" borderId="173" xfId="0" applyFont="1" applyFill="1" applyBorder="1" applyAlignment="1">
      <alignment horizontal="center" vertical="center"/>
    </xf>
    <xf numFmtId="0" fontId="119" fillId="0" borderId="0" xfId="0" applyFont="1" applyAlignment="1">
      <alignment horizontal="center" vertical="center"/>
    </xf>
    <xf numFmtId="231" fontId="119" fillId="0" borderId="44" xfId="0" applyNumberFormat="1" applyFont="1" applyBorder="1" applyAlignment="1">
      <alignment horizontal="center" vertical="center"/>
    </xf>
    <xf numFmtId="231" fontId="119" fillId="0" borderId="45" xfId="0" applyNumberFormat="1" applyFont="1" applyBorder="1" applyAlignment="1">
      <alignment horizontal="center" vertical="center"/>
    </xf>
    <xf numFmtId="231" fontId="119" fillId="0" borderId="59" xfId="0" applyNumberFormat="1" applyFont="1" applyBorder="1" applyAlignment="1">
      <alignment horizontal="center" vertical="center"/>
    </xf>
    <xf numFmtId="231" fontId="119" fillId="0" borderId="69" xfId="0" applyNumberFormat="1" applyFont="1" applyBorder="1" applyAlignment="1">
      <alignment horizontal="center" vertical="center"/>
    </xf>
    <xf numFmtId="0" fontId="119" fillId="0" borderId="59" xfId="0" applyFont="1" applyBorder="1" applyAlignment="1">
      <alignment horizontal="left" vertical="center" shrinkToFit="1"/>
    </xf>
    <xf numFmtId="0" fontId="119" fillId="0" borderId="31" xfId="0" applyFont="1" applyBorder="1" applyAlignment="1">
      <alignment horizontal="left" vertical="center" shrinkToFit="1"/>
    </xf>
    <xf numFmtId="228" fontId="119" fillId="0" borderId="44" xfId="0" applyNumberFormat="1" applyFont="1" applyBorder="1" applyAlignment="1">
      <alignment horizontal="center" vertical="center"/>
    </xf>
    <xf numFmtId="228" fontId="119" fillId="0" borderId="39" xfId="0" applyNumberFormat="1" applyFont="1" applyBorder="1" applyAlignment="1">
      <alignment horizontal="center" vertical="center"/>
    </xf>
    <xf numFmtId="228" fontId="119" fillId="0" borderId="40" xfId="0" applyNumberFormat="1" applyFont="1" applyBorder="1" applyAlignment="1">
      <alignment horizontal="center" vertical="center"/>
    </xf>
    <xf numFmtId="232" fontId="119" fillId="0" borderId="43" xfId="0" applyNumberFormat="1" applyFont="1" applyBorder="1" applyAlignment="1">
      <alignment horizontal="center" vertical="center"/>
    </xf>
    <xf numFmtId="232" fontId="119" fillId="0" borderId="45" xfId="0" applyNumberFormat="1" applyFont="1" applyBorder="1" applyAlignment="1">
      <alignment horizontal="center" vertical="center"/>
    </xf>
    <xf numFmtId="0" fontId="119" fillId="0" borderId="44" xfId="0" applyFont="1" applyBorder="1" applyAlignment="1">
      <alignment horizontal="left" vertical="center" shrinkToFit="1"/>
    </xf>
    <xf numFmtId="0" fontId="119" fillId="0" borderId="39" xfId="0" applyFont="1" applyBorder="1" applyAlignment="1">
      <alignment horizontal="left" vertical="center" shrinkToFit="1"/>
    </xf>
    <xf numFmtId="0" fontId="119" fillId="0" borderId="43" xfId="0" applyFont="1" applyBorder="1" applyAlignment="1">
      <alignment horizontal="left" vertical="center" shrinkToFit="1"/>
    </xf>
    <xf numFmtId="0" fontId="119" fillId="0" borderId="45" xfId="0" applyFont="1" applyBorder="1" applyAlignment="1">
      <alignment horizontal="left" vertical="center" shrinkToFit="1"/>
    </xf>
    <xf numFmtId="0" fontId="119" fillId="0" borderId="46" xfId="0" applyFont="1" applyBorder="1" applyAlignment="1">
      <alignment horizontal="center" vertical="center"/>
    </xf>
    <xf numFmtId="0" fontId="119" fillId="0" borderId="0" xfId="0" applyFont="1" applyAlignment="1">
      <alignment horizontal="left" vertical="center"/>
    </xf>
    <xf numFmtId="0" fontId="119" fillId="0" borderId="40" xfId="0" applyFont="1" applyBorder="1" applyAlignment="1">
      <alignment horizontal="left" vertical="center" shrinkToFit="1"/>
    </xf>
    <xf numFmtId="0" fontId="121" fillId="0" borderId="29" xfId="0" applyFont="1" applyBorder="1" applyAlignment="1">
      <alignment horizontal="right" vertical="center"/>
    </xf>
    <xf numFmtId="228" fontId="119" fillId="0" borderId="59" xfId="0" applyNumberFormat="1" applyFont="1" applyBorder="1" applyAlignment="1">
      <alignment horizontal="center" vertical="center"/>
    </xf>
    <xf numFmtId="228" fontId="119" fillId="0" borderId="31" xfId="0" applyNumberFormat="1" applyFont="1" applyBorder="1" applyAlignment="1">
      <alignment horizontal="center" vertical="center"/>
    </xf>
    <xf numFmtId="228" fontId="119" fillId="0" borderId="32" xfId="0" applyNumberFormat="1" applyFont="1" applyBorder="1" applyAlignment="1">
      <alignment horizontal="center" vertical="center"/>
    </xf>
    <xf numFmtId="184" fontId="119" fillId="0" borderId="43" xfId="0" applyNumberFormat="1" applyFont="1" applyBorder="1" applyAlignment="1">
      <alignment horizontal="center" vertical="center"/>
    </xf>
    <xf numFmtId="184" fontId="119" fillId="0" borderId="40" xfId="0" applyNumberFormat="1" applyFont="1" applyBorder="1" applyAlignment="1">
      <alignment horizontal="center" vertical="center"/>
    </xf>
    <xf numFmtId="0" fontId="119" fillId="0" borderId="70" xfId="0" applyFont="1" applyBorder="1" applyAlignment="1">
      <alignment horizontal="center" vertical="center"/>
    </xf>
    <xf numFmtId="0" fontId="119" fillId="0" borderId="71" xfId="0" applyFont="1" applyBorder="1" applyAlignment="1">
      <alignment horizontal="center" vertical="center"/>
    </xf>
    <xf numFmtId="0" fontId="119" fillId="0" borderId="44" xfId="0" applyFont="1" applyBorder="1" applyAlignment="1">
      <alignment horizontal="center" vertical="center"/>
    </xf>
    <xf numFmtId="0" fontId="119" fillId="0" borderId="39" xfId="0" applyFont="1" applyBorder="1" applyAlignment="1">
      <alignment horizontal="center" vertical="center"/>
    </xf>
    <xf numFmtId="0" fontId="119" fillId="0" borderId="40" xfId="0" applyFont="1" applyBorder="1" applyAlignment="1">
      <alignment horizontal="center" vertical="center"/>
    </xf>
    <xf numFmtId="0" fontId="121" fillId="0" borderId="29" xfId="0" applyFont="1" applyBorder="1" applyAlignment="1">
      <alignment horizontal="left" vertical="center"/>
    </xf>
    <xf numFmtId="228" fontId="119" fillId="0" borderId="47" xfId="0" applyNumberFormat="1" applyFont="1" applyBorder="1" applyAlignment="1">
      <alignment horizontal="center" vertical="center"/>
    </xf>
    <xf numFmtId="228" fontId="119" fillId="0" borderId="27" xfId="0" applyNumberFormat="1" applyFont="1" applyBorder="1" applyAlignment="1">
      <alignment horizontal="center" vertical="center"/>
    </xf>
    <xf numFmtId="228" fontId="119" fillId="0" borderId="28" xfId="0" applyNumberFormat="1" applyFont="1" applyBorder="1" applyAlignment="1">
      <alignment horizontal="center" vertical="center"/>
    </xf>
    <xf numFmtId="184" fontId="119" fillId="0" borderId="58" xfId="0" applyNumberFormat="1" applyFont="1" applyBorder="1" applyAlignment="1">
      <alignment horizontal="center" vertical="center"/>
    </xf>
    <xf numFmtId="184" fontId="119" fillId="0" borderId="28" xfId="0" applyNumberFormat="1" applyFont="1" applyBorder="1" applyAlignment="1">
      <alignment horizontal="center" vertical="center"/>
    </xf>
    <xf numFmtId="232" fontId="119" fillId="0" borderId="58" xfId="0" applyNumberFormat="1" applyFont="1" applyBorder="1" applyAlignment="1">
      <alignment horizontal="center" vertical="center"/>
    </xf>
    <xf numFmtId="232" fontId="119" fillId="0" borderId="81" xfId="0" applyNumberFormat="1" applyFont="1" applyBorder="1" applyAlignment="1">
      <alignment horizontal="center" vertical="center"/>
    </xf>
    <xf numFmtId="231" fontId="119" fillId="0" borderId="47" xfId="0" applyNumberFormat="1" applyFont="1" applyBorder="1" applyAlignment="1">
      <alignment horizontal="center" vertical="center"/>
    </xf>
    <xf numFmtId="231" fontId="119" fillId="0" borderId="81" xfId="0" applyNumberFormat="1" applyFont="1" applyBorder="1" applyAlignment="1">
      <alignment horizontal="center" vertical="center"/>
    </xf>
    <xf numFmtId="0" fontId="119" fillId="0" borderId="73" xfId="0" applyFont="1" applyBorder="1" applyAlignment="1">
      <alignment horizontal="right" vertical="center"/>
    </xf>
    <xf numFmtId="0" fontId="119" fillId="0" borderId="1" xfId="0" applyFont="1" applyBorder="1" applyAlignment="1">
      <alignment horizontal="center" vertical="center"/>
    </xf>
    <xf numFmtId="0" fontId="119" fillId="0" borderId="9" xfId="0" applyFont="1" applyBorder="1" applyAlignment="1">
      <alignment horizontal="left" vertical="center"/>
    </xf>
    <xf numFmtId="0" fontId="119" fillId="0" borderId="8" xfId="0" applyFont="1" applyBorder="1" applyAlignment="1">
      <alignment horizontal="left" vertical="center"/>
    </xf>
    <xf numFmtId="0" fontId="119" fillId="0" borderId="10" xfId="0" applyFont="1" applyBorder="1" applyAlignment="1">
      <alignment horizontal="left" vertical="center"/>
    </xf>
    <xf numFmtId="0" fontId="119" fillId="0" borderId="48" xfId="0" applyFont="1" applyBorder="1" applyAlignment="1">
      <alignment horizontal="center" vertical="center"/>
    </xf>
    <xf numFmtId="0" fontId="119" fillId="0" borderId="49" xfId="0" applyFont="1" applyBorder="1" applyAlignment="1">
      <alignment horizontal="center" vertical="center"/>
    </xf>
    <xf numFmtId="0" fontId="119" fillId="0" borderId="50" xfId="0" applyFont="1" applyBorder="1" applyAlignment="1">
      <alignment horizontal="center" vertical="center"/>
    </xf>
    <xf numFmtId="0" fontId="119" fillId="0" borderId="41" xfId="0" applyFont="1" applyBorder="1" applyAlignment="1">
      <alignment horizontal="center" vertical="center"/>
    </xf>
    <xf numFmtId="0" fontId="119" fillId="0" borderId="34" xfId="0" applyFont="1" applyBorder="1" applyAlignment="1">
      <alignment horizontal="center" vertical="center"/>
    </xf>
    <xf numFmtId="0" fontId="119" fillId="0" borderId="51" xfId="0" applyFont="1" applyBorder="1" applyAlignment="1">
      <alignment horizontal="center" vertical="center"/>
    </xf>
    <xf numFmtId="228" fontId="119" fillId="0" borderId="74" xfId="0" applyNumberFormat="1" applyFont="1" applyBorder="1" applyAlignment="1">
      <alignment horizontal="center" vertical="center"/>
    </xf>
    <xf numFmtId="228" fontId="119" fillId="0" borderId="71" xfId="0" applyNumberFormat="1" applyFont="1" applyBorder="1" applyAlignment="1">
      <alignment horizontal="center" vertical="center"/>
    </xf>
    <xf numFmtId="228" fontId="119" fillId="0" borderId="5" xfId="0" applyNumberFormat="1" applyFont="1" applyBorder="1" applyAlignment="1">
      <alignment horizontal="center" vertical="center"/>
    </xf>
    <xf numFmtId="2" fontId="120" fillId="0" borderId="75" xfId="0" applyNumberFormat="1" applyFont="1" applyBorder="1" applyAlignment="1">
      <alignment horizontal="center" vertical="center"/>
    </xf>
    <xf numFmtId="2" fontId="120" fillId="0" borderId="76" xfId="0" applyNumberFormat="1" applyFont="1" applyBorder="1" applyAlignment="1">
      <alignment horizontal="center" vertical="center"/>
    </xf>
    <xf numFmtId="2" fontId="120" fillId="0" borderId="77" xfId="0" applyNumberFormat="1" applyFont="1" applyBorder="1" applyAlignment="1">
      <alignment horizontal="center" vertical="center"/>
    </xf>
    <xf numFmtId="0" fontId="119" fillId="0" borderId="55" xfId="0" applyFont="1" applyBorder="1" applyAlignment="1">
      <alignment horizontal="center" vertical="center"/>
    </xf>
    <xf numFmtId="0" fontId="119" fillId="0" borderId="29" xfId="0" applyFont="1" applyBorder="1" applyAlignment="1">
      <alignment horizontal="center" vertical="center"/>
    </xf>
    <xf numFmtId="0" fontId="119" fillId="0" borderId="78" xfId="0" applyFont="1" applyBorder="1" applyAlignment="1">
      <alignment horizontal="left" vertical="center"/>
    </xf>
    <xf numFmtId="0" fontId="119" fillId="0" borderId="67" xfId="0" applyFont="1" applyBorder="1" applyAlignment="1">
      <alignment horizontal="left" vertical="center"/>
    </xf>
    <xf numFmtId="228" fontId="119" fillId="0" borderId="9" xfId="0" applyNumberFormat="1" applyFont="1" applyBorder="1" applyAlignment="1">
      <alignment horizontal="center" vertical="center"/>
    </xf>
    <xf numFmtId="228" fontId="119" fillId="0" borderId="8" xfId="0" applyNumberFormat="1" applyFont="1" applyBorder="1" applyAlignment="1">
      <alignment horizontal="center" vertical="center"/>
    </xf>
    <xf numFmtId="228" fontId="119" fillId="0" borderId="10" xfId="0" applyNumberFormat="1" applyFont="1" applyBorder="1" applyAlignment="1">
      <alignment horizontal="center" vertical="center"/>
    </xf>
    <xf numFmtId="0" fontId="119" fillId="0" borderId="60" xfId="0" applyFont="1" applyBorder="1" applyAlignment="1">
      <alignment horizontal="left" vertical="center" shrinkToFit="1"/>
    </xf>
    <xf numFmtId="0" fontId="119" fillId="0" borderId="69" xfId="0" applyFont="1" applyBorder="1" applyAlignment="1">
      <alignment horizontal="left" vertical="center" shrinkToFit="1"/>
    </xf>
    <xf numFmtId="0" fontId="119" fillId="0" borderId="75" xfId="0" applyFont="1" applyBorder="1" applyAlignment="1">
      <alignment horizontal="center" vertical="center"/>
    </xf>
    <xf numFmtId="0" fontId="119" fillId="0" borderId="77" xfId="0" applyFont="1" applyBorder="1" applyAlignment="1">
      <alignment horizontal="center" vertical="center"/>
    </xf>
    <xf numFmtId="0" fontId="119" fillId="0" borderId="79" xfId="0" applyFont="1" applyBorder="1" applyAlignment="1">
      <alignment horizontal="center" vertical="center"/>
    </xf>
    <xf numFmtId="0" fontId="119" fillId="0" borderId="80" xfId="0" applyFont="1" applyBorder="1" applyAlignment="1">
      <alignment horizontal="center" vertical="center"/>
    </xf>
    <xf numFmtId="0" fontId="119" fillId="0" borderId="72" xfId="0" applyFont="1" applyBorder="1" applyAlignment="1">
      <alignment horizontal="center" vertical="center"/>
    </xf>
    <xf numFmtId="228" fontId="119" fillId="0" borderId="55" xfId="0" applyNumberFormat="1" applyFont="1" applyBorder="1" applyAlignment="1">
      <alignment horizontal="center" vertical="center"/>
    </xf>
    <xf numFmtId="228" fontId="119" fillId="0" borderId="29" xfId="0" applyNumberFormat="1" applyFont="1" applyBorder="1" applyAlignment="1">
      <alignment horizontal="center" vertical="center"/>
    </xf>
    <xf numFmtId="228" fontId="119" fillId="0" borderId="68" xfId="0" applyNumberFormat="1" applyFont="1" applyBorder="1" applyAlignment="1">
      <alignment horizontal="center" vertical="center"/>
    </xf>
    <xf numFmtId="0" fontId="121" fillId="0" borderId="68" xfId="0" applyFont="1" applyBorder="1" applyAlignment="1">
      <alignment horizontal="left" vertical="center"/>
    </xf>
    <xf numFmtId="0" fontId="119" fillId="0" borderId="9" xfId="0" applyFont="1" applyBorder="1" applyAlignment="1">
      <alignment horizontal="center" vertical="center"/>
    </xf>
    <xf numFmtId="0" fontId="119" fillId="0" borderId="8" xfId="0" applyFont="1" applyBorder="1" applyAlignment="1">
      <alignment horizontal="center" vertical="center"/>
    </xf>
    <xf numFmtId="232" fontId="119" fillId="0" borderId="60" xfId="0" applyNumberFormat="1" applyFont="1" applyBorder="1" applyAlignment="1">
      <alignment horizontal="center" vertical="center"/>
    </xf>
    <xf numFmtId="232" fontId="119" fillId="0" borderId="69" xfId="0" applyNumberFormat="1" applyFont="1" applyBorder="1" applyAlignment="1">
      <alignment horizontal="center" vertical="center"/>
    </xf>
    <xf numFmtId="184" fontId="119" fillId="0" borderId="60" xfId="0" applyNumberFormat="1" applyFont="1" applyBorder="1" applyAlignment="1">
      <alignment horizontal="center" vertical="center"/>
    </xf>
    <xf numFmtId="184" fontId="119" fillId="0" borderId="32" xfId="0" applyNumberFormat="1" applyFont="1" applyBorder="1" applyAlignment="1">
      <alignment horizontal="center" vertical="center"/>
    </xf>
    <xf numFmtId="0" fontId="119" fillId="0" borderId="59" xfId="0" applyFont="1" applyBorder="1" applyAlignment="1">
      <alignment horizontal="center" vertical="center"/>
    </xf>
    <xf numFmtId="0" fontId="119" fillId="0" borderId="31" xfId="0" applyFont="1" applyBorder="1" applyAlignment="1">
      <alignment horizontal="center" vertical="center"/>
    </xf>
    <xf numFmtId="0" fontId="119" fillId="0" borderId="32" xfId="0" applyFont="1" applyBorder="1" applyAlignment="1">
      <alignment horizontal="center" vertical="center"/>
    </xf>
    <xf numFmtId="0" fontId="120" fillId="0" borderId="26" xfId="0" applyFont="1" applyBorder="1">
      <alignment vertical="center"/>
    </xf>
    <xf numFmtId="0" fontId="120" fillId="0" borderId="24" xfId="0" applyFont="1" applyBorder="1">
      <alignment vertical="center"/>
    </xf>
    <xf numFmtId="0" fontId="120" fillId="0" borderId="25" xfId="0" applyFont="1" applyBorder="1">
      <alignment vertical="center"/>
    </xf>
    <xf numFmtId="0" fontId="119" fillId="0" borderId="43" xfId="0" applyFont="1" applyBorder="1" applyAlignment="1">
      <alignment horizontal="left" vertical="center"/>
    </xf>
    <xf numFmtId="0" fontId="119" fillId="0" borderId="39" xfId="0" applyFont="1" applyBorder="1" applyAlignment="1">
      <alignment horizontal="left" vertical="center"/>
    </xf>
    <xf numFmtId="0" fontId="119" fillId="0" borderId="40" xfId="0" applyFont="1" applyBorder="1" applyAlignment="1">
      <alignment horizontal="left" vertical="center"/>
    </xf>
    <xf numFmtId="0" fontId="120" fillId="0" borderId="59" xfId="0" applyFont="1" applyBorder="1">
      <alignment vertical="center"/>
    </xf>
    <xf numFmtId="0" fontId="120" fillId="0" borderId="31" xfId="0" applyFont="1" applyBorder="1">
      <alignment vertical="center"/>
    </xf>
    <xf numFmtId="0" fontId="119" fillId="0" borderId="60" xfId="0" applyFont="1" applyBorder="1" applyAlignment="1">
      <alignment horizontal="left" vertical="center"/>
    </xf>
    <xf numFmtId="0" fontId="119" fillId="0" borderId="31" xfId="0" applyFont="1" applyBorder="1" applyAlignment="1">
      <alignment horizontal="left" vertical="center"/>
    </xf>
    <xf numFmtId="0" fontId="119" fillId="0" borderId="65" xfId="0" applyFont="1" applyBorder="1">
      <alignment vertical="center"/>
    </xf>
    <xf numFmtId="0" fontId="119" fillId="0" borderId="66" xfId="0" applyFont="1" applyBorder="1">
      <alignment vertical="center"/>
    </xf>
    <xf numFmtId="0" fontId="119" fillId="0" borderId="67" xfId="0" applyFont="1" applyBorder="1">
      <alignment vertical="center"/>
    </xf>
    <xf numFmtId="0" fontId="119" fillId="0" borderId="47" xfId="0" applyFont="1" applyBorder="1" applyAlignment="1">
      <alignment horizontal="left" vertical="center" shrinkToFit="1"/>
    </xf>
    <xf numFmtId="0" fontId="119" fillId="0" borderId="27" xfId="0" applyFont="1" applyBorder="1" applyAlignment="1">
      <alignment horizontal="left" vertical="center" shrinkToFit="1"/>
    </xf>
    <xf numFmtId="0" fontId="119" fillId="0" borderId="28" xfId="0" applyFont="1" applyBorder="1" applyAlignment="1">
      <alignment horizontal="left" vertical="center" shrinkToFit="1"/>
    </xf>
    <xf numFmtId="0" fontId="119" fillId="0" borderId="59" xfId="0" applyFont="1" applyBorder="1" applyAlignment="1">
      <alignment horizontal="left" vertical="center"/>
    </xf>
    <xf numFmtId="0" fontId="119" fillId="0" borderId="32" xfId="0" applyFont="1" applyBorder="1" applyAlignment="1">
      <alignment horizontal="left" vertical="center"/>
    </xf>
    <xf numFmtId="230" fontId="119" fillId="0" borderId="59" xfId="0" applyNumberFormat="1" applyFont="1" applyBorder="1" applyAlignment="1">
      <alignment horizontal="left" vertical="center"/>
    </xf>
    <xf numFmtId="230" fontId="119" fillId="0" borderId="31" xfId="0" applyNumberFormat="1" applyFont="1" applyBorder="1" applyAlignment="1">
      <alignment horizontal="left" vertical="center"/>
    </xf>
    <xf numFmtId="230" fontId="119" fillId="0" borderId="32" xfId="0" applyNumberFormat="1" applyFont="1" applyBorder="1" applyAlignment="1">
      <alignment horizontal="left" vertical="center"/>
    </xf>
    <xf numFmtId="0" fontId="120" fillId="0" borderId="55" xfId="0" applyFont="1" applyBorder="1" applyAlignment="1">
      <alignment horizontal="left" vertical="top"/>
    </xf>
    <xf numFmtId="0" fontId="120" fillId="0" borderId="29" xfId="0" applyFont="1" applyBorder="1" applyAlignment="1">
      <alignment horizontal="left" vertical="top"/>
    </xf>
    <xf numFmtId="0" fontId="120" fillId="0" borderId="56" xfId="0" applyFont="1" applyBorder="1" applyAlignment="1">
      <alignment horizontal="left" vertical="top"/>
    </xf>
    <xf numFmtId="0" fontId="120" fillId="0" borderId="0" xfId="0" applyFont="1" applyAlignment="1">
      <alignment horizontal="left" vertical="top"/>
    </xf>
    <xf numFmtId="0" fontId="119" fillId="0" borderId="61" xfId="0" applyFont="1" applyBorder="1" applyAlignment="1">
      <alignment horizontal="left" vertical="center"/>
    </xf>
    <xf numFmtId="0" fontId="119" fillId="0" borderId="33" xfId="0" applyFont="1" applyBorder="1" applyAlignment="1">
      <alignment horizontal="left" vertical="center"/>
    </xf>
    <xf numFmtId="0" fontId="119" fillId="0" borderId="47" xfId="0" applyFont="1" applyBorder="1" applyAlignment="1">
      <alignment horizontal="center" vertical="center"/>
    </xf>
    <xf numFmtId="0" fontId="119" fillId="0" borderId="27" xfId="0" applyFont="1" applyBorder="1" applyAlignment="1">
      <alignment horizontal="center" vertical="center"/>
    </xf>
    <xf numFmtId="0" fontId="119" fillId="0" borderId="28" xfId="0" applyFont="1" applyBorder="1" applyAlignment="1">
      <alignment horizontal="center" vertical="center"/>
    </xf>
    <xf numFmtId="0" fontId="119" fillId="0" borderId="52" xfId="0" applyFont="1" applyBorder="1" applyAlignment="1">
      <alignment horizontal="center" vertical="center"/>
    </xf>
    <xf numFmtId="0" fontId="119" fillId="0" borderId="53" xfId="0" applyFont="1" applyBorder="1" applyAlignment="1">
      <alignment horizontal="center" vertical="center"/>
    </xf>
    <xf numFmtId="0" fontId="119" fillId="0" borderId="54" xfId="0" applyFont="1" applyBorder="1" applyAlignment="1">
      <alignment horizontal="center" vertical="center"/>
    </xf>
    <xf numFmtId="0" fontId="119" fillId="0" borderId="62" xfId="0" applyFont="1" applyBorder="1" applyAlignment="1">
      <alignment horizontal="center" vertical="center"/>
    </xf>
    <xf numFmtId="0" fontId="119" fillId="0" borderId="63" xfId="0" applyFont="1" applyBorder="1" applyAlignment="1">
      <alignment horizontal="center" vertical="center"/>
    </xf>
    <xf numFmtId="0" fontId="119" fillId="0" borderId="64" xfId="0" applyFont="1" applyBorder="1" applyAlignment="1">
      <alignment horizontal="center" vertical="center"/>
    </xf>
    <xf numFmtId="0" fontId="119" fillId="0" borderId="82" xfId="0" applyFont="1" applyBorder="1" applyAlignment="1">
      <alignment horizontal="left" vertical="center"/>
    </xf>
    <xf numFmtId="0" fontId="119" fillId="0" borderId="83" xfId="0" applyFont="1" applyBorder="1" applyAlignment="1">
      <alignment horizontal="left" vertical="center"/>
    </xf>
    <xf numFmtId="0" fontId="119" fillId="0" borderId="84" xfId="0" applyFont="1" applyBorder="1" applyAlignment="1">
      <alignment horizontal="left" vertical="center"/>
    </xf>
    <xf numFmtId="0" fontId="56" fillId="0" borderId="0" xfId="0" applyFont="1" applyAlignment="1">
      <alignment horizontal="left" vertical="center" wrapText="1"/>
    </xf>
    <xf numFmtId="0" fontId="117" fillId="0" borderId="0" xfId="0" applyFont="1" applyAlignment="1">
      <alignment horizontal="left" vertical="center"/>
    </xf>
    <xf numFmtId="0" fontId="117" fillId="0" borderId="30" xfId="0" applyFont="1" applyBorder="1" applyAlignment="1">
      <alignment horizontal="left" vertical="center"/>
    </xf>
    <xf numFmtId="0" fontId="122" fillId="0" borderId="0" xfId="0" applyFont="1" applyAlignment="1">
      <alignment horizontal="left" vertical="center"/>
    </xf>
    <xf numFmtId="0" fontId="123" fillId="0" borderId="0" xfId="0" applyFont="1" applyAlignment="1">
      <alignment horizontal="left" vertical="center"/>
    </xf>
    <xf numFmtId="0" fontId="119" fillId="0" borderId="30" xfId="0" applyFont="1" applyBorder="1" applyAlignment="1">
      <alignment horizontal="left" vertical="center"/>
    </xf>
    <xf numFmtId="230" fontId="119" fillId="0" borderId="30" xfId="0" applyNumberFormat="1" applyFont="1" applyBorder="1" applyAlignment="1">
      <alignment horizontal="center" vertical="center"/>
    </xf>
    <xf numFmtId="0" fontId="120" fillId="0" borderId="44" xfId="0" applyFont="1" applyBorder="1">
      <alignment vertical="center"/>
    </xf>
    <xf numFmtId="0" fontId="120" fillId="0" borderId="39" xfId="0" applyFont="1" applyBorder="1">
      <alignment vertical="center"/>
    </xf>
    <xf numFmtId="0" fontId="119" fillId="0" borderId="43" xfId="0" applyFont="1" applyBorder="1">
      <alignment vertical="center"/>
    </xf>
    <xf numFmtId="0" fontId="119" fillId="0" borderId="39" xfId="0" applyFont="1" applyBorder="1">
      <alignment vertical="center"/>
    </xf>
    <xf numFmtId="0" fontId="119" fillId="0" borderId="40" xfId="0" applyFont="1" applyBorder="1">
      <alignment vertical="center"/>
    </xf>
    <xf numFmtId="0" fontId="120" fillId="0" borderId="36" xfId="0" applyFont="1" applyBorder="1" applyAlignment="1">
      <alignment horizontal="left" vertical="top"/>
    </xf>
    <xf numFmtId="0" fontId="120" fillId="0" borderId="30" xfId="0" applyFont="1" applyBorder="1" applyAlignment="1">
      <alignment horizontal="left" vertical="top"/>
    </xf>
    <xf numFmtId="0" fontId="120" fillId="0" borderId="57" xfId="0" applyFont="1" applyBorder="1" applyAlignment="1">
      <alignment horizontal="left" vertical="center"/>
    </xf>
    <xf numFmtId="0" fontId="120" fillId="0" borderId="24" xfId="0" applyFont="1" applyBorder="1" applyAlignment="1">
      <alignment horizontal="left" vertical="center"/>
    </xf>
    <xf numFmtId="0" fontId="120" fillId="0" borderId="25" xfId="0" applyFont="1" applyBorder="1" applyAlignment="1">
      <alignment horizontal="left" vertical="center"/>
    </xf>
    <xf numFmtId="0" fontId="120" fillId="0" borderId="57" xfId="0" applyFont="1" applyBorder="1">
      <alignment vertical="center"/>
    </xf>
    <xf numFmtId="0" fontId="119" fillId="0" borderId="44" xfId="0" applyFont="1" applyBorder="1">
      <alignment vertical="center"/>
    </xf>
    <xf numFmtId="0" fontId="119" fillId="0" borderId="59" xfId="0" applyFont="1" applyBorder="1">
      <alignment vertical="center"/>
    </xf>
    <xf numFmtId="0" fontId="119" fillId="0" borderId="31" xfId="0" applyFont="1" applyBorder="1">
      <alignment vertical="center"/>
    </xf>
    <xf numFmtId="0" fontId="119" fillId="0" borderId="60" xfId="0" applyFont="1" applyBorder="1">
      <alignment vertical="center"/>
    </xf>
    <xf numFmtId="0" fontId="119" fillId="0" borderId="32" xfId="0" applyFont="1" applyBorder="1">
      <alignment vertical="center"/>
    </xf>
    <xf numFmtId="0" fontId="120" fillId="0" borderId="43" xfId="0" applyFont="1" applyBorder="1">
      <alignment vertical="center"/>
    </xf>
    <xf numFmtId="0" fontId="120" fillId="0" borderId="40" xfId="0" applyFont="1" applyBorder="1">
      <alignment vertical="center"/>
    </xf>
    <xf numFmtId="0" fontId="119" fillId="0" borderId="58" xfId="0" applyFont="1" applyBorder="1">
      <alignment vertical="center"/>
    </xf>
    <xf numFmtId="0" fontId="119" fillId="0" borderId="27" xfId="0" applyFont="1" applyBorder="1">
      <alignment vertical="center"/>
    </xf>
    <xf numFmtId="0" fontId="119" fillId="0" borderId="28" xfId="0" applyFont="1" applyBorder="1">
      <alignment vertical="center"/>
    </xf>
    <xf numFmtId="0" fontId="120" fillId="0" borderId="60" xfId="0" applyFont="1" applyBorder="1" applyAlignment="1">
      <alignment horizontal="left" vertical="center"/>
    </xf>
    <xf numFmtId="0" fontId="120" fillId="0" borderId="31" xfId="0" applyFont="1" applyBorder="1" applyAlignment="1">
      <alignment horizontal="left" vertical="center"/>
    </xf>
    <xf numFmtId="0" fontId="120" fillId="0" borderId="47" xfId="0" applyFont="1" applyBorder="1">
      <alignment vertical="center"/>
    </xf>
    <xf numFmtId="0" fontId="120" fillId="0" borderId="27" xfId="0" applyFont="1" applyBorder="1">
      <alignment vertical="center"/>
    </xf>
  </cellXfs>
  <cellStyles count="33">
    <cellStyle name="Normal 2" xfId="1" xr:uid="{00000000-0005-0000-0000-000000000000}"/>
    <cellStyle name="パーセント" xfId="16" builtinId="5"/>
    <cellStyle name="ハイパーリンク" xfId="32" builtinId="8"/>
    <cellStyle name="桁区切り" xfId="23" builtinId="6"/>
    <cellStyle name="桁区切り 2" xfId="2" xr:uid="{00000000-0005-0000-0000-000002000000}"/>
    <cellStyle name="桁区切り 2 2" xfId="20" xr:uid="{372EFC31-845C-48AB-9BE7-D0AEFD42C74F}"/>
    <cellStyle name="桁区切り 3" xfId="3" xr:uid="{00000000-0005-0000-0000-000003000000}"/>
    <cellStyle name="通貨" xfId="4" builtinId="7"/>
    <cellStyle name="通貨 2" xfId="5" xr:uid="{00000000-0005-0000-0000-000005000000}"/>
    <cellStyle name="通貨 2 2" xfId="18" xr:uid="{BC013D27-5361-43BE-A59C-7B0CE07D5070}"/>
    <cellStyle name="通貨 2 2 2" xfId="28" xr:uid="{73AD5CED-7876-4C4E-8C24-27DE663CF95E}"/>
    <cellStyle name="通貨 2 3" xfId="26" xr:uid="{FCAE1D31-7AEC-4A44-8860-5DDB5E728697}"/>
    <cellStyle name="通貨 3" xfId="6" xr:uid="{00000000-0005-0000-0000-000006000000}"/>
    <cellStyle name="通貨 3 2" xfId="17" xr:uid="{A88145A5-3BF6-4F3A-8EA3-DE8423A72B1A}"/>
    <cellStyle name="通貨 3 2 2" xfId="27" xr:uid="{8365BAAA-9E7E-4FDC-85B9-7F31A7E4E56F}"/>
    <cellStyle name="通貨 4" xfId="19" xr:uid="{8630ECE7-B03B-416F-9D84-60BFCFB642F3}"/>
    <cellStyle name="通貨 4 2" xfId="29" xr:uid="{8C7D197E-9FE2-493C-A073-95F34D416E2F}"/>
    <cellStyle name="通貨 5" xfId="25" xr:uid="{E8221FE7-D119-4FA9-BFDA-C8B762E0917E}"/>
    <cellStyle name="標準" xfId="0" builtinId="0"/>
    <cellStyle name="標準 15" xfId="7" xr:uid="{00000000-0005-0000-0000-000008000000}"/>
    <cellStyle name="標準 17" xfId="24" xr:uid="{E4099354-223B-4671-BE8D-5FF22490E251}"/>
    <cellStyle name="標準 2" xfId="8" xr:uid="{00000000-0005-0000-0000-000009000000}"/>
    <cellStyle name="標準 2 2" xfId="9" xr:uid="{00000000-0005-0000-0000-00000A000000}"/>
    <cellStyle name="標準 2 2 2" xfId="15" xr:uid="{00000000-0005-0000-0000-00000B000000}"/>
    <cellStyle name="標準 2 3" xfId="10" xr:uid="{00000000-0005-0000-0000-00000C000000}"/>
    <cellStyle name="標準 2 4" xfId="12" xr:uid="{00000000-0005-0000-0000-00000D000000}"/>
    <cellStyle name="標準 2 4 2" xfId="22" xr:uid="{5AC7FA18-4F13-457D-BE13-1DFF7D724BAD}"/>
    <cellStyle name="標準 2 5" xfId="21" xr:uid="{12263E70-BE7D-4166-B868-E74E3D8D3798}"/>
    <cellStyle name="標準 3" xfId="11" xr:uid="{00000000-0005-0000-0000-00000E000000}"/>
    <cellStyle name="標準 3 2" xfId="13" xr:uid="{00000000-0005-0000-0000-00000F000000}"/>
    <cellStyle name="標準 4" xfId="14" xr:uid="{00000000-0005-0000-0000-000010000000}"/>
    <cellStyle name="標準 4 2" xfId="30" xr:uid="{32AF3235-AC54-4C05-9C0F-2B24FA44CA20}"/>
    <cellStyle name="標準 5" xfId="31" xr:uid="{DB23E3C9-7596-4DE2-AF80-B6BC4517A09D}"/>
  </cellStyles>
  <dxfs count="59">
    <dxf>
      <font>
        <b/>
        <i val="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patternType="none">
          <bgColor indexed="6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ont>
        <b/>
        <i val="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b/>
        <i val="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Radio" checked="Checked" firstButton="1" fmlaLink="$H$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134470</xdr:colOff>
      <xdr:row>2</xdr:row>
      <xdr:rowOff>78845</xdr:rowOff>
    </xdr:from>
    <xdr:to>
      <xdr:col>11</xdr:col>
      <xdr:colOff>11205</xdr:colOff>
      <xdr:row>4</xdr:row>
      <xdr:rowOff>51630</xdr:rowOff>
    </xdr:to>
    <xdr:sp macro="[0]!PDF_BackOrder_SFAmerica" textlink="">
      <xdr:nvSpPr>
        <xdr:cNvPr id="2" name="四角形: 角度付き 1">
          <a:extLst>
            <a:ext uri="{FF2B5EF4-FFF2-40B4-BE49-F238E27FC236}">
              <a16:creationId xmlns:a16="http://schemas.microsoft.com/office/drawing/2014/main" id="{00000000-0008-0000-0300-000002000000}"/>
            </a:ext>
          </a:extLst>
        </xdr:cNvPr>
        <xdr:cNvSpPr/>
      </xdr:nvSpPr>
      <xdr:spPr>
        <a:xfrm>
          <a:off x="10880911" y="527080"/>
          <a:ext cx="1770529" cy="421021"/>
        </a:xfrm>
        <a:prstGeom prst="bevel">
          <a:avLst/>
        </a:prstGeom>
        <a:ln w="12700"/>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200">
              <a:latin typeface="+mn-ea"/>
              <a:ea typeface="+mn-ea"/>
            </a:rPr>
            <a:t>PDF</a:t>
          </a:r>
          <a:r>
            <a:rPr kumimoji="1" lang="ja-JP" altLang="en-US" sz="1200">
              <a:latin typeface="+mn-ea"/>
              <a:ea typeface="+mn-ea"/>
            </a:rPr>
            <a:t>で保存</a:t>
          </a:r>
        </a:p>
      </xdr:txBody>
    </xdr:sp>
    <xdr:clientData/>
  </xdr:twoCellAnchor>
  <xdr:twoCellAnchor>
    <xdr:from>
      <xdr:col>11</xdr:col>
      <xdr:colOff>78440</xdr:colOff>
      <xdr:row>2</xdr:row>
      <xdr:rowOff>78685</xdr:rowOff>
    </xdr:from>
    <xdr:to>
      <xdr:col>13</xdr:col>
      <xdr:colOff>481851</xdr:colOff>
      <xdr:row>4</xdr:row>
      <xdr:rowOff>51471</xdr:rowOff>
    </xdr:to>
    <xdr:sp macro="[0]!EXCEL_BackOrder_SFAmerica" textlink="">
      <xdr:nvSpPr>
        <xdr:cNvPr id="6" name="四角形: 角度付き 5">
          <a:extLst>
            <a:ext uri="{FF2B5EF4-FFF2-40B4-BE49-F238E27FC236}">
              <a16:creationId xmlns:a16="http://schemas.microsoft.com/office/drawing/2014/main" id="{00000000-0008-0000-0300-000006000000}"/>
            </a:ext>
          </a:extLst>
        </xdr:cNvPr>
        <xdr:cNvSpPr/>
      </xdr:nvSpPr>
      <xdr:spPr>
        <a:xfrm>
          <a:off x="12718675" y="526920"/>
          <a:ext cx="1770529" cy="421022"/>
        </a:xfrm>
        <a:prstGeom prst="bevel">
          <a:avLst/>
        </a:prstGeom>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en-US" altLang="ja-JP" sz="1200">
              <a:latin typeface="+mn-ea"/>
              <a:ea typeface="+mn-ea"/>
            </a:rPr>
            <a:t>EXCEL</a:t>
          </a:r>
          <a:r>
            <a:rPr kumimoji="1" lang="ja-JP" altLang="en-US" sz="1200">
              <a:latin typeface="+mn-ea"/>
              <a:ea typeface="+mn-ea"/>
            </a:rPr>
            <a:t>で保存</a:t>
          </a:r>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15</xdr:row>
          <xdr:rowOff>228600</xdr:rowOff>
        </xdr:from>
        <xdr:to>
          <xdr:col>6</xdr:col>
          <xdr:colOff>333375</xdr:colOff>
          <xdr:row>17</xdr:row>
          <xdr:rowOff>0</xdr:rowOff>
        </xdr:to>
        <xdr:sp macro="" textlink="">
          <xdr:nvSpPr>
            <xdr:cNvPr id="17412" name="Option Button 4"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15</xdr:row>
          <xdr:rowOff>228600</xdr:rowOff>
        </xdr:from>
        <xdr:to>
          <xdr:col>7</xdr:col>
          <xdr:colOff>314325</xdr:colOff>
          <xdr:row>17</xdr:row>
          <xdr:rowOff>0</xdr:rowOff>
        </xdr:to>
        <xdr:sp macro="" textlink="">
          <xdr:nvSpPr>
            <xdr:cNvPr id="17413" name="Option Button 5"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xdr:row>
          <xdr:rowOff>19050</xdr:rowOff>
        </xdr:from>
        <xdr:to>
          <xdr:col>5</xdr:col>
          <xdr:colOff>914400</xdr:colOff>
          <xdr:row>4</xdr:row>
          <xdr:rowOff>133350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Invoiceに</a:t>
              </a:r>
            </a:p>
            <a:p>
              <a:pPr algn="ctr" rtl="0">
                <a:defRPr sz="1000"/>
              </a:pPr>
              <a:r>
                <a:rPr lang="ja-JP" altLang="en-US" sz="1100" b="0" i="0" u="none" strike="noStrike" baseline="0">
                  <a:solidFill>
                    <a:srgbClr val="000000"/>
                  </a:solidFill>
                  <a:latin typeface="ＭＳ Ｐゴシック"/>
                  <a:ea typeface="ＭＳ Ｐゴシック"/>
                </a:rPr>
                <a:t>明細コピー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895350</xdr:colOff>
          <xdr:row>4</xdr:row>
          <xdr:rowOff>133350</xdr:rowOff>
        </xdr:to>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明細を</a:t>
              </a:r>
            </a:p>
            <a:p>
              <a:pPr algn="ctr" rtl="0">
                <a:defRPr sz="1000"/>
              </a:pPr>
              <a:r>
                <a:rPr lang="ja-JP" altLang="en-US" sz="1100" b="0" i="0" u="none" strike="noStrike" baseline="0">
                  <a:solidFill>
                    <a:srgbClr val="000000"/>
                  </a:solidFill>
                  <a:latin typeface="ＭＳ Ｐゴシック"/>
                  <a:ea typeface="ＭＳ Ｐ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2</xdr:row>
          <xdr:rowOff>19050</xdr:rowOff>
        </xdr:from>
        <xdr:to>
          <xdr:col>7</xdr:col>
          <xdr:colOff>876300</xdr:colOff>
          <xdr:row>4</xdr:row>
          <xdr:rowOff>133350</xdr:rowOff>
        </xdr:to>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改ページ</a:t>
              </a:r>
            </a:p>
            <a:p>
              <a:pPr algn="ctr" rtl="0">
                <a:defRPr sz="1000"/>
              </a:pPr>
              <a:r>
                <a:rPr lang="ja-JP" altLang="en-US" sz="1100" b="0" i="0" u="none" strike="noStrike" baseline="0">
                  <a:solidFill>
                    <a:srgbClr val="000000"/>
                  </a:solidFill>
                  <a:latin typeface="ＭＳ Ｐゴシック"/>
                  <a:ea typeface="ＭＳ Ｐゴシック"/>
                </a:rPr>
                <a:t>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15</xdr:row>
          <xdr:rowOff>228600</xdr:rowOff>
        </xdr:from>
        <xdr:to>
          <xdr:col>6</xdr:col>
          <xdr:colOff>314325</xdr:colOff>
          <xdr:row>17</xdr:row>
          <xdr:rowOff>0</xdr:rowOff>
        </xdr:to>
        <xdr:sp macro="" textlink="">
          <xdr:nvSpPr>
            <xdr:cNvPr id="18435" name="Option Butto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914400</xdr:colOff>
          <xdr:row>15</xdr:row>
          <xdr:rowOff>228600</xdr:rowOff>
        </xdr:from>
        <xdr:to>
          <xdr:col>7</xdr:col>
          <xdr:colOff>276225</xdr:colOff>
          <xdr:row>17</xdr:row>
          <xdr:rowOff>0</xdr:rowOff>
        </xdr:to>
        <xdr:sp macro="" textlink="">
          <xdr:nvSpPr>
            <xdr:cNvPr id="18436" name="Option Button 4" hidden="1">
              <a:extLst>
                <a:ext uri="{63B3BB69-23CF-44E3-9099-C40C66FF867C}">
                  <a14:compatExt spid="_x0000_s18436"/>
                </a:ext>
                <a:ext uri="{FF2B5EF4-FFF2-40B4-BE49-F238E27FC236}">
                  <a16:creationId xmlns:a16="http://schemas.microsoft.com/office/drawing/2014/main" id="{00000000-0008-0000-04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4</xdr:row>
          <xdr:rowOff>66675</xdr:rowOff>
        </xdr:from>
        <xdr:to>
          <xdr:col>3</xdr:col>
          <xdr:colOff>914400</xdr:colOff>
          <xdr:row>6</xdr:row>
          <xdr:rowOff>180975</xdr:rowOff>
        </xdr:to>
        <xdr:sp macro="" textlink="">
          <xdr:nvSpPr>
            <xdr:cNvPr id="18437" name="Button 5" hidden="1">
              <a:extLst>
                <a:ext uri="{63B3BB69-23CF-44E3-9099-C40C66FF867C}">
                  <a14:compatExt spid="_x0000_s18437"/>
                </a:ext>
                <a:ext uri="{FF2B5EF4-FFF2-40B4-BE49-F238E27FC236}">
                  <a16:creationId xmlns:a16="http://schemas.microsoft.com/office/drawing/2014/main" id="{00000000-0008-0000-0400-00000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Times New Roman"/>
                  <a:cs typeface="Times New Roman"/>
                </a:rPr>
                <a:t>SF</a:t>
              </a:r>
              <a:r>
                <a:rPr lang="ja-JP" altLang="en-US" sz="1100" b="0" i="0" u="none" strike="noStrike" baseline="0">
                  <a:solidFill>
                    <a:srgbClr val="000000"/>
                  </a:solidFill>
                  <a:latin typeface="ＭＳ Ｐ明朝"/>
                  <a:ea typeface="ＭＳ Ｐ明朝"/>
                  <a:cs typeface="Times New Roman"/>
                </a:rPr>
                <a:t>米国</a:t>
              </a:r>
              <a:endParaRPr lang="ja-JP" altLang="en-US" sz="1100" b="0" i="0" u="none" strike="noStrike" baseline="0">
                <a:solidFill>
                  <a:srgbClr val="000000"/>
                </a:solidFill>
                <a:latin typeface="Times New Roman"/>
                <a:ea typeface="ＭＳ Ｐ明朝"/>
                <a:cs typeface="Times New Roman"/>
              </a:endParaRPr>
            </a:p>
            <a:p>
              <a:pPr algn="ctr" rtl="0">
                <a:defRPr sz="1000"/>
              </a:pPr>
              <a:r>
                <a:rPr lang="ja-JP" altLang="en-US" sz="1100" b="0" i="0" u="none" strike="noStrike" baseline="0">
                  <a:solidFill>
                    <a:srgbClr val="000000"/>
                  </a:solidFill>
                  <a:latin typeface="ＭＳ Ｐ明朝"/>
                  <a:ea typeface="ＭＳ Ｐ明朝"/>
                </a:rPr>
                <a:t>明細コピー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4</xdr:row>
          <xdr:rowOff>66675</xdr:rowOff>
        </xdr:from>
        <xdr:to>
          <xdr:col>4</xdr:col>
          <xdr:colOff>914400</xdr:colOff>
          <xdr:row>6</xdr:row>
          <xdr:rowOff>180975</xdr:rowOff>
        </xdr:to>
        <xdr:sp macro="" textlink="">
          <xdr:nvSpPr>
            <xdr:cNvPr id="18438" name="Button 6"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Times New Roman"/>
                  <a:cs typeface="Times New Roman"/>
                </a:rPr>
                <a:t>SF</a:t>
              </a:r>
              <a:r>
                <a:rPr lang="ja-JP" altLang="en-US" sz="1100" b="0" i="0" u="none" strike="noStrike" baseline="0">
                  <a:solidFill>
                    <a:srgbClr val="000000"/>
                  </a:solidFill>
                  <a:latin typeface="ＭＳ Ｐ明朝"/>
                  <a:ea typeface="ＭＳ Ｐ明朝"/>
                  <a:cs typeface="Times New Roman"/>
                </a:rPr>
                <a:t>大阪</a:t>
              </a:r>
              <a:endParaRPr lang="ja-JP" altLang="en-US" sz="1100" b="0" i="0" u="none" strike="noStrike" baseline="0">
                <a:solidFill>
                  <a:srgbClr val="000000"/>
                </a:solidFill>
                <a:latin typeface="Times New Roman"/>
                <a:ea typeface="ＭＳ Ｐ明朝"/>
                <a:cs typeface="Times New Roman"/>
              </a:endParaRPr>
            </a:p>
            <a:p>
              <a:pPr algn="ctr" rtl="0">
                <a:defRPr sz="1000"/>
              </a:pPr>
              <a:r>
                <a:rPr lang="ja-JP" altLang="en-US" sz="1100" b="0" i="0" u="none" strike="noStrike" baseline="0">
                  <a:solidFill>
                    <a:srgbClr val="000000"/>
                  </a:solidFill>
                  <a:latin typeface="ＭＳ Ｐ明朝"/>
                  <a:ea typeface="ＭＳ Ｐ明朝"/>
                </a:rPr>
                <a:t>明細コピー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1000125</xdr:colOff>
          <xdr:row>4</xdr:row>
          <xdr:rowOff>66675</xdr:rowOff>
        </xdr:from>
        <xdr:to>
          <xdr:col>4</xdr:col>
          <xdr:colOff>1847850</xdr:colOff>
          <xdr:row>6</xdr:row>
          <xdr:rowOff>180975</xdr:rowOff>
        </xdr:to>
        <xdr:sp macro="" textlink="">
          <xdr:nvSpPr>
            <xdr:cNvPr id="18440" name="Button 8" hidden="1">
              <a:extLst>
                <a:ext uri="{63B3BB69-23CF-44E3-9099-C40C66FF867C}">
                  <a14:compatExt spid="_x0000_s18440"/>
                </a:ext>
                <a:ext uri="{FF2B5EF4-FFF2-40B4-BE49-F238E27FC236}">
                  <a16:creationId xmlns:a16="http://schemas.microsoft.com/office/drawing/2014/main" id="{00000000-0008-0000-0400-000008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明朝"/>
                  <a:ea typeface="ＭＳ Ｐ明朝"/>
                </a:rPr>
                <a:t>明細を</a:t>
              </a:r>
            </a:p>
            <a:p>
              <a:pPr algn="ctr" rtl="0">
                <a:defRPr sz="1000"/>
              </a:pPr>
              <a:r>
                <a:rPr lang="ja-JP" altLang="en-US" sz="1100" b="0" i="0" u="none" strike="noStrike" baseline="0">
                  <a:solidFill>
                    <a:srgbClr val="000000"/>
                  </a:solidFill>
                  <a:latin typeface="ＭＳ Ｐ明朝"/>
                  <a:ea typeface="ＭＳ Ｐ明朝"/>
                </a:rPr>
                <a:t>クリア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4</xdr:row>
          <xdr:rowOff>38100</xdr:rowOff>
        </xdr:from>
        <xdr:to>
          <xdr:col>5</xdr:col>
          <xdr:colOff>942975</xdr:colOff>
          <xdr:row>5</xdr:row>
          <xdr:rowOff>85725</xdr:rowOff>
        </xdr:to>
        <xdr:sp macro="" textlink="">
          <xdr:nvSpPr>
            <xdr:cNvPr id="24586" name="Button 10" hidden="1">
              <a:extLst>
                <a:ext uri="{63B3BB69-23CF-44E3-9099-C40C66FF867C}">
                  <a14:compatExt spid="_x0000_s24586"/>
                </a:ext>
                <a:ext uri="{FF2B5EF4-FFF2-40B4-BE49-F238E27FC236}">
                  <a16:creationId xmlns:a16="http://schemas.microsoft.com/office/drawing/2014/main" id="{00000000-0008-0000-0500-00000A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明細クリア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2</xdr:row>
          <xdr:rowOff>19050</xdr:rowOff>
        </xdr:from>
        <xdr:to>
          <xdr:col>8</xdr:col>
          <xdr:colOff>876300</xdr:colOff>
          <xdr:row>4</xdr:row>
          <xdr:rowOff>0</xdr:rowOff>
        </xdr:to>
        <xdr:sp macro="" textlink="">
          <xdr:nvSpPr>
            <xdr:cNvPr id="24587" name="Button 11" hidden="1">
              <a:extLst>
                <a:ext uri="{63B3BB69-23CF-44E3-9099-C40C66FF867C}">
                  <a14:compatExt spid="_x0000_s24587"/>
                </a:ext>
                <a:ext uri="{FF2B5EF4-FFF2-40B4-BE49-F238E27FC236}">
                  <a16:creationId xmlns:a16="http://schemas.microsoft.com/office/drawing/2014/main" id="{00000000-0008-0000-0500-00000B6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注文明細コピー</a:t>
              </a:r>
            </a:p>
          </xdr:txBody>
        </xdr:sp>
        <xdr:clientData fPrintsWithSheet="0"/>
      </xdr:twoCellAnchor>
    </mc:Choice>
    <mc:Fallback/>
  </mc:AlternateContent>
  <xdr:twoCellAnchor>
    <xdr:from>
      <xdr:col>9</xdr:col>
      <xdr:colOff>22412</xdr:colOff>
      <xdr:row>2</xdr:row>
      <xdr:rowOff>78445</xdr:rowOff>
    </xdr:from>
    <xdr:to>
      <xdr:col>10</xdr:col>
      <xdr:colOff>493058</xdr:colOff>
      <xdr:row>4</xdr:row>
      <xdr:rowOff>160087</xdr:rowOff>
    </xdr:to>
    <xdr:sp macro="[0]!PDF_発注書" textlink="">
      <xdr:nvSpPr>
        <xdr:cNvPr id="4" name="四角形: 角度付き 3">
          <a:extLst>
            <a:ext uri="{FF2B5EF4-FFF2-40B4-BE49-F238E27FC236}">
              <a16:creationId xmlns:a16="http://schemas.microsoft.com/office/drawing/2014/main" id="{00000000-0008-0000-0500-000004000000}"/>
            </a:ext>
          </a:extLst>
        </xdr:cNvPr>
        <xdr:cNvSpPr/>
      </xdr:nvSpPr>
      <xdr:spPr>
        <a:xfrm>
          <a:off x="10633262" y="430870"/>
          <a:ext cx="1423146" cy="424542"/>
        </a:xfrm>
        <a:prstGeom prst="bevel">
          <a:avLst/>
        </a:prstGeom>
        <a:ln w="12700"/>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400">
              <a:latin typeface="+mn-ea"/>
              <a:ea typeface="+mn-ea"/>
            </a:rPr>
            <a:t>PDF</a:t>
          </a:r>
          <a:r>
            <a:rPr kumimoji="1" lang="ja-JP" altLang="en-US" sz="1400">
              <a:latin typeface="+mn-ea"/>
              <a:ea typeface="+mn-ea"/>
            </a:rPr>
            <a:t>で保存</a:t>
          </a:r>
        </a:p>
      </xdr:txBody>
    </xdr:sp>
    <xdr:clientData/>
  </xdr:twoCellAnchor>
  <xdr:twoCellAnchor>
    <xdr:from>
      <xdr:col>10</xdr:col>
      <xdr:colOff>560295</xdr:colOff>
      <xdr:row>2</xdr:row>
      <xdr:rowOff>73270</xdr:rowOff>
    </xdr:from>
    <xdr:to>
      <xdr:col>11</xdr:col>
      <xdr:colOff>268941</xdr:colOff>
      <xdr:row>4</xdr:row>
      <xdr:rowOff>160087</xdr:rowOff>
    </xdr:to>
    <xdr:sp macro="[0]!EXCEL_発注書" textlink="">
      <xdr:nvSpPr>
        <xdr:cNvPr id="5" name="四角形: 角度付き 4">
          <a:extLst>
            <a:ext uri="{FF2B5EF4-FFF2-40B4-BE49-F238E27FC236}">
              <a16:creationId xmlns:a16="http://schemas.microsoft.com/office/drawing/2014/main" id="{00000000-0008-0000-0500-000005000000}"/>
            </a:ext>
          </a:extLst>
        </xdr:cNvPr>
        <xdr:cNvSpPr/>
      </xdr:nvSpPr>
      <xdr:spPr>
        <a:xfrm>
          <a:off x="12123645" y="425695"/>
          <a:ext cx="1423146" cy="429717"/>
        </a:xfrm>
        <a:prstGeom prst="bevel">
          <a:avLst/>
        </a:prstGeom>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en-US" altLang="ja-JP" sz="1400">
              <a:latin typeface="+mn-ea"/>
              <a:ea typeface="+mn-ea"/>
            </a:rPr>
            <a:t>EXCEL</a:t>
          </a:r>
          <a:r>
            <a:rPr kumimoji="1" lang="ja-JP" altLang="en-US" sz="1400">
              <a:latin typeface="+mn-ea"/>
              <a:ea typeface="+mn-ea"/>
            </a:rPr>
            <a:t>で保存</a:t>
          </a:r>
        </a:p>
      </xdr:txBody>
    </xdr:sp>
    <xdr:clientData/>
  </xdr:twoCellAnchor>
  <mc:AlternateContent xmlns:mc="http://schemas.openxmlformats.org/markup-compatibility/2006">
    <mc:Choice xmlns:a14="http://schemas.microsoft.com/office/drawing/2010/main" Requires="a14">
      <xdr:twoCellAnchor>
        <xdr:from>
          <xdr:col>6</xdr:col>
          <xdr:colOff>76200</xdr:colOff>
          <xdr:row>4</xdr:row>
          <xdr:rowOff>38100</xdr:rowOff>
        </xdr:from>
        <xdr:to>
          <xdr:col>6</xdr:col>
          <xdr:colOff>914400</xdr:colOff>
          <xdr:row>5</xdr:row>
          <xdr:rowOff>85725</xdr:rowOff>
        </xdr:to>
        <xdr:sp macro="" textlink="">
          <xdr:nvSpPr>
            <xdr:cNvPr id="24588" name="Button 12" hidden="1">
              <a:extLst>
                <a:ext uri="{63B3BB69-23CF-44E3-9099-C40C66FF867C}">
                  <a14:compatExt spid="_x0000_s24588"/>
                </a:ext>
                <a:ext uri="{FF2B5EF4-FFF2-40B4-BE49-F238E27FC236}">
                  <a16:creationId xmlns:a16="http://schemas.microsoft.com/office/drawing/2014/main" id="{00000000-0008-0000-0500-00000C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注記クリア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4</xdr:row>
          <xdr:rowOff>38100</xdr:rowOff>
        </xdr:from>
        <xdr:to>
          <xdr:col>7</xdr:col>
          <xdr:colOff>885825</xdr:colOff>
          <xdr:row>5</xdr:row>
          <xdr:rowOff>85725</xdr:rowOff>
        </xdr:to>
        <xdr:sp macro="" textlink="">
          <xdr:nvSpPr>
            <xdr:cNvPr id="24589" name="Button 13" hidden="1">
              <a:extLst>
                <a:ext uri="{63B3BB69-23CF-44E3-9099-C40C66FF867C}">
                  <a14:compatExt spid="_x0000_s24589"/>
                </a:ext>
                <a:ext uri="{FF2B5EF4-FFF2-40B4-BE49-F238E27FC236}">
                  <a16:creationId xmlns:a16="http://schemas.microsoft.com/office/drawing/2014/main" id="{00000000-0008-0000-0500-00000D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メモクリア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4</xdr:row>
          <xdr:rowOff>38100</xdr:rowOff>
        </xdr:from>
        <xdr:to>
          <xdr:col>8</xdr:col>
          <xdr:colOff>876300</xdr:colOff>
          <xdr:row>5</xdr:row>
          <xdr:rowOff>85725</xdr:rowOff>
        </xdr:to>
        <xdr:sp macro="" textlink="">
          <xdr:nvSpPr>
            <xdr:cNvPr id="24590" name="Button 14" hidden="1">
              <a:extLst>
                <a:ext uri="{63B3BB69-23CF-44E3-9099-C40C66FF867C}">
                  <a14:compatExt spid="_x0000_s24590"/>
                </a:ext>
                <a:ext uri="{FF2B5EF4-FFF2-40B4-BE49-F238E27FC236}">
                  <a16:creationId xmlns:a16="http://schemas.microsoft.com/office/drawing/2014/main" id="{00000000-0008-0000-0500-00000E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改ページ</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161925</xdr:colOff>
      <xdr:row>2706</xdr:row>
      <xdr:rowOff>152400</xdr:rowOff>
    </xdr:from>
    <xdr:to>
      <xdr:col>0</xdr:col>
      <xdr:colOff>1696079</xdr:colOff>
      <xdr:row>2717</xdr:row>
      <xdr:rowOff>66450</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61925" y="502491375"/>
          <a:ext cx="1534154" cy="180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19050</xdr:colOff>
          <xdr:row>5</xdr:row>
          <xdr:rowOff>228600</xdr:rowOff>
        </xdr:from>
        <xdr:to>
          <xdr:col>22</xdr:col>
          <xdr:colOff>323850</xdr:colOff>
          <xdr:row>7</xdr:row>
          <xdr:rowOff>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133350</xdr:colOff>
          <xdr:row>5</xdr:row>
          <xdr:rowOff>228600</xdr:rowOff>
        </xdr:from>
        <xdr:to>
          <xdr:col>26</xdr:col>
          <xdr:colOff>66675</xdr:colOff>
          <xdr:row>7</xdr:row>
          <xdr:rowOff>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001/Desktop/Outerwear%20Quotation%20=%20Offer%20List%20=%2030-JULY-2019/Updated%20Price%20List%20by%20Dickson%20-%2015-JULY-2022/20220715%20%20EU%20USA%20Market%20Price%20List%20US%20with%20new%20column%20heading-15JULY2022.xlsm" TargetMode="External"/><Relationship Id="rId1" Type="http://schemas.openxmlformats.org/officeDocument/2006/relationships/externalLinkPath" Target="/Users/User001/Desktop/Outerwear%20Quotation%20=%20Offer%20List%20=%2030-JULY-2019/Updated%20Price%20List%20by%20Dickson%20-%2015-JULY-2022/20220715%20%20EU%20USA%20Market%20Price%20List%20US%20with%20new%20column%20heading-15JULY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How To"/>
      <sheetName val="OfferList"/>
      <sheetName val="History"/>
      <sheetName val="Unit_List"/>
      <sheetName val="Master"/>
    </sheetNames>
    <sheetDataSet>
      <sheetData sheetId="0"/>
      <sheetData sheetId="1"/>
      <sheetData sheetId="2"/>
      <sheetData sheetId="3"/>
      <sheetData sheetId="4">
        <row r="2">
          <cell r="D2" t="str">
            <v>FOB Qingdao China</v>
          </cell>
          <cell r="K2" t="str">
            <v>USD</v>
          </cell>
        </row>
        <row r="3">
          <cell r="D3" t="str">
            <v>FOB Chiang Mai Thailand</v>
          </cell>
          <cell r="K3" t="str">
            <v>RMB</v>
          </cell>
        </row>
        <row r="4">
          <cell r="D4" t="str">
            <v>FOB</v>
          </cell>
          <cell r="K4" t="str">
            <v>EUR</v>
          </cell>
        </row>
        <row r="5">
          <cell r="D5" t="str">
            <v>CIF by air or courier</v>
          </cell>
          <cell r="K5" t="str">
            <v>THB</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mailto:&#36890;&#24120;&#21336;&#20385;@580&#20870;/m&#12391;&#12398;&#12461;&#12496;&#12479;&#29983;&#29987;&#12525;&#12483;&#12488;&#12399;20&#21453;&#12391;&#12377;&#12290;1&#12316;9&#21453;&#12391;&#12398;&#29983;&#29987;&#12399;@100&#20870;/m&#12450;&#12483;&#12503;10&#12316;19&#21453;&#12384;&#12392;@50&#20870;/m&#12450;&#12483;&#12503;&#12392;&#12394;&#12426;&#12414;&#12377;&#12290;" TargetMode="External"/><Relationship Id="rId5" Type="http://schemas.openxmlformats.org/officeDocument/2006/relationships/comments" Target="../comments2.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2139"/>
  <sheetViews>
    <sheetView tabSelected="1" view="pageBreakPreview" zoomScale="85" zoomScaleNormal="100" zoomScaleSheetLayoutView="85" workbookViewId="0">
      <pane xSplit="5" ySplit="9" topLeftCell="F2111" activePane="bottomRight" state="frozen"/>
      <selection pane="topRight" activeCell="F1" sqref="F1"/>
      <selection pane="bottomLeft" activeCell="A10" sqref="A10"/>
      <selection pane="bottomRight" activeCell="G2145" sqref="G2145"/>
    </sheetView>
  </sheetViews>
  <sheetFormatPr defaultRowHeight="18" customHeight="1"/>
  <cols>
    <col min="1" max="2" width="9" style="1"/>
    <col min="3" max="3" width="27" style="3" customWidth="1"/>
    <col min="4" max="4" width="18.125" style="1" customWidth="1"/>
    <col min="5" max="5" width="17.75" style="1" customWidth="1"/>
    <col min="6" max="6" width="11.5" style="1" customWidth="1"/>
    <col min="7" max="7" width="48.75" style="1" customWidth="1"/>
    <col min="8" max="8" width="9.875" style="1" bestFit="1" customWidth="1"/>
    <col min="9" max="9" width="11.375" style="1" bestFit="1" customWidth="1"/>
    <col min="10" max="10" width="12.625" style="1" customWidth="1"/>
    <col min="11" max="11" width="16.375" style="1" bestFit="1" customWidth="1"/>
    <col min="12" max="12" width="17.875" style="1" customWidth="1"/>
    <col min="13" max="13" width="17.875" style="25" customWidth="1"/>
    <col min="14" max="14" width="14.875" style="1" bestFit="1" customWidth="1"/>
    <col min="15" max="15" width="21.375" style="2" customWidth="1"/>
    <col min="16" max="16" width="16.375" style="1" bestFit="1" customWidth="1"/>
    <col min="17" max="17" width="18.125" style="1" customWidth="1"/>
    <col min="18" max="18" width="13.5" style="1" customWidth="1"/>
    <col min="19" max="19" width="13.75" style="1" customWidth="1"/>
    <col min="20" max="20" width="13.75" style="1299" customWidth="1"/>
    <col min="21" max="21" width="15.625" style="266" bestFit="1" customWidth="1"/>
    <col min="22" max="22" width="15" style="1" bestFit="1" customWidth="1"/>
    <col min="23" max="23" width="8.75" style="1" customWidth="1"/>
    <col min="24" max="259" width="9" style="1"/>
    <col min="260" max="260" width="27" style="1" customWidth="1"/>
    <col min="261" max="261" width="18.125" style="1" customWidth="1"/>
    <col min="262" max="262" width="17.75" style="1" customWidth="1"/>
    <col min="263" max="263" width="11.5" style="1" customWidth="1"/>
    <col min="264" max="264" width="48.75" style="1" customWidth="1"/>
    <col min="265" max="265" width="9.875" style="1" bestFit="1" customWidth="1"/>
    <col min="266" max="266" width="11.375" style="1" bestFit="1" customWidth="1"/>
    <col min="267" max="267" width="12.625" style="1" customWidth="1"/>
    <col min="268" max="268" width="16.375" style="1" bestFit="1" customWidth="1"/>
    <col min="269" max="270" width="17.875" style="1" customWidth="1"/>
    <col min="271" max="271" width="14.875" style="1" bestFit="1" customWidth="1"/>
    <col min="272" max="272" width="21.375" style="1" customWidth="1"/>
    <col min="273" max="273" width="16.375" style="1" bestFit="1" customWidth="1"/>
    <col min="274" max="274" width="18.125" style="1" customWidth="1"/>
    <col min="275" max="275" width="9.125" style="1" bestFit="1" customWidth="1"/>
    <col min="276" max="276" width="13.75" style="1" customWidth="1"/>
    <col min="277" max="277" width="15.625" style="1" bestFit="1" customWidth="1"/>
    <col min="278" max="278" width="9.75" style="1" bestFit="1" customWidth="1"/>
    <col min="279" max="279" width="9.125" style="1" bestFit="1" customWidth="1"/>
    <col min="280" max="515" width="9" style="1"/>
    <col min="516" max="516" width="27" style="1" customWidth="1"/>
    <col min="517" max="517" width="18.125" style="1" customWidth="1"/>
    <col min="518" max="518" width="17.75" style="1" customWidth="1"/>
    <col min="519" max="519" width="11.5" style="1" customWidth="1"/>
    <col min="520" max="520" width="48.75" style="1" customWidth="1"/>
    <col min="521" max="521" width="9.875" style="1" bestFit="1" customWidth="1"/>
    <col min="522" max="522" width="11.375" style="1" bestFit="1" customWidth="1"/>
    <col min="523" max="523" width="12.625" style="1" customWidth="1"/>
    <col min="524" max="524" width="16.375" style="1" bestFit="1" customWidth="1"/>
    <col min="525" max="526" width="17.875" style="1" customWidth="1"/>
    <col min="527" max="527" width="14.875" style="1" bestFit="1" customWidth="1"/>
    <col min="528" max="528" width="21.375" style="1" customWidth="1"/>
    <col min="529" max="529" width="16.375" style="1" bestFit="1" customWidth="1"/>
    <col min="530" max="530" width="18.125" style="1" customWidth="1"/>
    <col min="531" max="531" width="9.125" style="1" bestFit="1" customWidth="1"/>
    <col min="532" max="532" width="13.75" style="1" customWidth="1"/>
    <col min="533" max="533" width="15.625" style="1" bestFit="1" customWidth="1"/>
    <col min="534" max="534" width="9.75" style="1" bestFit="1" customWidth="1"/>
    <col min="535" max="535" width="9.125" style="1" bestFit="1" customWidth="1"/>
    <col min="536" max="771" width="9" style="1"/>
    <col min="772" max="772" width="27" style="1" customWidth="1"/>
    <col min="773" max="773" width="18.125" style="1" customWidth="1"/>
    <col min="774" max="774" width="17.75" style="1" customWidth="1"/>
    <col min="775" max="775" width="11.5" style="1" customWidth="1"/>
    <col min="776" max="776" width="48.75" style="1" customWidth="1"/>
    <col min="777" max="777" width="9.875" style="1" bestFit="1" customWidth="1"/>
    <col min="778" max="778" width="11.375" style="1" bestFit="1" customWidth="1"/>
    <col min="779" max="779" width="12.625" style="1" customWidth="1"/>
    <col min="780" max="780" width="16.375" style="1" bestFit="1" customWidth="1"/>
    <col min="781" max="782" width="17.875" style="1" customWidth="1"/>
    <col min="783" max="783" width="14.875" style="1" bestFit="1" customWidth="1"/>
    <col min="784" max="784" width="21.375" style="1" customWidth="1"/>
    <col min="785" max="785" width="16.375" style="1" bestFit="1" customWidth="1"/>
    <col min="786" max="786" width="18.125" style="1" customWidth="1"/>
    <col min="787" max="787" width="9.125" style="1" bestFit="1" customWidth="1"/>
    <col min="788" max="788" width="13.75" style="1" customWidth="1"/>
    <col min="789" max="789" width="15.625" style="1" bestFit="1" customWidth="1"/>
    <col min="790" max="790" width="9.75" style="1" bestFit="1" customWidth="1"/>
    <col min="791" max="791" width="9.125" style="1" bestFit="1" customWidth="1"/>
    <col min="792" max="1027" width="9" style="1"/>
    <col min="1028" max="1028" width="27" style="1" customWidth="1"/>
    <col min="1029" max="1029" width="18.125" style="1" customWidth="1"/>
    <col min="1030" max="1030" width="17.75" style="1" customWidth="1"/>
    <col min="1031" max="1031" width="11.5" style="1" customWidth="1"/>
    <col min="1032" max="1032" width="48.75" style="1" customWidth="1"/>
    <col min="1033" max="1033" width="9.875" style="1" bestFit="1" customWidth="1"/>
    <col min="1034" max="1034" width="11.375" style="1" bestFit="1" customWidth="1"/>
    <col min="1035" max="1035" width="12.625" style="1" customWidth="1"/>
    <col min="1036" max="1036" width="16.375" style="1" bestFit="1" customWidth="1"/>
    <col min="1037" max="1038" width="17.875" style="1" customWidth="1"/>
    <col min="1039" max="1039" width="14.875" style="1" bestFit="1" customWidth="1"/>
    <col min="1040" max="1040" width="21.375" style="1" customWidth="1"/>
    <col min="1041" max="1041" width="16.375" style="1" bestFit="1" customWidth="1"/>
    <col min="1042" max="1042" width="18.125" style="1" customWidth="1"/>
    <col min="1043" max="1043" width="9.125" style="1" bestFit="1" customWidth="1"/>
    <col min="1044" max="1044" width="13.75" style="1" customWidth="1"/>
    <col min="1045" max="1045" width="15.625" style="1" bestFit="1" customWidth="1"/>
    <col min="1046" max="1046" width="9.75" style="1" bestFit="1" customWidth="1"/>
    <col min="1047" max="1047" width="9.125" style="1" bestFit="1" customWidth="1"/>
    <col min="1048" max="1283" width="9" style="1"/>
    <col min="1284" max="1284" width="27" style="1" customWidth="1"/>
    <col min="1285" max="1285" width="18.125" style="1" customWidth="1"/>
    <col min="1286" max="1286" width="17.75" style="1" customWidth="1"/>
    <col min="1287" max="1287" width="11.5" style="1" customWidth="1"/>
    <col min="1288" max="1288" width="48.75" style="1" customWidth="1"/>
    <col min="1289" max="1289" width="9.875" style="1" bestFit="1" customWidth="1"/>
    <col min="1290" max="1290" width="11.375" style="1" bestFit="1" customWidth="1"/>
    <col min="1291" max="1291" width="12.625" style="1" customWidth="1"/>
    <col min="1292" max="1292" width="16.375" style="1" bestFit="1" customWidth="1"/>
    <col min="1293" max="1294" width="17.875" style="1" customWidth="1"/>
    <col min="1295" max="1295" width="14.875" style="1" bestFit="1" customWidth="1"/>
    <col min="1296" max="1296" width="21.375" style="1" customWidth="1"/>
    <col min="1297" max="1297" width="16.375" style="1" bestFit="1" customWidth="1"/>
    <col min="1298" max="1298" width="18.125" style="1" customWidth="1"/>
    <col min="1299" max="1299" width="9.125" style="1" bestFit="1" customWidth="1"/>
    <col min="1300" max="1300" width="13.75" style="1" customWidth="1"/>
    <col min="1301" max="1301" width="15.625" style="1" bestFit="1" customWidth="1"/>
    <col min="1302" max="1302" width="9.75" style="1" bestFit="1" customWidth="1"/>
    <col min="1303" max="1303" width="9.125" style="1" bestFit="1" customWidth="1"/>
    <col min="1304" max="1539" width="9" style="1"/>
    <col min="1540" max="1540" width="27" style="1" customWidth="1"/>
    <col min="1541" max="1541" width="18.125" style="1" customWidth="1"/>
    <col min="1542" max="1542" width="17.75" style="1" customWidth="1"/>
    <col min="1543" max="1543" width="11.5" style="1" customWidth="1"/>
    <col min="1544" max="1544" width="48.75" style="1" customWidth="1"/>
    <col min="1545" max="1545" width="9.875" style="1" bestFit="1" customWidth="1"/>
    <col min="1546" max="1546" width="11.375" style="1" bestFit="1" customWidth="1"/>
    <col min="1547" max="1547" width="12.625" style="1" customWidth="1"/>
    <col min="1548" max="1548" width="16.375" style="1" bestFit="1" customWidth="1"/>
    <col min="1549" max="1550" width="17.875" style="1" customWidth="1"/>
    <col min="1551" max="1551" width="14.875" style="1" bestFit="1" customWidth="1"/>
    <col min="1552" max="1552" width="21.375" style="1" customWidth="1"/>
    <col min="1553" max="1553" width="16.375" style="1" bestFit="1" customWidth="1"/>
    <col min="1554" max="1554" width="18.125" style="1" customWidth="1"/>
    <col min="1555" max="1555" width="9.125" style="1" bestFit="1" customWidth="1"/>
    <col min="1556" max="1556" width="13.75" style="1" customWidth="1"/>
    <col min="1557" max="1557" width="15.625" style="1" bestFit="1" customWidth="1"/>
    <col min="1558" max="1558" width="9.75" style="1" bestFit="1" customWidth="1"/>
    <col min="1559" max="1559" width="9.125" style="1" bestFit="1" customWidth="1"/>
    <col min="1560" max="1795" width="9" style="1"/>
    <col min="1796" max="1796" width="27" style="1" customWidth="1"/>
    <col min="1797" max="1797" width="18.125" style="1" customWidth="1"/>
    <col min="1798" max="1798" width="17.75" style="1" customWidth="1"/>
    <col min="1799" max="1799" width="11.5" style="1" customWidth="1"/>
    <col min="1800" max="1800" width="48.75" style="1" customWidth="1"/>
    <col min="1801" max="1801" width="9.875" style="1" bestFit="1" customWidth="1"/>
    <col min="1802" max="1802" width="11.375" style="1" bestFit="1" customWidth="1"/>
    <col min="1803" max="1803" width="12.625" style="1" customWidth="1"/>
    <col min="1804" max="1804" width="16.375" style="1" bestFit="1" customWidth="1"/>
    <col min="1805" max="1806" width="17.875" style="1" customWidth="1"/>
    <col min="1807" max="1807" width="14.875" style="1" bestFit="1" customWidth="1"/>
    <col min="1808" max="1808" width="21.375" style="1" customWidth="1"/>
    <col min="1809" max="1809" width="16.375" style="1" bestFit="1" customWidth="1"/>
    <col min="1810" max="1810" width="18.125" style="1" customWidth="1"/>
    <col min="1811" max="1811" width="9.125" style="1" bestFit="1" customWidth="1"/>
    <col min="1812" max="1812" width="13.75" style="1" customWidth="1"/>
    <col min="1813" max="1813" width="15.625" style="1" bestFit="1" customWidth="1"/>
    <col min="1814" max="1814" width="9.75" style="1" bestFit="1" customWidth="1"/>
    <col min="1815" max="1815" width="9.125" style="1" bestFit="1" customWidth="1"/>
    <col min="1816" max="2051" width="9" style="1"/>
    <col min="2052" max="2052" width="27" style="1" customWidth="1"/>
    <col min="2053" max="2053" width="18.125" style="1" customWidth="1"/>
    <col min="2054" max="2054" width="17.75" style="1" customWidth="1"/>
    <col min="2055" max="2055" width="11.5" style="1" customWidth="1"/>
    <col min="2056" max="2056" width="48.75" style="1" customWidth="1"/>
    <col min="2057" max="2057" width="9.875" style="1" bestFit="1" customWidth="1"/>
    <col min="2058" max="2058" width="11.375" style="1" bestFit="1" customWidth="1"/>
    <col min="2059" max="2059" width="12.625" style="1" customWidth="1"/>
    <col min="2060" max="2060" width="16.375" style="1" bestFit="1" customWidth="1"/>
    <col min="2061" max="2062" width="17.875" style="1" customWidth="1"/>
    <col min="2063" max="2063" width="14.875" style="1" bestFit="1" customWidth="1"/>
    <col min="2064" max="2064" width="21.375" style="1" customWidth="1"/>
    <col min="2065" max="2065" width="16.375" style="1" bestFit="1" customWidth="1"/>
    <col min="2066" max="2066" width="18.125" style="1" customWidth="1"/>
    <col min="2067" max="2067" width="9.125" style="1" bestFit="1" customWidth="1"/>
    <col min="2068" max="2068" width="13.75" style="1" customWidth="1"/>
    <col min="2069" max="2069" width="15.625" style="1" bestFit="1" customWidth="1"/>
    <col min="2070" max="2070" width="9.75" style="1" bestFit="1" customWidth="1"/>
    <col min="2071" max="2071" width="9.125" style="1" bestFit="1" customWidth="1"/>
    <col min="2072" max="2307" width="9" style="1"/>
    <col min="2308" max="2308" width="27" style="1" customWidth="1"/>
    <col min="2309" max="2309" width="18.125" style="1" customWidth="1"/>
    <col min="2310" max="2310" width="17.75" style="1" customWidth="1"/>
    <col min="2311" max="2311" width="11.5" style="1" customWidth="1"/>
    <col min="2312" max="2312" width="48.75" style="1" customWidth="1"/>
    <col min="2313" max="2313" width="9.875" style="1" bestFit="1" customWidth="1"/>
    <col min="2314" max="2314" width="11.375" style="1" bestFit="1" customWidth="1"/>
    <col min="2315" max="2315" width="12.625" style="1" customWidth="1"/>
    <col min="2316" max="2316" width="16.375" style="1" bestFit="1" customWidth="1"/>
    <col min="2317" max="2318" width="17.875" style="1" customWidth="1"/>
    <col min="2319" max="2319" width="14.875" style="1" bestFit="1" customWidth="1"/>
    <col min="2320" max="2320" width="21.375" style="1" customWidth="1"/>
    <col min="2321" max="2321" width="16.375" style="1" bestFit="1" customWidth="1"/>
    <col min="2322" max="2322" width="18.125" style="1" customWidth="1"/>
    <col min="2323" max="2323" width="9.125" style="1" bestFit="1" customWidth="1"/>
    <col min="2324" max="2324" width="13.75" style="1" customWidth="1"/>
    <col min="2325" max="2325" width="15.625" style="1" bestFit="1" customWidth="1"/>
    <col min="2326" max="2326" width="9.75" style="1" bestFit="1" customWidth="1"/>
    <col min="2327" max="2327" width="9.125" style="1" bestFit="1" customWidth="1"/>
    <col min="2328" max="2563" width="9" style="1"/>
    <col min="2564" max="2564" width="27" style="1" customWidth="1"/>
    <col min="2565" max="2565" width="18.125" style="1" customWidth="1"/>
    <col min="2566" max="2566" width="17.75" style="1" customWidth="1"/>
    <col min="2567" max="2567" width="11.5" style="1" customWidth="1"/>
    <col min="2568" max="2568" width="48.75" style="1" customWidth="1"/>
    <col min="2569" max="2569" width="9.875" style="1" bestFit="1" customWidth="1"/>
    <col min="2570" max="2570" width="11.375" style="1" bestFit="1" customWidth="1"/>
    <col min="2571" max="2571" width="12.625" style="1" customWidth="1"/>
    <col min="2572" max="2572" width="16.375" style="1" bestFit="1" customWidth="1"/>
    <col min="2573" max="2574" width="17.875" style="1" customWidth="1"/>
    <col min="2575" max="2575" width="14.875" style="1" bestFit="1" customWidth="1"/>
    <col min="2576" max="2576" width="21.375" style="1" customWidth="1"/>
    <col min="2577" max="2577" width="16.375" style="1" bestFit="1" customWidth="1"/>
    <col min="2578" max="2578" width="18.125" style="1" customWidth="1"/>
    <col min="2579" max="2579" width="9.125" style="1" bestFit="1" customWidth="1"/>
    <col min="2580" max="2580" width="13.75" style="1" customWidth="1"/>
    <col min="2581" max="2581" width="15.625" style="1" bestFit="1" customWidth="1"/>
    <col min="2582" max="2582" width="9.75" style="1" bestFit="1" customWidth="1"/>
    <col min="2583" max="2583" width="9.125" style="1" bestFit="1" customWidth="1"/>
    <col min="2584" max="2819" width="9" style="1"/>
    <col min="2820" max="2820" width="27" style="1" customWidth="1"/>
    <col min="2821" max="2821" width="18.125" style="1" customWidth="1"/>
    <col min="2822" max="2822" width="17.75" style="1" customWidth="1"/>
    <col min="2823" max="2823" width="11.5" style="1" customWidth="1"/>
    <col min="2824" max="2824" width="48.75" style="1" customWidth="1"/>
    <col min="2825" max="2825" width="9.875" style="1" bestFit="1" customWidth="1"/>
    <col min="2826" max="2826" width="11.375" style="1" bestFit="1" customWidth="1"/>
    <col min="2827" max="2827" width="12.625" style="1" customWidth="1"/>
    <col min="2828" max="2828" width="16.375" style="1" bestFit="1" customWidth="1"/>
    <col min="2829" max="2830" width="17.875" style="1" customWidth="1"/>
    <col min="2831" max="2831" width="14.875" style="1" bestFit="1" customWidth="1"/>
    <col min="2832" max="2832" width="21.375" style="1" customWidth="1"/>
    <col min="2833" max="2833" width="16.375" style="1" bestFit="1" customWidth="1"/>
    <col min="2834" max="2834" width="18.125" style="1" customWidth="1"/>
    <col min="2835" max="2835" width="9.125" style="1" bestFit="1" customWidth="1"/>
    <col min="2836" max="2836" width="13.75" style="1" customWidth="1"/>
    <col min="2837" max="2837" width="15.625" style="1" bestFit="1" customWidth="1"/>
    <col min="2838" max="2838" width="9.75" style="1" bestFit="1" customWidth="1"/>
    <col min="2839" max="2839" width="9.125" style="1" bestFit="1" customWidth="1"/>
    <col min="2840" max="3075" width="9" style="1"/>
    <col min="3076" max="3076" width="27" style="1" customWidth="1"/>
    <col min="3077" max="3077" width="18.125" style="1" customWidth="1"/>
    <col min="3078" max="3078" width="17.75" style="1" customWidth="1"/>
    <col min="3079" max="3079" width="11.5" style="1" customWidth="1"/>
    <col min="3080" max="3080" width="48.75" style="1" customWidth="1"/>
    <col min="3081" max="3081" width="9.875" style="1" bestFit="1" customWidth="1"/>
    <col min="3082" max="3082" width="11.375" style="1" bestFit="1" customWidth="1"/>
    <col min="3083" max="3083" width="12.625" style="1" customWidth="1"/>
    <col min="3084" max="3084" width="16.375" style="1" bestFit="1" customWidth="1"/>
    <col min="3085" max="3086" width="17.875" style="1" customWidth="1"/>
    <col min="3087" max="3087" width="14.875" style="1" bestFit="1" customWidth="1"/>
    <col min="3088" max="3088" width="21.375" style="1" customWidth="1"/>
    <col min="3089" max="3089" width="16.375" style="1" bestFit="1" customWidth="1"/>
    <col min="3090" max="3090" width="18.125" style="1" customWidth="1"/>
    <col min="3091" max="3091" width="9.125" style="1" bestFit="1" customWidth="1"/>
    <col min="3092" max="3092" width="13.75" style="1" customWidth="1"/>
    <col min="3093" max="3093" width="15.625" style="1" bestFit="1" customWidth="1"/>
    <col min="3094" max="3094" width="9.75" style="1" bestFit="1" customWidth="1"/>
    <col min="3095" max="3095" width="9.125" style="1" bestFit="1" customWidth="1"/>
    <col min="3096" max="3331" width="9" style="1"/>
    <col min="3332" max="3332" width="27" style="1" customWidth="1"/>
    <col min="3333" max="3333" width="18.125" style="1" customWidth="1"/>
    <col min="3334" max="3334" width="17.75" style="1" customWidth="1"/>
    <col min="3335" max="3335" width="11.5" style="1" customWidth="1"/>
    <col min="3336" max="3336" width="48.75" style="1" customWidth="1"/>
    <col min="3337" max="3337" width="9.875" style="1" bestFit="1" customWidth="1"/>
    <col min="3338" max="3338" width="11.375" style="1" bestFit="1" customWidth="1"/>
    <col min="3339" max="3339" width="12.625" style="1" customWidth="1"/>
    <col min="3340" max="3340" width="16.375" style="1" bestFit="1" customWidth="1"/>
    <col min="3341" max="3342" width="17.875" style="1" customWidth="1"/>
    <col min="3343" max="3343" width="14.875" style="1" bestFit="1" customWidth="1"/>
    <col min="3344" max="3344" width="21.375" style="1" customWidth="1"/>
    <col min="3345" max="3345" width="16.375" style="1" bestFit="1" customWidth="1"/>
    <col min="3346" max="3346" width="18.125" style="1" customWidth="1"/>
    <col min="3347" max="3347" width="9.125" style="1" bestFit="1" customWidth="1"/>
    <col min="3348" max="3348" width="13.75" style="1" customWidth="1"/>
    <col min="3349" max="3349" width="15.625" style="1" bestFit="1" customWidth="1"/>
    <col min="3350" max="3350" width="9.75" style="1" bestFit="1" customWidth="1"/>
    <col min="3351" max="3351" width="9.125" style="1" bestFit="1" customWidth="1"/>
    <col min="3352" max="3587" width="9" style="1"/>
    <col min="3588" max="3588" width="27" style="1" customWidth="1"/>
    <col min="3589" max="3589" width="18.125" style="1" customWidth="1"/>
    <col min="3590" max="3590" width="17.75" style="1" customWidth="1"/>
    <col min="3591" max="3591" width="11.5" style="1" customWidth="1"/>
    <col min="3592" max="3592" width="48.75" style="1" customWidth="1"/>
    <col min="3593" max="3593" width="9.875" style="1" bestFit="1" customWidth="1"/>
    <col min="3594" max="3594" width="11.375" style="1" bestFit="1" customWidth="1"/>
    <col min="3595" max="3595" width="12.625" style="1" customWidth="1"/>
    <col min="3596" max="3596" width="16.375" style="1" bestFit="1" customWidth="1"/>
    <col min="3597" max="3598" width="17.875" style="1" customWidth="1"/>
    <col min="3599" max="3599" width="14.875" style="1" bestFit="1" customWidth="1"/>
    <col min="3600" max="3600" width="21.375" style="1" customWidth="1"/>
    <col min="3601" max="3601" width="16.375" style="1" bestFit="1" customWidth="1"/>
    <col min="3602" max="3602" width="18.125" style="1" customWidth="1"/>
    <col min="3603" max="3603" width="9.125" style="1" bestFit="1" customWidth="1"/>
    <col min="3604" max="3604" width="13.75" style="1" customWidth="1"/>
    <col min="3605" max="3605" width="15.625" style="1" bestFit="1" customWidth="1"/>
    <col min="3606" max="3606" width="9.75" style="1" bestFit="1" customWidth="1"/>
    <col min="3607" max="3607" width="9.125" style="1" bestFit="1" customWidth="1"/>
    <col min="3608" max="3843" width="9" style="1"/>
    <col min="3844" max="3844" width="27" style="1" customWidth="1"/>
    <col min="3845" max="3845" width="18.125" style="1" customWidth="1"/>
    <col min="3846" max="3846" width="17.75" style="1" customWidth="1"/>
    <col min="3847" max="3847" width="11.5" style="1" customWidth="1"/>
    <col min="3848" max="3848" width="48.75" style="1" customWidth="1"/>
    <col min="3849" max="3849" width="9.875" style="1" bestFit="1" customWidth="1"/>
    <col min="3850" max="3850" width="11.375" style="1" bestFit="1" customWidth="1"/>
    <col min="3851" max="3851" width="12.625" style="1" customWidth="1"/>
    <col min="3852" max="3852" width="16.375" style="1" bestFit="1" customWidth="1"/>
    <col min="3853" max="3854" width="17.875" style="1" customWidth="1"/>
    <col min="3855" max="3855" width="14.875" style="1" bestFit="1" customWidth="1"/>
    <col min="3856" max="3856" width="21.375" style="1" customWidth="1"/>
    <col min="3857" max="3857" width="16.375" style="1" bestFit="1" customWidth="1"/>
    <col min="3858" max="3858" width="18.125" style="1" customWidth="1"/>
    <col min="3859" max="3859" width="9.125" style="1" bestFit="1" customWidth="1"/>
    <col min="3860" max="3860" width="13.75" style="1" customWidth="1"/>
    <col min="3861" max="3861" width="15.625" style="1" bestFit="1" customWidth="1"/>
    <col min="3862" max="3862" width="9.75" style="1" bestFit="1" customWidth="1"/>
    <col min="3863" max="3863" width="9.125" style="1" bestFit="1" customWidth="1"/>
    <col min="3864" max="4099" width="9" style="1"/>
    <col min="4100" max="4100" width="27" style="1" customWidth="1"/>
    <col min="4101" max="4101" width="18.125" style="1" customWidth="1"/>
    <col min="4102" max="4102" width="17.75" style="1" customWidth="1"/>
    <col min="4103" max="4103" width="11.5" style="1" customWidth="1"/>
    <col min="4104" max="4104" width="48.75" style="1" customWidth="1"/>
    <col min="4105" max="4105" width="9.875" style="1" bestFit="1" customWidth="1"/>
    <col min="4106" max="4106" width="11.375" style="1" bestFit="1" customWidth="1"/>
    <col min="4107" max="4107" width="12.625" style="1" customWidth="1"/>
    <col min="4108" max="4108" width="16.375" style="1" bestFit="1" customWidth="1"/>
    <col min="4109" max="4110" width="17.875" style="1" customWidth="1"/>
    <col min="4111" max="4111" width="14.875" style="1" bestFit="1" customWidth="1"/>
    <col min="4112" max="4112" width="21.375" style="1" customWidth="1"/>
    <col min="4113" max="4113" width="16.375" style="1" bestFit="1" customWidth="1"/>
    <col min="4114" max="4114" width="18.125" style="1" customWidth="1"/>
    <col min="4115" max="4115" width="9.125" style="1" bestFit="1" customWidth="1"/>
    <col min="4116" max="4116" width="13.75" style="1" customWidth="1"/>
    <col min="4117" max="4117" width="15.625" style="1" bestFit="1" customWidth="1"/>
    <col min="4118" max="4118" width="9.75" style="1" bestFit="1" customWidth="1"/>
    <col min="4119" max="4119" width="9.125" style="1" bestFit="1" customWidth="1"/>
    <col min="4120" max="4355" width="9" style="1"/>
    <col min="4356" max="4356" width="27" style="1" customWidth="1"/>
    <col min="4357" max="4357" width="18.125" style="1" customWidth="1"/>
    <col min="4358" max="4358" width="17.75" style="1" customWidth="1"/>
    <col min="4359" max="4359" width="11.5" style="1" customWidth="1"/>
    <col min="4360" max="4360" width="48.75" style="1" customWidth="1"/>
    <col min="4361" max="4361" width="9.875" style="1" bestFit="1" customWidth="1"/>
    <col min="4362" max="4362" width="11.375" style="1" bestFit="1" customWidth="1"/>
    <col min="4363" max="4363" width="12.625" style="1" customWidth="1"/>
    <col min="4364" max="4364" width="16.375" style="1" bestFit="1" customWidth="1"/>
    <col min="4365" max="4366" width="17.875" style="1" customWidth="1"/>
    <col min="4367" max="4367" width="14.875" style="1" bestFit="1" customWidth="1"/>
    <col min="4368" max="4368" width="21.375" style="1" customWidth="1"/>
    <col min="4369" max="4369" width="16.375" style="1" bestFit="1" customWidth="1"/>
    <col min="4370" max="4370" width="18.125" style="1" customWidth="1"/>
    <col min="4371" max="4371" width="9.125" style="1" bestFit="1" customWidth="1"/>
    <col min="4372" max="4372" width="13.75" style="1" customWidth="1"/>
    <col min="4373" max="4373" width="15.625" style="1" bestFit="1" customWidth="1"/>
    <col min="4374" max="4374" width="9.75" style="1" bestFit="1" customWidth="1"/>
    <col min="4375" max="4375" width="9.125" style="1" bestFit="1" customWidth="1"/>
    <col min="4376" max="4611" width="9" style="1"/>
    <col min="4612" max="4612" width="27" style="1" customWidth="1"/>
    <col min="4613" max="4613" width="18.125" style="1" customWidth="1"/>
    <col min="4614" max="4614" width="17.75" style="1" customWidth="1"/>
    <col min="4615" max="4615" width="11.5" style="1" customWidth="1"/>
    <col min="4616" max="4616" width="48.75" style="1" customWidth="1"/>
    <col min="4617" max="4617" width="9.875" style="1" bestFit="1" customWidth="1"/>
    <col min="4618" max="4618" width="11.375" style="1" bestFit="1" customWidth="1"/>
    <col min="4619" max="4619" width="12.625" style="1" customWidth="1"/>
    <col min="4620" max="4620" width="16.375" style="1" bestFit="1" customWidth="1"/>
    <col min="4621" max="4622" width="17.875" style="1" customWidth="1"/>
    <col min="4623" max="4623" width="14.875" style="1" bestFit="1" customWidth="1"/>
    <col min="4624" max="4624" width="21.375" style="1" customWidth="1"/>
    <col min="4625" max="4625" width="16.375" style="1" bestFit="1" customWidth="1"/>
    <col min="4626" max="4626" width="18.125" style="1" customWidth="1"/>
    <col min="4627" max="4627" width="9.125" style="1" bestFit="1" customWidth="1"/>
    <col min="4628" max="4628" width="13.75" style="1" customWidth="1"/>
    <col min="4629" max="4629" width="15.625" style="1" bestFit="1" customWidth="1"/>
    <col min="4630" max="4630" width="9.75" style="1" bestFit="1" customWidth="1"/>
    <col min="4631" max="4631" width="9.125" style="1" bestFit="1" customWidth="1"/>
    <col min="4632" max="4867" width="9" style="1"/>
    <col min="4868" max="4868" width="27" style="1" customWidth="1"/>
    <col min="4869" max="4869" width="18.125" style="1" customWidth="1"/>
    <col min="4870" max="4870" width="17.75" style="1" customWidth="1"/>
    <col min="4871" max="4871" width="11.5" style="1" customWidth="1"/>
    <col min="4872" max="4872" width="48.75" style="1" customWidth="1"/>
    <col min="4873" max="4873" width="9.875" style="1" bestFit="1" customWidth="1"/>
    <col min="4874" max="4874" width="11.375" style="1" bestFit="1" customWidth="1"/>
    <col min="4875" max="4875" width="12.625" style="1" customWidth="1"/>
    <col min="4876" max="4876" width="16.375" style="1" bestFit="1" customWidth="1"/>
    <col min="4877" max="4878" width="17.875" style="1" customWidth="1"/>
    <col min="4879" max="4879" width="14.875" style="1" bestFit="1" customWidth="1"/>
    <col min="4880" max="4880" width="21.375" style="1" customWidth="1"/>
    <col min="4881" max="4881" width="16.375" style="1" bestFit="1" customWidth="1"/>
    <col min="4882" max="4882" width="18.125" style="1" customWidth="1"/>
    <col min="4883" max="4883" width="9.125" style="1" bestFit="1" customWidth="1"/>
    <col min="4884" max="4884" width="13.75" style="1" customWidth="1"/>
    <col min="4885" max="4885" width="15.625" style="1" bestFit="1" customWidth="1"/>
    <col min="4886" max="4886" width="9.75" style="1" bestFit="1" customWidth="1"/>
    <col min="4887" max="4887" width="9.125" style="1" bestFit="1" customWidth="1"/>
    <col min="4888" max="5123" width="9" style="1"/>
    <col min="5124" max="5124" width="27" style="1" customWidth="1"/>
    <col min="5125" max="5125" width="18.125" style="1" customWidth="1"/>
    <col min="5126" max="5126" width="17.75" style="1" customWidth="1"/>
    <col min="5127" max="5127" width="11.5" style="1" customWidth="1"/>
    <col min="5128" max="5128" width="48.75" style="1" customWidth="1"/>
    <col min="5129" max="5129" width="9.875" style="1" bestFit="1" customWidth="1"/>
    <col min="5130" max="5130" width="11.375" style="1" bestFit="1" customWidth="1"/>
    <col min="5131" max="5131" width="12.625" style="1" customWidth="1"/>
    <col min="5132" max="5132" width="16.375" style="1" bestFit="1" customWidth="1"/>
    <col min="5133" max="5134" width="17.875" style="1" customWidth="1"/>
    <col min="5135" max="5135" width="14.875" style="1" bestFit="1" customWidth="1"/>
    <col min="5136" max="5136" width="21.375" style="1" customWidth="1"/>
    <col min="5137" max="5137" width="16.375" style="1" bestFit="1" customWidth="1"/>
    <col min="5138" max="5138" width="18.125" style="1" customWidth="1"/>
    <col min="5139" max="5139" width="9.125" style="1" bestFit="1" customWidth="1"/>
    <col min="5140" max="5140" width="13.75" style="1" customWidth="1"/>
    <col min="5141" max="5141" width="15.625" style="1" bestFit="1" customWidth="1"/>
    <col min="5142" max="5142" width="9.75" style="1" bestFit="1" customWidth="1"/>
    <col min="5143" max="5143" width="9.125" style="1" bestFit="1" customWidth="1"/>
    <col min="5144" max="5379" width="9" style="1"/>
    <col min="5380" max="5380" width="27" style="1" customWidth="1"/>
    <col min="5381" max="5381" width="18.125" style="1" customWidth="1"/>
    <col min="5382" max="5382" width="17.75" style="1" customWidth="1"/>
    <col min="5383" max="5383" width="11.5" style="1" customWidth="1"/>
    <col min="5384" max="5384" width="48.75" style="1" customWidth="1"/>
    <col min="5385" max="5385" width="9.875" style="1" bestFit="1" customWidth="1"/>
    <col min="5386" max="5386" width="11.375" style="1" bestFit="1" customWidth="1"/>
    <col min="5387" max="5387" width="12.625" style="1" customWidth="1"/>
    <col min="5388" max="5388" width="16.375" style="1" bestFit="1" customWidth="1"/>
    <col min="5389" max="5390" width="17.875" style="1" customWidth="1"/>
    <col min="5391" max="5391" width="14.875" style="1" bestFit="1" customWidth="1"/>
    <col min="5392" max="5392" width="21.375" style="1" customWidth="1"/>
    <col min="5393" max="5393" width="16.375" style="1" bestFit="1" customWidth="1"/>
    <col min="5394" max="5394" width="18.125" style="1" customWidth="1"/>
    <col min="5395" max="5395" width="9.125" style="1" bestFit="1" customWidth="1"/>
    <col min="5396" max="5396" width="13.75" style="1" customWidth="1"/>
    <col min="5397" max="5397" width="15.625" style="1" bestFit="1" customWidth="1"/>
    <col min="5398" max="5398" width="9.75" style="1" bestFit="1" customWidth="1"/>
    <col min="5399" max="5399" width="9.125" style="1" bestFit="1" customWidth="1"/>
    <col min="5400" max="5635" width="9" style="1"/>
    <col min="5636" max="5636" width="27" style="1" customWidth="1"/>
    <col min="5637" max="5637" width="18.125" style="1" customWidth="1"/>
    <col min="5638" max="5638" width="17.75" style="1" customWidth="1"/>
    <col min="5639" max="5639" width="11.5" style="1" customWidth="1"/>
    <col min="5640" max="5640" width="48.75" style="1" customWidth="1"/>
    <col min="5641" max="5641" width="9.875" style="1" bestFit="1" customWidth="1"/>
    <col min="5642" max="5642" width="11.375" style="1" bestFit="1" customWidth="1"/>
    <col min="5643" max="5643" width="12.625" style="1" customWidth="1"/>
    <col min="5644" max="5644" width="16.375" style="1" bestFit="1" customWidth="1"/>
    <col min="5645" max="5646" width="17.875" style="1" customWidth="1"/>
    <col min="5647" max="5647" width="14.875" style="1" bestFit="1" customWidth="1"/>
    <col min="5648" max="5648" width="21.375" style="1" customWidth="1"/>
    <col min="5649" max="5649" width="16.375" style="1" bestFit="1" customWidth="1"/>
    <col min="5650" max="5650" width="18.125" style="1" customWidth="1"/>
    <col min="5651" max="5651" width="9.125" style="1" bestFit="1" customWidth="1"/>
    <col min="5652" max="5652" width="13.75" style="1" customWidth="1"/>
    <col min="5653" max="5653" width="15.625" style="1" bestFit="1" customWidth="1"/>
    <col min="5654" max="5654" width="9.75" style="1" bestFit="1" customWidth="1"/>
    <col min="5655" max="5655" width="9.125" style="1" bestFit="1" customWidth="1"/>
    <col min="5656" max="5891" width="9" style="1"/>
    <col min="5892" max="5892" width="27" style="1" customWidth="1"/>
    <col min="5893" max="5893" width="18.125" style="1" customWidth="1"/>
    <col min="5894" max="5894" width="17.75" style="1" customWidth="1"/>
    <col min="5895" max="5895" width="11.5" style="1" customWidth="1"/>
    <col min="5896" max="5896" width="48.75" style="1" customWidth="1"/>
    <col min="5897" max="5897" width="9.875" style="1" bestFit="1" customWidth="1"/>
    <col min="5898" max="5898" width="11.375" style="1" bestFit="1" customWidth="1"/>
    <col min="5899" max="5899" width="12.625" style="1" customWidth="1"/>
    <col min="5900" max="5900" width="16.375" style="1" bestFit="1" customWidth="1"/>
    <col min="5901" max="5902" width="17.875" style="1" customWidth="1"/>
    <col min="5903" max="5903" width="14.875" style="1" bestFit="1" customWidth="1"/>
    <col min="5904" max="5904" width="21.375" style="1" customWidth="1"/>
    <col min="5905" max="5905" width="16.375" style="1" bestFit="1" customWidth="1"/>
    <col min="5906" max="5906" width="18.125" style="1" customWidth="1"/>
    <col min="5907" max="5907" width="9.125" style="1" bestFit="1" customWidth="1"/>
    <col min="5908" max="5908" width="13.75" style="1" customWidth="1"/>
    <col min="5909" max="5909" width="15.625" style="1" bestFit="1" customWidth="1"/>
    <col min="5910" max="5910" width="9.75" style="1" bestFit="1" customWidth="1"/>
    <col min="5911" max="5911" width="9.125" style="1" bestFit="1" customWidth="1"/>
    <col min="5912" max="6147" width="9" style="1"/>
    <col min="6148" max="6148" width="27" style="1" customWidth="1"/>
    <col min="6149" max="6149" width="18.125" style="1" customWidth="1"/>
    <col min="6150" max="6150" width="17.75" style="1" customWidth="1"/>
    <col min="6151" max="6151" width="11.5" style="1" customWidth="1"/>
    <col min="6152" max="6152" width="48.75" style="1" customWidth="1"/>
    <col min="6153" max="6153" width="9.875" style="1" bestFit="1" customWidth="1"/>
    <col min="6154" max="6154" width="11.375" style="1" bestFit="1" customWidth="1"/>
    <col min="6155" max="6155" width="12.625" style="1" customWidth="1"/>
    <col min="6156" max="6156" width="16.375" style="1" bestFit="1" customWidth="1"/>
    <col min="6157" max="6158" width="17.875" style="1" customWidth="1"/>
    <col min="6159" max="6159" width="14.875" style="1" bestFit="1" customWidth="1"/>
    <col min="6160" max="6160" width="21.375" style="1" customWidth="1"/>
    <col min="6161" max="6161" width="16.375" style="1" bestFit="1" customWidth="1"/>
    <col min="6162" max="6162" width="18.125" style="1" customWidth="1"/>
    <col min="6163" max="6163" width="9.125" style="1" bestFit="1" customWidth="1"/>
    <col min="6164" max="6164" width="13.75" style="1" customWidth="1"/>
    <col min="6165" max="6165" width="15.625" style="1" bestFit="1" customWidth="1"/>
    <col min="6166" max="6166" width="9.75" style="1" bestFit="1" customWidth="1"/>
    <col min="6167" max="6167" width="9.125" style="1" bestFit="1" customWidth="1"/>
    <col min="6168" max="6403" width="9" style="1"/>
    <col min="6404" max="6404" width="27" style="1" customWidth="1"/>
    <col min="6405" max="6405" width="18.125" style="1" customWidth="1"/>
    <col min="6406" max="6406" width="17.75" style="1" customWidth="1"/>
    <col min="6407" max="6407" width="11.5" style="1" customWidth="1"/>
    <col min="6408" max="6408" width="48.75" style="1" customWidth="1"/>
    <col min="6409" max="6409" width="9.875" style="1" bestFit="1" customWidth="1"/>
    <col min="6410" max="6410" width="11.375" style="1" bestFit="1" customWidth="1"/>
    <col min="6411" max="6411" width="12.625" style="1" customWidth="1"/>
    <col min="6412" max="6412" width="16.375" style="1" bestFit="1" customWidth="1"/>
    <col min="6413" max="6414" width="17.875" style="1" customWidth="1"/>
    <col min="6415" max="6415" width="14.875" style="1" bestFit="1" customWidth="1"/>
    <col min="6416" max="6416" width="21.375" style="1" customWidth="1"/>
    <col min="6417" max="6417" width="16.375" style="1" bestFit="1" customWidth="1"/>
    <col min="6418" max="6418" width="18.125" style="1" customWidth="1"/>
    <col min="6419" max="6419" width="9.125" style="1" bestFit="1" customWidth="1"/>
    <col min="6420" max="6420" width="13.75" style="1" customWidth="1"/>
    <col min="6421" max="6421" width="15.625" style="1" bestFit="1" customWidth="1"/>
    <col min="6422" max="6422" width="9.75" style="1" bestFit="1" customWidth="1"/>
    <col min="6423" max="6423" width="9.125" style="1" bestFit="1" customWidth="1"/>
    <col min="6424" max="6659" width="9" style="1"/>
    <col min="6660" max="6660" width="27" style="1" customWidth="1"/>
    <col min="6661" max="6661" width="18.125" style="1" customWidth="1"/>
    <col min="6662" max="6662" width="17.75" style="1" customWidth="1"/>
    <col min="6663" max="6663" width="11.5" style="1" customWidth="1"/>
    <col min="6664" max="6664" width="48.75" style="1" customWidth="1"/>
    <col min="6665" max="6665" width="9.875" style="1" bestFit="1" customWidth="1"/>
    <col min="6666" max="6666" width="11.375" style="1" bestFit="1" customWidth="1"/>
    <col min="6667" max="6667" width="12.625" style="1" customWidth="1"/>
    <col min="6668" max="6668" width="16.375" style="1" bestFit="1" customWidth="1"/>
    <col min="6669" max="6670" width="17.875" style="1" customWidth="1"/>
    <col min="6671" max="6671" width="14.875" style="1" bestFit="1" customWidth="1"/>
    <col min="6672" max="6672" width="21.375" style="1" customWidth="1"/>
    <col min="6673" max="6673" width="16.375" style="1" bestFit="1" customWidth="1"/>
    <col min="6674" max="6674" width="18.125" style="1" customWidth="1"/>
    <col min="6675" max="6675" width="9.125" style="1" bestFit="1" customWidth="1"/>
    <col min="6676" max="6676" width="13.75" style="1" customWidth="1"/>
    <col min="6677" max="6677" width="15.625" style="1" bestFit="1" customWidth="1"/>
    <col min="6678" max="6678" width="9.75" style="1" bestFit="1" customWidth="1"/>
    <col min="6679" max="6679" width="9.125" style="1" bestFit="1" customWidth="1"/>
    <col min="6680" max="6915" width="9" style="1"/>
    <col min="6916" max="6916" width="27" style="1" customWidth="1"/>
    <col min="6917" max="6917" width="18.125" style="1" customWidth="1"/>
    <col min="6918" max="6918" width="17.75" style="1" customWidth="1"/>
    <col min="6919" max="6919" width="11.5" style="1" customWidth="1"/>
    <col min="6920" max="6920" width="48.75" style="1" customWidth="1"/>
    <col min="6921" max="6921" width="9.875" style="1" bestFit="1" customWidth="1"/>
    <col min="6922" max="6922" width="11.375" style="1" bestFit="1" customWidth="1"/>
    <col min="6923" max="6923" width="12.625" style="1" customWidth="1"/>
    <col min="6924" max="6924" width="16.375" style="1" bestFit="1" customWidth="1"/>
    <col min="6925" max="6926" width="17.875" style="1" customWidth="1"/>
    <col min="6927" max="6927" width="14.875" style="1" bestFit="1" customWidth="1"/>
    <col min="6928" max="6928" width="21.375" style="1" customWidth="1"/>
    <col min="6929" max="6929" width="16.375" style="1" bestFit="1" customWidth="1"/>
    <col min="6930" max="6930" width="18.125" style="1" customWidth="1"/>
    <col min="6931" max="6931" width="9.125" style="1" bestFit="1" customWidth="1"/>
    <col min="6932" max="6932" width="13.75" style="1" customWidth="1"/>
    <col min="6933" max="6933" width="15.625" style="1" bestFit="1" customWidth="1"/>
    <col min="6934" max="6934" width="9.75" style="1" bestFit="1" customWidth="1"/>
    <col min="6935" max="6935" width="9.125" style="1" bestFit="1" customWidth="1"/>
    <col min="6936" max="7171" width="9" style="1"/>
    <col min="7172" max="7172" width="27" style="1" customWidth="1"/>
    <col min="7173" max="7173" width="18.125" style="1" customWidth="1"/>
    <col min="7174" max="7174" width="17.75" style="1" customWidth="1"/>
    <col min="7175" max="7175" width="11.5" style="1" customWidth="1"/>
    <col min="7176" max="7176" width="48.75" style="1" customWidth="1"/>
    <col min="7177" max="7177" width="9.875" style="1" bestFit="1" customWidth="1"/>
    <col min="7178" max="7178" width="11.375" style="1" bestFit="1" customWidth="1"/>
    <col min="7179" max="7179" width="12.625" style="1" customWidth="1"/>
    <col min="7180" max="7180" width="16.375" style="1" bestFit="1" customWidth="1"/>
    <col min="7181" max="7182" width="17.875" style="1" customWidth="1"/>
    <col min="7183" max="7183" width="14.875" style="1" bestFit="1" customWidth="1"/>
    <col min="7184" max="7184" width="21.375" style="1" customWidth="1"/>
    <col min="7185" max="7185" width="16.375" style="1" bestFit="1" customWidth="1"/>
    <col min="7186" max="7186" width="18.125" style="1" customWidth="1"/>
    <col min="7187" max="7187" width="9.125" style="1" bestFit="1" customWidth="1"/>
    <col min="7188" max="7188" width="13.75" style="1" customWidth="1"/>
    <col min="7189" max="7189" width="15.625" style="1" bestFit="1" customWidth="1"/>
    <col min="7190" max="7190" width="9.75" style="1" bestFit="1" customWidth="1"/>
    <col min="7191" max="7191" width="9.125" style="1" bestFit="1" customWidth="1"/>
    <col min="7192" max="7427" width="9" style="1"/>
    <col min="7428" max="7428" width="27" style="1" customWidth="1"/>
    <col min="7429" max="7429" width="18.125" style="1" customWidth="1"/>
    <col min="7430" max="7430" width="17.75" style="1" customWidth="1"/>
    <col min="7431" max="7431" width="11.5" style="1" customWidth="1"/>
    <col min="7432" max="7432" width="48.75" style="1" customWidth="1"/>
    <col min="7433" max="7433" width="9.875" style="1" bestFit="1" customWidth="1"/>
    <col min="7434" max="7434" width="11.375" style="1" bestFit="1" customWidth="1"/>
    <col min="7435" max="7435" width="12.625" style="1" customWidth="1"/>
    <col min="7436" max="7436" width="16.375" style="1" bestFit="1" customWidth="1"/>
    <col min="7437" max="7438" width="17.875" style="1" customWidth="1"/>
    <col min="7439" max="7439" width="14.875" style="1" bestFit="1" customWidth="1"/>
    <col min="7440" max="7440" width="21.375" style="1" customWidth="1"/>
    <col min="7441" max="7441" width="16.375" style="1" bestFit="1" customWidth="1"/>
    <col min="7442" max="7442" width="18.125" style="1" customWidth="1"/>
    <col min="7443" max="7443" width="9.125" style="1" bestFit="1" customWidth="1"/>
    <col min="7444" max="7444" width="13.75" style="1" customWidth="1"/>
    <col min="7445" max="7445" width="15.625" style="1" bestFit="1" customWidth="1"/>
    <col min="7446" max="7446" width="9.75" style="1" bestFit="1" customWidth="1"/>
    <col min="7447" max="7447" width="9.125" style="1" bestFit="1" customWidth="1"/>
    <col min="7448" max="7683" width="9" style="1"/>
    <col min="7684" max="7684" width="27" style="1" customWidth="1"/>
    <col min="7685" max="7685" width="18.125" style="1" customWidth="1"/>
    <col min="7686" max="7686" width="17.75" style="1" customWidth="1"/>
    <col min="7687" max="7687" width="11.5" style="1" customWidth="1"/>
    <col min="7688" max="7688" width="48.75" style="1" customWidth="1"/>
    <col min="7689" max="7689" width="9.875" style="1" bestFit="1" customWidth="1"/>
    <col min="7690" max="7690" width="11.375" style="1" bestFit="1" customWidth="1"/>
    <col min="7691" max="7691" width="12.625" style="1" customWidth="1"/>
    <col min="7692" max="7692" width="16.375" style="1" bestFit="1" customWidth="1"/>
    <col min="7693" max="7694" width="17.875" style="1" customWidth="1"/>
    <col min="7695" max="7695" width="14.875" style="1" bestFit="1" customWidth="1"/>
    <col min="7696" max="7696" width="21.375" style="1" customWidth="1"/>
    <col min="7697" max="7697" width="16.375" style="1" bestFit="1" customWidth="1"/>
    <col min="7698" max="7698" width="18.125" style="1" customWidth="1"/>
    <col min="7699" max="7699" width="9.125" style="1" bestFit="1" customWidth="1"/>
    <col min="7700" max="7700" width="13.75" style="1" customWidth="1"/>
    <col min="7701" max="7701" width="15.625" style="1" bestFit="1" customWidth="1"/>
    <col min="7702" max="7702" width="9.75" style="1" bestFit="1" customWidth="1"/>
    <col min="7703" max="7703" width="9.125" style="1" bestFit="1" customWidth="1"/>
    <col min="7704" max="7939" width="9" style="1"/>
    <col min="7940" max="7940" width="27" style="1" customWidth="1"/>
    <col min="7941" max="7941" width="18.125" style="1" customWidth="1"/>
    <col min="7942" max="7942" width="17.75" style="1" customWidth="1"/>
    <col min="7943" max="7943" width="11.5" style="1" customWidth="1"/>
    <col min="7944" max="7944" width="48.75" style="1" customWidth="1"/>
    <col min="7945" max="7945" width="9.875" style="1" bestFit="1" customWidth="1"/>
    <col min="7946" max="7946" width="11.375" style="1" bestFit="1" customWidth="1"/>
    <col min="7947" max="7947" width="12.625" style="1" customWidth="1"/>
    <col min="7948" max="7948" width="16.375" style="1" bestFit="1" customWidth="1"/>
    <col min="7949" max="7950" width="17.875" style="1" customWidth="1"/>
    <col min="7951" max="7951" width="14.875" style="1" bestFit="1" customWidth="1"/>
    <col min="7952" max="7952" width="21.375" style="1" customWidth="1"/>
    <col min="7953" max="7953" width="16.375" style="1" bestFit="1" customWidth="1"/>
    <col min="7954" max="7954" width="18.125" style="1" customWidth="1"/>
    <col min="7955" max="7955" width="9.125" style="1" bestFit="1" customWidth="1"/>
    <col min="7956" max="7956" width="13.75" style="1" customWidth="1"/>
    <col min="7957" max="7957" width="15.625" style="1" bestFit="1" customWidth="1"/>
    <col min="7958" max="7958" width="9.75" style="1" bestFit="1" customWidth="1"/>
    <col min="7959" max="7959" width="9.125" style="1" bestFit="1" customWidth="1"/>
    <col min="7960" max="8195" width="9" style="1"/>
    <col min="8196" max="8196" width="27" style="1" customWidth="1"/>
    <col min="8197" max="8197" width="18.125" style="1" customWidth="1"/>
    <col min="8198" max="8198" width="17.75" style="1" customWidth="1"/>
    <col min="8199" max="8199" width="11.5" style="1" customWidth="1"/>
    <col min="8200" max="8200" width="48.75" style="1" customWidth="1"/>
    <col min="8201" max="8201" width="9.875" style="1" bestFit="1" customWidth="1"/>
    <col min="8202" max="8202" width="11.375" style="1" bestFit="1" customWidth="1"/>
    <col min="8203" max="8203" width="12.625" style="1" customWidth="1"/>
    <col min="8204" max="8204" width="16.375" style="1" bestFit="1" customWidth="1"/>
    <col min="8205" max="8206" width="17.875" style="1" customWidth="1"/>
    <col min="8207" max="8207" width="14.875" style="1" bestFit="1" customWidth="1"/>
    <col min="8208" max="8208" width="21.375" style="1" customWidth="1"/>
    <col min="8209" max="8209" width="16.375" style="1" bestFit="1" customWidth="1"/>
    <col min="8210" max="8210" width="18.125" style="1" customWidth="1"/>
    <col min="8211" max="8211" width="9.125" style="1" bestFit="1" customWidth="1"/>
    <col min="8212" max="8212" width="13.75" style="1" customWidth="1"/>
    <col min="8213" max="8213" width="15.625" style="1" bestFit="1" customWidth="1"/>
    <col min="8214" max="8214" width="9.75" style="1" bestFit="1" customWidth="1"/>
    <col min="8215" max="8215" width="9.125" style="1" bestFit="1" customWidth="1"/>
    <col min="8216" max="8451" width="9" style="1"/>
    <col min="8452" max="8452" width="27" style="1" customWidth="1"/>
    <col min="8453" max="8453" width="18.125" style="1" customWidth="1"/>
    <col min="8454" max="8454" width="17.75" style="1" customWidth="1"/>
    <col min="8455" max="8455" width="11.5" style="1" customWidth="1"/>
    <col min="8456" max="8456" width="48.75" style="1" customWidth="1"/>
    <col min="8457" max="8457" width="9.875" style="1" bestFit="1" customWidth="1"/>
    <col min="8458" max="8458" width="11.375" style="1" bestFit="1" customWidth="1"/>
    <col min="8459" max="8459" width="12.625" style="1" customWidth="1"/>
    <col min="8460" max="8460" width="16.375" style="1" bestFit="1" customWidth="1"/>
    <col min="8461" max="8462" width="17.875" style="1" customWidth="1"/>
    <col min="8463" max="8463" width="14.875" style="1" bestFit="1" customWidth="1"/>
    <col min="8464" max="8464" width="21.375" style="1" customWidth="1"/>
    <col min="8465" max="8465" width="16.375" style="1" bestFit="1" customWidth="1"/>
    <col min="8466" max="8466" width="18.125" style="1" customWidth="1"/>
    <col min="8467" max="8467" width="9.125" style="1" bestFit="1" customWidth="1"/>
    <col min="8468" max="8468" width="13.75" style="1" customWidth="1"/>
    <col min="8469" max="8469" width="15.625" style="1" bestFit="1" customWidth="1"/>
    <col min="8470" max="8470" width="9.75" style="1" bestFit="1" customWidth="1"/>
    <col min="8471" max="8471" width="9.125" style="1" bestFit="1" customWidth="1"/>
    <col min="8472" max="8707" width="9" style="1"/>
    <col min="8708" max="8708" width="27" style="1" customWidth="1"/>
    <col min="8709" max="8709" width="18.125" style="1" customWidth="1"/>
    <col min="8710" max="8710" width="17.75" style="1" customWidth="1"/>
    <col min="8711" max="8711" width="11.5" style="1" customWidth="1"/>
    <col min="8712" max="8712" width="48.75" style="1" customWidth="1"/>
    <col min="8713" max="8713" width="9.875" style="1" bestFit="1" customWidth="1"/>
    <col min="8714" max="8714" width="11.375" style="1" bestFit="1" customWidth="1"/>
    <col min="8715" max="8715" width="12.625" style="1" customWidth="1"/>
    <col min="8716" max="8716" width="16.375" style="1" bestFit="1" customWidth="1"/>
    <col min="8717" max="8718" width="17.875" style="1" customWidth="1"/>
    <col min="8719" max="8719" width="14.875" style="1" bestFit="1" customWidth="1"/>
    <col min="8720" max="8720" width="21.375" style="1" customWidth="1"/>
    <col min="8721" max="8721" width="16.375" style="1" bestFit="1" customWidth="1"/>
    <col min="8722" max="8722" width="18.125" style="1" customWidth="1"/>
    <col min="8723" max="8723" width="9.125" style="1" bestFit="1" customWidth="1"/>
    <col min="8724" max="8724" width="13.75" style="1" customWidth="1"/>
    <col min="8725" max="8725" width="15.625" style="1" bestFit="1" customWidth="1"/>
    <col min="8726" max="8726" width="9.75" style="1" bestFit="1" customWidth="1"/>
    <col min="8727" max="8727" width="9.125" style="1" bestFit="1" customWidth="1"/>
    <col min="8728" max="8963" width="9" style="1"/>
    <col min="8964" max="8964" width="27" style="1" customWidth="1"/>
    <col min="8965" max="8965" width="18.125" style="1" customWidth="1"/>
    <col min="8966" max="8966" width="17.75" style="1" customWidth="1"/>
    <col min="8967" max="8967" width="11.5" style="1" customWidth="1"/>
    <col min="8968" max="8968" width="48.75" style="1" customWidth="1"/>
    <col min="8969" max="8969" width="9.875" style="1" bestFit="1" customWidth="1"/>
    <col min="8970" max="8970" width="11.375" style="1" bestFit="1" customWidth="1"/>
    <col min="8971" max="8971" width="12.625" style="1" customWidth="1"/>
    <col min="8972" max="8972" width="16.375" style="1" bestFit="1" customWidth="1"/>
    <col min="8973" max="8974" width="17.875" style="1" customWidth="1"/>
    <col min="8975" max="8975" width="14.875" style="1" bestFit="1" customWidth="1"/>
    <col min="8976" max="8976" width="21.375" style="1" customWidth="1"/>
    <col min="8977" max="8977" width="16.375" style="1" bestFit="1" customWidth="1"/>
    <col min="8978" max="8978" width="18.125" style="1" customWidth="1"/>
    <col min="8979" max="8979" width="9.125" style="1" bestFit="1" customWidth="1"/>
    <col min="8980" max="8980" width="13.75" style="1" customWidth="1"/>
    <col min="8981" max="8981" width="15.625" style="1" bestFit="1" customWidth="1"/>
    <col min="8982" max="8982" width="9.75" style="1" bestFit="1" customWidth="1"/>
    <col min="8983" max="8983" width="9.125" style="1" bestFit="1" customWidth="1"/>
    <col min="8984" max="9219" width="9" style="1"/>
    <col min="9220" max="9220" width="27" style="1" customWidth="1"/>
    <col min="9221" max="9221" width="18.125" style="1" customWidth="1"/>
    <col min="9222" max="9222" width="17.75" style="1" customWidth="1"/>
    <col min="9223" max="9223" width="11.5" style="1" customWidth="1"/>
    <col min="9224" max="9224" width="48.75" style="1" customWidth="1"/>
    <col min="9225" max="9225" width="9.875" style="1" bestFit="1" customWidth="1"/>
    <col min="9226" max="9226" width="11.375" style="1" bestFit="1" customWidth="1"/>
    <col min="9227" max="9227" width="12.625" style="1" customWidth="1"/>
    <col min="9228" max="9228" width="16.375" style="1" bestFit="1" customWidth="1"/>
    <col min="9229" max="9230" width="17.875" style="1" customWidth="1"/>
    <col min="9231" max="9231" width="14.875" style="1" bestFit="1" customWidth="1"/>
    <col min="9232" max="9232" width="21.375" style="1" customWidth="1"/>
    <col min="9233" max="9233" width="16.375" style="1" bestFit="1" customWidth="1"/>
    <col min="9234" max="9234" width="18.125" style="1" customWidth="1"/>
    <col min="9235" max="9235" width="9.125" style="1" bestFit="1" customWidth="1"/>
    <col min="9236" max="9236" width="13.75" style="1" customWidth="1"/>
    <col min="9237" max="9237" width="15.625" style="1" bestFit="1" customWidth="1"/>
    <col min="9238" max="9238" width="9.75" style="1" bestFit="1" customWidth="1"/>
    <col min="9239" max="9239" width="9.125" style="1" bestFit="1" customWidth="1"/>
    <col min="9240" max="9475" width="9" style="1"/>
    <col min="9476" max="9476" width="27" style="1" customWidth="1"/>
    <col min="9477" max="9477" width="18.125" style="1" customWidth="1"/>
    <col min="9478" max="9478" width="17.75" style="1" customWidth="1"/>
    <col min="9479" max="9479" width="11.5" style="1" customWidth="1"/>
    <col min="9480" max="9480" width="48.75" style="1" customWidth="1"/>
    <col min="9481" max="9481" width="9.875" style="1" bestFit="1" customWidth="1"/>
    <col min="9482" max="9482" width="11.375" style="1" bestFit="1" customWidth="1"/>
    <col min="9483" max="9483" width="12.625" style="1" customWidth="1"/>
    <col min="9484" max="9484" width="16.375" style="1" bestFit="1" customWidth="1"/>
    <col min="9485" max="9486" width="17.875" style="1" customWidth="1"/>
    <col min="9487" max="9487" width="14.875" style="1" bestFit="1" customWidth="1"/>
    <col min="9488" max="9488" width="21.375" style="1" customWidth="1"/>
    <col min="9489" max="9489" width="16.375" style="1" bestFit="1" customWidth="1"/>
    <col min="9490" max="9490" width="18.125" style="1" customWidth="1"/>
    <col min="9491" max="9491" width="9.125" style="1" bestFit="1" customWidth="1"/>
    <col min="9492" max="9492" width="13.75" style="1" customWidth="1"/>
    <col min="9493" max="9493" width="15.625" style="1" bestFit="1" customWidth="1"/>
    <col min="9494" max="9494" width="9.75" style="1" bestFit="1" customWidth="1"/>
    <col min="9495" max="9495" width="9.125" style="1" bestFit="1" customWidth="1"/>
    <col min="9496" max="9731" width="9" style="1"/>
    <col min="9732" max="9732" width="27" style="1" customWidth="1"/>
    <col min="9733" max="9733" width="18.125" style="1" customWidth="1"/>
    <col min="9734" max="9734" width="17.75" style="1" customWidth="1"/>
    <col min="9735" max="9735" width="11.5" style="1" customWidth="1"/>
    <col min="9736" max="9736" width="48.75" style="1" customWidth="1"/>
    <col min="9737" max="9737" width="9.875" style="1" bestFit="1" customWidth="1"/>
    <col min="9738" max="9738" width="11.375" style="1" bestFit="1" customWidth="1"/>
    <col min="9739" max="9739" width="12.625" style="1" customWidth="1"/>
    <col min="9740" max="9740" width="16.375" style="1" bestFit="1" customWidth="1"/>
    <col min="9741" max="9742" width="17.875" style="1" customWidth="1"/>
    <col min="9743" max="9743" width="14.875" style="1" bestFit="1" customWidth="1"/>
    <col min="9744" max="9744" width="21.375" style="1" customWidth="1"/>
    <col min="9745" max="9745" width="16.375" style="1" bestFit="1" customWidth="1"/>
    <col min="9746" max="9746" width="18.125" style="1" customWidth="1"/>
    <col min="9747" max="9747" width="9.125" style="1" bestFit="1" customWidth="1"/>
    <col min="9748" max="9748" width="13.75" style="1" customWidth="1"/>
    <col min="9749" max="9749" width="15.625" style="1" bestFit="1" customWidth="1"/>
    <col min="9750" max="9750" width="9.75" style="1" bestFit="1" customWidth="1"/>
    <col min="9751" max="9751" width="9.125" style="1" bestFit="1" customWidth="1"/>
    <col min="9752" max="9987" width="9" style="1"/>
    <col min="9988" max="9988" width="27" style="1" customWidth="1"/>
    <col min="9989" max="9989" width="18.125" style="1" customWidth="1"/>
    <col min="9990" max="9990" width="17.75" style="1" customWidth="1"/>
    <col min="9991" max="9991" width="11.5" style="1" customWidth="1"/>
    <col min="9992" max="9992" width="48.75" style="1" customWidth="1"/>
    <col min="9993" max="9993" width="9.875" style="1" bestFit="1" customWidth="1"/>
    <col min="9994" max="9994" width="11.375" style="1" bestFit="1" customWidth="1"/>
    <col min="9995" max="9995" width="12.625" style="1" customWidth="1"/>
    <col min="9996" max="9996" width="16.375" style="1" bestFit="1" customWidth="1"/>
    <col min="9997" max="9998" width="17.875" style="1" customWidth="1"/>
    <col min="9999" max="9999" width="14.875" style="1" bestFit="1" customWidth="1"/>
    <col min="10000" max="10000" width="21.375" style="1" customWidth="1"/>
    <col min="10001" max="10001" width="16.375" style="1" bestFit="1" customWidth="1"/>
    <col min="10002" max="10002" width="18.125" style="1" customWidth="1"/>
    <col min="10003" max="10003" width="9.125" style="1" bestFit="1" customWidth="1"/>
    <col min="10004" max="10004" width="13.75" style="1" customWidth="1"/>
    <col min="10005" max="10005" width="15.625" style="1" bestFit="1" customWidth="1"/>
    <col min="10006" max="10006" width="9.75" style="1" bestFit="1" customWidth="1"/>
    <col min="10007" max="10007" width="9.125" style="1" bestFit="1" customWidth="1"/>
    <col min="10008" max="10243" width="9" style="1"/>
    <col min="10244" max="10244" width="27" style="1" customWidth="1"/>
    <col min="10245" max="10245" width="18.125" style="1" customWidth="1"/>
    <col min="10246" max="10246" width="17.75" style="1" customWidth="1"/>
    <col min="10247" max="10247" width="11.5" style="1" customWidth="1"/>
    <col min="10248" max="10248" width="48.75" style="1" customWidth="1"/>
    <col min="10249" max="10249" width="9.875" style="1" bestFit="1" customWidth="1"/>
    <col min="10250" max="10250" width="11.375" style="1" bestFit="1" customWidth="1"/>
    <col min="10251" max="10251" width="12.625" style="1" customWidth="1"/>
    <col min="10252" max="10252" width="16.375" style="1" bestFit="1" customWidth="1"/>
    <col min="10253" max="10254" width="17.875" style="1" customWidth="1"/>
    <col min="10255" max="10255" width="14.875" style="1" bestFit="1" customWidth="1"/>
    <col min="10256" max="10256" width="21.375" style="1" customWidth="1"/>
    <col min="10257" max="10257" width="16.375" style="1" bestFit="1" customWidth="1"/>
    <col min="10258" max="10258" width="18.125" style="1" customWidth="1"/>
    <col min="10259" max="10259" width="9.125" style="1" bestFit="1" customWidth="1"/>
    <col min="10260" max="10260" width="13.75" style="1" customWidth="1"/>
    <col min="10261" max="10261" width="15.625" style="1" bestFit="1" customWidth="1"/>
    <col min="10262" max="10262" width="9.75" style="1" bestFit="1" customWidth="1"/>
    <col min="10263" max="10263" width="9.125" style="1" bestFit="1" customWidth="1"/>
    <col min="10264" max="10499" width="9" style="1"/>
    <col min="10500" max="10500" width="27" style="1" customWidth="1"/>
    <col min="10501" max="10501" width="18.125" style="1" customWidth="1"/>
    <col min="10502" max="10502" width="17.75" style="1" customWidth="1"/>
    <col min="10503" max="10503" width="11.5" style="1" customWidth="1"/>
    <col min="10504" max="10504" width="48.75" style="1" customWidth="1"/>
    <col min="10505" max="10505" width="9.875" style="1" bestFit="1" customWidth="1"/>
    <col min="10506" max="10506" width="11.375" style="1" bestFit="1" customWidth="1"/>
    <col min="10507" max="10507" width="12.625" style="1" customWidth="1"/>
    <col min="10508" max="10508" width="16.375" style="1" bestFit="1" customWidth="1"/>
    <col min="10509" max="10510" width="17.875" style="1" customWidth="1"/>
    <col min="10511" max="10511" width="14.875" style="1" bestFit="1" customWidth="1"/>
    <col min="10512" max="10512" width="21.375" style="1" customWidth="1"/>
    <col min="10513" max="10513" width="16.375" style="1" bestFit="1" customWidth="1"/>
    <col min="10514" max="10514" width="18.125" style="1" customWidth="1"/>
    <col min="10515" max="10515" width="9.125" style="1" bestFit="1" customWidth="1"/>
    <col min="10516" max="10516" width="13.75" style="1" customWidth="1"/>
    <col min="10517" max="10517" width="15.625" style="1" bestFit="1" customWidth="1"/>
    <col min="10518" max="10518" width="9.75" style="1" bestFit="1" customWidth="1"/>
    <col min="10519" max="10519" width="9.125" style="1" bestFit="1" customWidth="1"/>
    <col min="10520" max="10755" width="9" style="1"/>
    <col min="10756" max="10756" width="27" style="1" customWidth="1"/>
    <col min="10757" max="10757" width="18.125" style="1" customWidth="1"/>
    <col min="10758" max="10758" width="17.75" style="1" customWidth="1"/>
    <col min="10759" max="10759" width="11.5" style="1" customWidth="1"/>
    <col min="10760" max="10760" width="48.75" style="1" customWidth="1"/>
    <col min="10761" max="10761" width="9.875" style="1" bestFit="1" customWidth="1"/>
    <col min="10762" max="10762" width="11.375" style="1" bestFit="1" customWidth="1"/>
    <col min="10763" max="10763" width="12.625" style="1" customWidth="1"/>
    <col min="10764" max="10764" width="16.375" style="1" bestFit="1" customWidth="1"/>
    <col min="10765" max="10766" width="17.875" style="1" customWidth="1"/>
    <col min="10767" max="10767" width="14.875" style="1" bestFit="1" customWidth="1"/>
    <col min="10768" max="10768" width="21.375" style="1" customWidth="1"/>
    <col min="10769" max="10769" width="16.375" style="1" bestFit="1" customWidth="1"/>
    <col min="10770" max="10770" width="18.125" style="1" customWidth="1"/>
    <col min="10771" max="10771" width="9.125" style="1" bestFit="1" customWidth="1"/>
    <col min="10772" max="10772" width="13.75" style="1" customWidth="1"/>
    <col min="10773" max="10773" width="15.625" style="1" bestFit="1" customWidth="1"/>
    <col min="10774" max="10774" width="9.75" style="1" bestFit="1" customWidth="1"/>
    <col min="10775" max="10775" width="9.125" style="1" bestFit="1" customWidth="1"/>
    <col min="10776" max="11011" width="9" style="1"/>
    <col min="11012" max="11012" width="27" style="1" customWidth="1"/>
    <col min="11013" max="11013" width="18.125" style="1" customWidth="1"/>
    <col min="11014" max="11014" width="17.75" style="1" customWidth="1"/>
    <col min="11015" max="11015" width="11.5" style="1" customWidth="1"/>
    <col min="11016" max="11016" width="48.75" style="1" customWidth="1"/>
    <col min="11017" max="11017" width="9.875" style="1" bestFit="1" customWidth="1"/>
    <col min="11018" max="11018" width="11.375" style="1" bestFit="1" customWidth="1"/>
    <col min="11019" max="11019" width="12.625" style="1" customWidth="1"/>
    <col min="11020" max="11020" width="16.375" style="1" bestFit="1" customWidth="1"/>
    <col min="11021" max="11022" width="17.875" style="1" customWidth="1"/>
    <col min="11023" max="11023" width="14.875" style="1" bestFit="1" customWidth="1"/>
    <col min="11024" max="11024" width="21.375" style="1" customWidth="1"/>
    <col min="11025" max="11025" width="16.375" style="1" bestFit="1" customWidth="1"/>
    <col min="11026" max="11026" width="18.125" style="1" customWidth="1"/>
    <col min="11027" max="11027" width="9.125" style="1" bestFit="1" customWidth="1"/>
    <col min="11028" max="11028" width="13.75" style="1" customWidth="1"/>
    <col min="11029" max="11029" width="15.625" style="1" bestFit="1" customWidth="1"/>
    <col min="11030" max="11030" width="9.75" style="1" bestFit="1" customWidth="1"/>
    <col min="11031" max="11031" width="9.125" style="1" bestFit="1" customWidth="1"/>
    <col min="11032" max="11267" width="9" style="1"/>
    <col min="11268" max="11268" width="27" style="1" customWidth="1"/>
    <col min="11269" max="11269" width="18.125" style="1" customWidth="1"/>
    <col min="11270" max="11270" width="17.75" style="1" customWidth="1"/>
    <col min="11271" max="11271" width="11.5" style="1" customWidth="1"/>
    <col min="11272" max="11272" width="48.75" style="1" customWidth="1"/>
    <col min="11273" max="11273" width="9.875" style="1" bestFit="1" customWidth="1"/>
    <col min="11274" max="11274" width="11.375" style="1" bestFit="1" customWidth="1"/>
    <col min="11275" max="11275" width="12.625" style="1" customWidth="1"/>
    <col min="11276" max="11276" width="16.375" style="1" bestFit="1" customWidth="1"/>
    <col min="11277" max="11278" width="17.875" style="1" customWidth="1"/>
    <col min="11279" max="11279" width="14.875" style="1" bestFit="1" customWidth="1"/>
    <col min="11280" max="11280" width="21.375" style="1" customWidth="1"/>
    <col min="11281" max="11281" width="16.375" style="1" bestFit="1" customWidth="1"/>
    <col min="11282" max="11282" width="18.125" style="1" customWidth="1"/>
    <col min="11283" max="11283" width="9.125" style="1" bestFit="1" customWidth="1"/>
    <col min="11284" max="11284" width="13.75" style="1" customWidth="1"/>
    <col min="11285" max="11285" width="15.625" style="1" bestFit="1" customWidth="1"/>
    <col min="11286" max="11286" width="9.75" style="1" bestFit="1" customWidth="1"/>
    <col min="11287" max="11287" width="9.125" style="1" bestFit="1" customWidth="1"/>
    <col min="11288" max="11523" width="9" style="1"/>
    <col min="11524" max="11524" width="27" style="1" customWidth="1"/>
    <col min="11525" max="11525" width="18.125" style="1" customWidth="1"/>
    <col min="11526" max="11526" width="17.75" style="1" customWidth="1"/>
    <col min="11527" max="11527" width="11.5" style="1" customWidth="1"/>
    <col min="11528" max="11528" width="48.75" style="1" customWidth="1"/>
    <col min="11529" max="11529" width="9.875" style="1" bestFit="1" customWidth="1"/>
    <col min="11530" max="11530" width="11.375" style="1" bestFit="1" customWidth="1"/>
    <col min="11531" max="11531" width="12.625" style="1" customWidth="1"/>
    <col min="11532" max="11532" width="16.375" style="1" bestFit="1" customWidth="1"/>
    <col min="11533" max="11534" width="17.875" style="1" customWidth="1"/>
    <col min="11535" max="11535" width="14.875" style="1" bestFit="1" customWidth="1"/>
    <col min="11536" max="11536" width="21.375" style="1" customWidth="1"/>
    <col min="11537" max="11537" width="16.375" style="1" bestFit="1" customWidth="1"/>
    <col min="11538" max="11538" width="18.125" style="1" customWidth="1"/>
    <col min="11539" max="11539" width="9.125" style="1" bestFit="1" customWidth="1"/>
    <col min="11540" max="11540" width="13.75" style="1" customWidth="1"/>
    <col min="11541" max="11541" width="15.625" style="1" bestFit="1" customWidth="1"/>
    <col min="11542" max="11542" width="9.75" style="1" bestFit="1" customWidth="1"/>
    <col min="11543" max="11543" width="9.125" style="1" bestFit="1" customWidth="1"/>
    <col min="11544" max="11779" width="9" style="1"/>
    <col min="11780" max="11780" width="27" style="1" customWidth="1"/>
    <col min="11781" max="11781" width="18.125" style="1" customWidth="1"/>
    <col min="11782" max="11782" width="17.75" style="1" customWidth="1"/>
    <col min="11783" max="11783" width="11.5" style="1" customWidth="1"/>
    <col min="11784" max="11784" width="48.75" style="1" customWidth="1"/>
    <col min="11785" max="11785" width="9.875" style="1" bestFit="1" customWidth="1"/>
    <col min="11786" max="11786" width="11.375" style="1" bestFit="1" customWidth="1"/>
    <col min="11787" max="11787" width="12.625" style="1" customWidth="1"/>
    <col min="11788" max="11788" width="16.375" style="1" bestFit="1" customWidth="1"/>
    <col min="11789" max="11790" width="17.875" style="1" customWidth="1"/>
    <col min="11791" max="11791" width="14.875" style="1" bestFit="1" customWidth="1"/>
    <col min="11792" max="11792" width="21.375" style="1" customWidth="1"/>
    <col min="11793" max="11793" width="16.375" style="1" bestFit="1" customWidth="1"/>
    <col min="11794" max="11794" width="18.125" style="1" customWidth="1"/>
    <col min="11795" max="11795" width="9.125" style="1" bestFit="1" customWidth="1"/>
    <col min="11796" max="11796" width="13.75" style="1" customWidth="1"/>
    <col min="11797" max="11797" width="15.625" style="1" bestFit="1" customWidth="1"/>
    <col min="11798" max="11798" width="9.75" style="1" bestFit="1" customWidth="1"/>
    <col min="11799" max="11799" width="9.125" style="1" bestFit="1" customWidth="1"/>
    <col min="11800" max="12035" width="9" style="1"/>
    <col min="12036" max="12036" width="27" style="1" customWidth="1"/>
    <col min="12037" max="12037" width="18.125" style="1" customWidth="1"/>
    <col min="12038" max="12038" width="17.75" style="1" customWidth="1"/>
    <col min="12039" max="12039" width="11.5" style="1" customWidth="1"/>
    <col min="12040" max="12040" width="48.75" style="1" customWidth="1"/>
    <col min="12041" max="12041" width="9.875" style="1" bestFit="1" customWidth="1"/>
    <col min="12042" max="12042" width="11.375" style="1" bestFit="1" customWidth="1"/>
    <col min="12043" max="12043" width="12.625" style="1" customWidth="1"/>
    <col min="12044" max="12044" width="16.375" style="1" bestFit="1" customWidth="1"/>
    <col min="12045" max="12046" width="17.875" style="1" customWidth="1"/>
    <col min="12047" max="12047" width="14.875" style="1" bestFit="1" customWidth="1"/>
    <col min="12048" max="12048" width="21.375" style="1" customWidth="1"/>
    <col min="12049" max="12049" width="16.375" style="1" bestFit="1" customWidth="1"/>
    <col min="12050" max="12050" width="18.125" style="1" customWidth="1"/>
    <col min="12051" max="12051" width="9.125" style="1" bestFit="1" customWidth="1"/>
    <col min="12052" max="12052" width="13.75" style="1" customWidth="1"/>
    <col min="12053" max="12053" width="15.625" style="1" bestFit="1" customWidth="1"/>
    <col min="12054" max="12054" width="9.75" style="1" bestFit="1" customWidth="1"/>
    <col min="12055" max="12055" width="9.125" style="1" bestFit="1" customWidth="1"/>
    <col min="12056" max="12291" width="9" style="1"/>
    <col min="12292" max="12292" width="27" style="1" customWidth="1"/>
    <col min="12293" max="12293" width="18.125" style="1" customWidth="1"/>
    <col min="12294" max="12294" width="17.75" style="1" customWidth="1"/>
    <col min="12295" max="12295" width="11.5" style="1" customWidth="1"/>
    <col min="12296" max="12296" width="48.75" style="1" customWidth="1"/>
    <col min="12297" max="12297" width="9.875" style="1" bestFit="1" customWidth="1"/>
    <col min="12298" max="12298" width="11.375" style="1" bestFit="1" customWidth="1"/>
    <col min="12299" max="12299" width="12.625" style="1" customWidth="1"/>
    <col min="12300" max="12300" width="16.375" style="1" bestFit="1" customWidth="1"/>
    <col min="12301" max="12302" width="17.875" style="1" customWidth="1"/>
    <col min="12303" max="12303" width="14.875" style="1" bestFit="1" customWidth="1"/>
    <col min="12304" max="12304" width="21.375" style="1" customWidth="1"/>
    <col min="12305" max="12305" width="16.375" style="1" bestFit="1" customWidth="1"/>
    <col min="12306" max="12306" width="18.125" style="1" customWidth="1"/>
    <col min="12307" max="12307" width="9.125" style="1" bestFit="1" customWidth="1"/>
    <col min="12308" max="12308" width="13.75" style="1" customWidth="1"/>
    <col min="12309" max="12309" width="15.625" style="1" bestFit="1" customWidth="1"/>
    <col min="12310" max="12310" width="9.75" style="1" bestFit="1" customWidth="1"/>
    <col min="12311" max="12311" width="9.125" style="1" bestFit="1" customWidth="1"/>
    <col min="12312" max="12547" width="9" style="1"/>
    <col min="12548" max="12548" width="27" style="1" customWidth="1"/>
    <col min="12549" max="12549" width="18.125" style="1" customWidth="1"/>
    <col min="12550" max="12550" width="17.75" style="1" customWidth="1"/>
    <col min="12551" max="12551" width="11.5" style="1" customWidth="1"/>
    <col min="12552" max="12552" width="48.75" style="1" customWidth="1"/>
    <col min="12553" max="12553" width="9.875" style="1" bestFit="1" customWidth="1"/>
    <col min="12554" max="12554" width="11.375" style="1" bestFit="1" customWidth="1"/>
    <col min="12555" max="12555" width="12.625" style="1" customWidth="1"/>
    <col min="12556" max="12556" width="16.375" style="1" bestFit="1" customWidth="1"/>
    <col min="12557" max="12558" width="17.875" style="1" customWidth="1"/>
    <col min="12559" max="12559" width="14.875" style="1" bestFit="1" customWidth="1"/>
    <col min="12560" max="12560" width="21.375" style="1" customWidth="1"/>
    <col min="12561" max="12561" width="16.375" style="1" bestFit="1" customWidth="1"/>
    <col min="12562" max="12562" width="18.125" style="1" customWidth="1"/>
    <col min="12563" max="12563" width="9.125" style="1" bestFit="1" customWidth="1"/>
    <col min="12564" max="12564" width="13.75" style="1" customWidth="1"/>
    <col min="12565" max="12565" width="15.625" style="1" bestFit="1" customWidth="1"/>
    <col min="12566" max="12566" width="9.75" style="1" bestFit="1" customWidth="1"/>
    <col min="12567" max="12567" width="9.125" style="1" bestFit="1" customWidth="1"/>
    <col min="12568" max="12803" width="9" style="1"/>
    <col min="12804" max="12804" width="27" style="1" customWidth="1"/>
    <col min="12805" max="12805" width="18.125" style="1" customWidth="1"/>
    <col min="12806" max="12806" width="17.75" style="1" customWidth="1"/>
    <col min="12807" max="12807" width="11.5" style="1" customWidth="1"/>
    <col min="12808" max="12808" width="48.75" style="1" customWidth="1"/>
    <col min="12809" max="12809" width="9.875" style="1" bestFit="1" customWidth="1"/>
    <col min="12810" max="12810" width="11.375" style="1" bestFit="1" customWidth="1"/>
    <col min="12811" max="12811" width="12.625" style="1" customWidth="1"/>
    <col min="12812" max="12812" width="16.375" style="1" bestFit="1" customWidth="1"/>
    <col min="12813" max="12814" width="17.875" style="1" customWidth="1"/>
    <col min="12815" max="12815" width="14.875" style="1" bestFit="1" customWidth="1"/>
    <col min="12816" max="12816" width="21.375" style="1" customWidth="1"/>
    <col min="12817" max="12817" width="16.375" style="1" bestFit="1" customWidth="1"/>
    <col min="12818" max="12818" width="18.125" style="1" customWidth="1"/>
    <col min="12819" max="12819" width="9.125" style="1" bestFit="1" customWidth="1"/>
    <col min="12820" max="12820" width="13.75" style="1" customWidth="1"/>
    <col min="12821" max="12821" width="15.625" style="1" bestFit="1" customWidth="1"/>
    <col min="12822" max="12822" width="9.75" style="1" bestFit="1" customWidth="1"/>
    <col min="12823" max="12823" width="9.125" style="1" bestFit="1" customWidth="1"/>
    <col min="12824" max="13059" width="9" style="1"/>
    <col min="13060" max="13060" width="27" style="1" customWidth="1"/>
    <col min="13061" max="13061" width="18.125" style="1" customWidth="1"/>
    <col min="13062" max="13062" width="17.75" style="1" customWidth="1"/>
    <col min="13063" max="13063" width="11.5" style="1" customWidth="1"/>
    <col min="13064" max="13064" width="48.75" style="1" customWidth="1"/>
    <col min="13065" max="13065" width="9.875" style="1" bestFit="1" customWidth="1"/>
    <col min="13066" max="13066" width="11.375" style="1" bestFit="1" customWidth="1"/>
    <col min="13067" max="13067" width="12.625" style="1" customWidth="1"/>
    <col min="13068" max="13068" width="16.375" style="1" bestFit="1" customWidth="1"/>
    <col min="13069" max="13070" width="17.875" style="1" customWidth="1"/>
    <col min="13071" max="13071" width="14.875" style="1" bestFit="1" customWidth="1"/>
    <col min="13072" max="13072" width="21.375" style="1" customWidth="1"/>
    <col min="13073" max="13073" width="16.375" style="1" bestFit="1" customWidth="1"/>
    <col min="13074" max="13074" width="18.125" style="1" customWidth="1"/>
    <col min="13075" max="13075" width="9.125" style="1" bestFit="1" customWidth="1"/>
    <col min="13076" max="13076" width="13.75" style="1" customWidth="1"/>
    <col min="13077" max="13077" width="15.625" style="1" bestFit="1" customWidth="1"/>
    <col min="13078" max="13078" width="9.75" style="1" bestFit="1" customWidth="1"/>
    <col min="13079" max="13079" width="9.125" style="1" bestFit="1" customWidth="1"/>
    <col min="13080" max="13315" width="9" style="1"/>
    <col min="13316" max="13316" width="27" style="1" customWidth="1"/>
    <col min="13317" max="13317" width="18.125" style="1" customWidth="1"/>
    <col min="13318" max="13318" width="17.75" style="1" customWidth="1"/>
    <col min="13319" max="13319" width="11.5" style="1" customWidth="1"/>
    <col min="13320" max="13320" width="48.75" style="1" customWidth="1"/>
    <col min="13321" max="13321" width="9.875" style="1" bestFit="1" customWidth="1"/>
    <col min="13322" max="13322" width="11.375" style="1" bestFit="1" customWidth="1"/>
    <col min="13323" max="13323" width="12.625" style="1" customWidth="1"/>
    <col min="13324" max="13324" width="16.375" style="1" bestFit="1" customWidth="1"/>
    <col min="13325" max="13326" width="17.875" style="1" customWidth="1"/>
    <col min="13327" max="13327" width="14.875" style="1" bestFit="1" customWidth="1"/>
    <col min="13328" max="13328" width="21.375" style="1" customWidth="1"/>
    <col min="13329" max="13329" width="16.375" style="1" bestFit="1" customWidth="1"/>
    <col min="13330" max="13330" width="18.125" style="1" customWidth="1"/>
    <col min="13331" max="13331" width="9.125" style="1" bestFit="1" customWidth="1"/>
    <col min="13332" max="13332" width="13.75" style="1" customWidth="1"/>
    <col min="13333" max="13333" width="15.625" style="1" bestFit="1" customWidth="1"/>
    <col min="13334" max="13334" width="9.75" style="1" bestFit="1" customWidth="1"/>
    <col min="13335" max="13335" width="9.125" style="1" bestFit="1" customWidth="1"/>
    <col min="13336" max="13571" width="9" style="1"/>
    <col min="13572" max="13572" width="27" style="1" customWidth="1"/>
    <col min="13573" max="13573" width="18.125" style="1" customWidth="1"/>
    <col min="13574" max="13574" width="17.75" style="1" customWidth="1"/>
    <col min="13575" max="13575" width="11.5" style="1" customWidth="1"/>
    <col min="13576" max="13576" width="48.75" style="1" customWidth="1"/>
    <col min="13577" max="13577" width="9.875" style="1" bestFit="1" customWidth="1"/>
    <col min="13578" max="13578" width="11.375" style="1" bestFit="1" customWidth="1"/>
    <col min="13579" max="13579" width="12.625" style="1" customWidth="1"/>
    <col min="13580" max="13580" width="16.375" style="1" bestFit="1" customWidth="1"/>
    <col min="13581" max="13582" width="17.875" style="1" customWidth="1"/>
    <col min="13583" max="13583" width="14.875" style="1" bestFit="1" customWidth="1"/>
    <col min="13584" max="13584" width="21.375" style="1" customWidth="1"/>
    <col min="13585" max="13585" width="16.375" style="1" bestFit="1" customWidth="1"/>
    <col min="13586" max="13586" width="18.125" style="1" customWidth="1"/>
    <col min="13587" max="13587" width="9.125" style="1" bestFit="1" customWidth="1"/>
    <col min="13588" max="13588" width="13.75" style="1" customWidth="1"/>
    <col min="13589" max="13589" width="15.625" style="1" bestFit="1" customWidth="1"/>
    <col min="13590" max="13590" width="9.75" style="1" bestFit="1" customWidth="1"/>
    <col min="13591" max="13591" width="9.125" style="1" bestFit="1" customWidth="1"/>
    <col min="13592" max="13827" width="9" style="1"/>
    <col min="13828" max="13828" width="27" style="1" customWidth="1"/>
    <col min="13829" max="13829" width="18.125" style="1" customWidth="1"/>
    <col min="13830" max="13830" width="17.75" style="1" customWidth="1"/>
    <col min="13831" max="13831" width="11.5" style="1" customWidth="1"/>
    <col min="13832" max="13832" width="48.75" style="1" customWidth="1"/>
    <col min="13833" max="13833" width="9.875" style="1" bestFit="1" customWidth="1"/>
    <col min="13834" max="13834" width="11.375" style="1" bestFit="1" customWidth="1"/>
    <col min="13835" max="13835" width="12.625" style="1" customWidth="1"/>
    <col min="13836" max="13836" width="16.375" style="1" bestFit="1" customWidth="1"/>
    <col min="13837" max="13838" width="17.875" style="1" customWidth="1"/>
    <col min="13839" max="13839" width="14.875" style="1" bestFit="1" customWidth="1"/>
    <col min="13840" max="13840" width="21.375" style="1" customWidth="1"/>
    <col min="13841" max="13841" width="16.375" style="1" bestFit="1" customWidth="1"/>
    <col min="13842" max="13842" width="18.125" style="1" customWidth="1"/>
    <col min="13843" max="13843" width="9.125" style="1" bestFit="1" customWidth="1"/>
    <col min="13844" max="13844" width="13.75" style="1" customWidth="1"/>
    <col min="13845" max="13845" width="15.625" style="1" bestFit="1" customWidth="1"/>
    <col min="13846" max="13846" width="9.75" style="1" bestFit="1" customWidth="1"/>
    <col min="13847" max="13847" width="9.125" style="1" bestFit="1" customWidth="1"/>
    <col min="13848" max="14083" width="9" style="1"/>
    <col min="14084" max="14084" width="27" style="1" customWidth="1"/>
    <col min="14085" max="14085" width="18.125" style="1" customWidth="1"/>
    <col min="14086" max="14086" width="17.75" style="1" customWidth="1"/>
    <col min="14087" max="14087" width="11.5" style="1" customWidth="1"/>
    <col min="14088" max="14088" width="48.75" style="1" customWidth="1"/>
    <col min="14089" max="14089" width="9.875" style="1" bestFit="1" customWidth="1"/>
    <col min="14090" max="14090" width="11.375" style="1" bestFit="1" customWidth="1"/>
    <col min="14091" max="14091" width="12.625" style="1" customWidth="1"/>
    <col min="14092" max="14092" width="16.375" style="1" bestFit="1" customWidth="1"/>
    <col min="14093" max="14094" width="17.875" style="1" customWidth="1"/>
    <col min="14095" max="14095" width="14.875" style="1" bestFit="1" customWidth="1"/>
    <col min="14096" max="14096" width="21.375" style="1" customWidth="1"/>
    <col min="14097" max="14097" width="16.375" style="1" bestFit="1" customWidth="1"/>
    <col min="14098" max="14098" width="18.125" style="1" customWidth="1"/>
    <col min="14099" max="14099" width="9.125" style="1" bestFit="1" customWidth="1"/>
    <col min="14100" max="14100" width="13.75" style="1" customWidth="1"/>
    <col min="14101" max="14101" width="15.625" style="1" bestFit="1" customWidth="1"/>
    <col min="14102" max="14102" width="9.75" style="1" bestFit="1" customWidth="1"/>
    <col min="14103" max="14103" width="9.125" style="1" bestFit="1" customWidth="1"/>
    <col min="14104" max="14339" width="9" style="1"/>
    <col min="14340" max="14340" width="27" style="1" customWidth="1"/>
    <col min="14341" max="14341" width="18.125" style="1" customWidth="1"/>
    <col min="14342" max="14342" width="17.75" style="1" customWidth="1"/>
    <col min="14343" max="14343" width="11.5" style="1" customWidth="1"/>
    <col min="14344" max="14344" width="48.75" style="1" customWidth="1"/>
    <col min="14345" max="14345" width="9.875" style="1" bestFit="1" customWidth="1"/>
    <col min="14346" max="14346" width="11.375" style="1" bestFit="1" customWidth="1"/>
    <col min="14347" max="14347" width="12.625" style="1" customWidth="1"/>
    <col min="14348" max="14348" width="16.375" style="1" bestFit="1" customWidth="1"/>
    <col min="14349" max="14350" width="17.875" style="1" customWidth="1"/>
    <col min="14351" max="14351" width="14.875" style="1" bestFit="1" customWidth="1"/>
    <col min="14352" max="14352" width="21.375" style="1" customWidth="1"/>
    <col min="14353" max="14353" width="16.375" style="1" bestFit="1" customWidth="1"/>
    <col min="14354" max="14354" width="18.125" style="1" customWidth="1"/>
    <col min="14355" max="14355" width="9.125" style="1" bestFit="1" customWidth="1"/>
    <col min="14356" max="14356" width="13.75" style="1" customWidth="1"/>
    <col min="14357" max="14357" width="15.625" style="1" bestFit="1" customWidth="1"/>
    <col min="14358" max="14358" width="9.75" style="1" bestFit="1" customWidth="1"/>
    <col min="14359" max="14359" width="9.125" style="1" bestFit="1" customWidth="1"/>
    <col min="14360" max="14595" width="9" style="1"/>
    <col min="14596" max="14596" width="27" style="1" customWidth="1"/>
    <col min="14597" max="14597" width="18.125" style="1" customWidth="1"/>
    <col min="14598" max="14598" width="17.75" style="1" customWidth="1"/>
    <col min="14599" max="14599" width="11.5" style="1" customWidth="1"/>
    <col min="14600" max="14600" width="48.75" style="1" customWidth="1"/>
    <col min="14601" max="14601" width="9.875" style="1" bestFit="1" customWidth="1"/>
    <col min="14602" max="14602" width="11.375" style="1" bestFit="1" customWidth="1"/>
    <col min="14603" max="14603" width="12.625" style="1" customWidth="1"/>
    <col min="14604" max="14604" width="16.375" style="1" bestFit="1" customWidth="1"/>
    <col min="14605" max="14606" width="17.875" style="1" customWidth="1"/>
    <col min="14607" max="14607" width="14.875" style="1" bestFit="1" customWidth="1"/>
    <col min="14608" max="14608" width="21.375" style="1" customWidth="1"/>
    <col min="14609" max="14609" width="16.375" style="1" bestFit="1" customWidth="1"/>
    <col min="14610" max="14610" width="18.125" style="1" customWidth="1"/>
    <col min="14611" max="14611" width="9.125" style="1" bestFit="1" customWidth="1"/>
    <col min="14612" max="14612" width="13.75" style="1" customWidth="1"/>
    <col min="14613" max="14613" width="15.625" style="1" bestFit="1" customWidth="1"/>
    <col min="14614" max="14614" width="9.75" style="1" bestFit="1" customWidth="1"/>
    <col min="14615" max="14615" width="9.125" style="1" bestFit="1" customWidth="1"/>
    <col min="14616" max="14851" width="9" style="1"/>
    <col min="14852" max="14852" width="27" style="1" customWidth="1"/>
    <col min="14853" max="14853" width="18.125" style="1" customWidth="1"/>
    <col min="14854" max="14854" width="17.75" style="1" customWidth="1"/>
    <col min="14855" max="14855" width="11.5" style="1" customWidth="1"/>
    <col min="14856" max="14856" width="48.75" style="1" customWidth="1"/>
    <col min="14857" max="14857" width="9.875" style="1" bestFit="1" customWidth="1"/>
    <col min="14858" max="14858" width="11.375" style="1" bestFit="1" customWidth="1"/>
    <col min="14859" max="14859" width="12.625" style="1" customWidth="1"/>
    <col min="14860" max="14860" width="16.375" style="1" bestFit="1" customWidth="1"/>
    <col min="14861" max="14862" width="17.875" style="1" customWidth="1"/>
    <col min="14863" max="14863" width="14.875" style="1" bestFit="1" customWidth="1"/>
    <col min="14864" max="14864" width="21.375" style="1" customWidth="1"/>
    <col min="14865" max="14865" width="16.375" style="1" bestFit="1" customWidth="1"/>
    <col min="14866" max="14866" width="18.125" style="1" customWidth="1"/>
    <col min="14867" max="14867" width="9.125" style="1" bestFit="1" customWidth="1"/>
    <col min="14868" max="14868" width="13.75" style="1" customWidth="1"/>
    <col min="14869" max="14869" width="15.625" style="1" bestFit="1" customWidth="1"/>
    <col min="14870" max="14870" width="9.75" style="1" bestFit="1" customWidth="1"/>
    <col min="14871" max="14871" width="9.125" style="1" bestFit="1" customWidth="1"/>
    <col min="14872" max="15107" width="9" style="1"/>
    <col min="15108" max="15108" width="27" style="1" customWidth="1"/>
    <col min="15109" max="15109" width="18.125" style="1" customWidth="1"/>
    <col min="15110" max="15110" width="17.75" style="1" customWidth="1"/>
    <col min="15111" max="15111" width="11.5" style="1" customWidth="1"/>
    <col min="15112" max="15112" width="48.75" style="1" customWidth="1"/>
    <col min="15113" max="15113" width="9.875" style="1" bestFit="1" customWidth="1"/>
    <col min="15114" max="15114" width="11.375" style="1" bestFit="1" customWidth="1"/>
    <col min="15115" max="15115" width="12.625" style="1" customWidth="1"/>
    <col min="15116" max="15116" width="16.375" style="1" bestFit="1" customWidth="1"/>
    <col min="15117" max="15118" width="17.875" style="1" customWidth="1"/>
    <col min="15119" max="15119" width="14.875" style="1" bestFit="1" customWidth="1"/>
    <col min="15120" max="15120" width="21.375" style="1" customWidth="1"/>
    <col min="15121" max="15121" width="16.375" style="1" bestFit="1" customWidth="1"/>
    <col min="15122" max="15122" width="18.125" style="1" customWidth="1"/>
    <col min="15123" max="15123" width="9.125" style="1" bestFit="1" customWidth="1"/>
    <col min="15124" max="15124" width="13.75" style="1" customWidth="1"/>
    <col min="15125" max="15125" width="15.625" style="1" bestFit="1" customWidth="1"/>
    <col min="15126" max="15126" width="9.75" style="1" bestFit="1" customWidth="1"/>
    <col min="15127" max="15127" width="9.125" style="1" bestFit="1" customWidth="1"/>
    <col min="15128" max="15363" width="9" style="1"/>
    <col min="15364" max="15364" width="27" style="1" customWidth="1"/>
    <col min="15365" max="15365" width="18.125" style="1" customWidth="1"/>
    <col min="15366" max="15366" width="17.75" style="1" customWidth="1"/>
    <col min="15367" max="15367" width="11.5" style="1" customWidth="1"/>
    <col min="15368" max="15368" width="48.75" style="1" customWidth="1"/>
    <col min="15369" max="15369" width="9.875" style="1" bestFit="1" customWidth="1"/>
    <col min="15370" max="15370" width="11.375" style="1" bestFit="1" customWidth="1"/>
    <col min="15371" max="15371" width="12.625" style="1" customWidth="1"/>
    <col min="15372" max="15372" width="16.375" style="1" bestFit="1" customWidth="1"/>
    <col min="15373" max="15374" width="17.875" style="1" customWidth="1"/>
    <col min="15375" max="15375" width="14.875" style="1" bestFit="1" customWidth="1"/>
    <col min="15376" max="15376" width="21.375" style="1" customWidth="1"/>
    <col min="15377" max="15377" width="16.375" style="1" bestFit="1" customWidth="1"/>
    <col min="15378" max="15378" width="18.125" style="1" customWidth="1"/>
    <col min="15379" max="15379" width="9.125" style="1" bestFit="1" customWidth="1"/>
    <col min="15380" max="15380" width="13.75" style="1" customWidth="1"/>
    <col min="15381" max="15381" width="15.625" style="1" bestFit="1" customWidth="1"/>
    <col min="15382" max="15382" width="9.75" style="1" bestFit="1" customWidth="1"/>
    <col min="15383" max="15383" width="9.125" style="1" bestFit="1" customWidth="1"/>
    <col min="15384" max="15619" width="9" style="1"/>
    <col min="15620" max="15620" width="27" style="1" customWidth="1"/>
    <col min="15621" max="15621" width="18.125" style="1" customWidth="1"/>
    <col min="15622" max="15622" width="17.75" style="1" customWidth="1"/>
    <col min="15623" max="15623" width="11.5" style="1" customWidth="1"/>
    <col min="15624" max="15624" width="48.75" style="1" customWidth="1"/>
    <col min="15625" max="15625" width="9.875" style="1" bestFit="1" customWidth="1"/>
    <col min="15626" max="15626" width="11.375" style="1" bestFit="1" customWidth="1"/>
    <col min="15627" max="15627" width="12.625" style="1" customWidth="1"/>
    <col min="15628" max="15628" width="16.375" style="1" bestFit="1" customWidth="1"/>
    <col min="15629" max="15630" width="17.875" style="1" customWidth="1"/>
    <col min="15631" max="15631" width="14.875" style="1" bestFit="1" customWidth="1"/>
    <col min="15632" max="15632" width="21.375" style="1" customWidth="1"/>
    <col min="15633" max="15633" width="16.375" style="1" bestFit="1" customWidth="1"/>
    <col min="15634" max="15634" width="18.125" style="1" customWidth="1"/>
    <col min="15635" max="15635" width="9.125" style="1" bestFit="1" customWidth="1"/>
    <col min="15636" max="15636" width="13.75" style="1" customWidth="1"/>
    <col min="15637" max="15637" width="15.625" style="1" bestFit="1" customWidth="1"/>
    <col min="15638" max="15638" width="9.75" style="1" bestFit="1" customWidth="1"/>
    <col min="15639" max="15639" width="9.125" style="1" bestFit="1" customWidth="1"/>
    <col min="15640" max="15875" width="9" style="1"/>
    <col min="15876" max="15876" width="27" style="1" customWidth="1"/>
    <col min="15877" max="15877" width="18.125" style="1" customWidth="1"/>
    <col min="15878" max="15878" width="17.75" style="1" customWidth="1"/>
    <col min="15879" max="15879" width="11.5" style="1" customWidth="1"/>
    <col min="15880" max="15880" width="48.75" style="1" customWidth="1"/>
    <col min="15881" max="15881" width="9.875" style="1" bestFit="1" customWidth="1"/>
    <col min="15882" max="15882" width="11.375" style="1" bestFit="1" customWidth="1"/>
    <col min="15883" max="15883" width="12.625" style="1" customWidth="1"/>
    <col min="15884" max="15884" width="16.375" style="1" bestFit="1" customWidth="1"/>
    <col min="15885" max="15886" width="17.875" style="1" customWidth="1"/>
    <col min="15887" max="15887" width="14.875" style="1" bestFit="1" customWidth="1"/>
    <col min="15888" max="15888" width="21.375" style="1" customWidth="1"/>
    <col min="15889" max="15889" width="16.375" style="1" bestFit="1" customWidth="1"/>
    <col min="15890" max="15890" width="18.125" style="1" customWidth="1"/>
    <col min="15891" max="15891" width="9.125" style="1" bestFit="1" customWidth="1"/>
    <col min="15892" max="15892" width="13.75" style="1" customWidth="1"/>
    <col min="15893" max="15893" width="15.625" style="1" bestFit="1" customWidth="1"/>
    <col min="15894" max="15894" width="9.75" style="1" bestFit="1" customWidth="1"/>
    <col min="15895" max="15895" width="9.125" style="1" bestFit="1" customWidth="1"/>
    <col min="15896" max="16131" width="9" style="1"/>
    <col min="16132" max="16132" width="27" style="1" customWidth="1"/>
    <col min="16133" max="16133" width="18.125" style="1" customWidth="1"/>
    <col min="16134" max="16134" width="17.75" style="1" customWidth="1"/>
    <col min="16135" max="16135" width="11.5" style="1" customWidth="1"/>
    <col min="16136" max="16136" width="48.75" style="1" customWidth="1"/>
    <col min="16137" max="16137" width="9.875" style="1" bestFit="1" customWidth="1"/>
    <col min="16138" max="16138" width="11.375" style="1" bestFit="1" customWidth="1"/>
    <col min="16139" max="16139" width="12.625" style="1" customWidth="1"/>
    <col min="16140" max="16140" width="16.375" style="1" bestFit="1" customWidth="1"/>
    <col min="16141" max="16142" width="17.875" style="1" customWidth="1"/>
    <col min="16143" max="16143" width="14.875" style="1" bestFit="1" customWidth="1"/>
    <col min="16144" max="16144" width="21.375" style="1" customWidth="1"/>
    <col min="16145" max="16145" width="16.375" style="1" bestFit="1" customWidth="1"/>
    <col min="16146" max="16146" width="18.125" style="1" customWidth="1"/>
    <col min="16147" max="16147" width="9.125" style="1" bestFit="1" customWidth="1"/>
    <col min="16148" max="16148" width="13.75" style="1" customWidth="1"/>
    <col min="16149" max="16149" width="15.625" style="1" bestFit="1" customWidth="1"/>
    <col min="16150" max="16150" width="9.75" style="1" bestFit="1" customWidth="1"/>
    <col min="16151" max="16151" width="9.125" style="1" bestFit="1" customWidth="1"/>
    <col min="16152" max="16384" width="9" style="1"/>
  </cols>
  <sheetData>
    <row r="1" spans="3:22" ht="18" customHeight="1">
      <c r="D1" s="607" t="s">
        <v>1822</v>
      </c>
      <c r="E1" s="608" t="s">
        <v>1823</v>
      </c>
      <c r="G1" s="609" t="s">
        <v>1824</v>
      </c>
      <c r="J1" s="610">
        <v>1</v>
      </c>
      <c r="K1" s="611">
        <f>ROUNDUP(P1/0.7/110,2)</f>
        <v>0</v>
      </c>
      <c r="L1" t="s">
        <v>249</v>
      </c>
      <c r="O1" s="612">
        <v>41676</v>
      </c>
    </row>
    <row r="2" spans="3:22" ht="18" customHeight="1" thickBot="1">
      <c r="K2" s="613" t="s">
        <v>1825</v>
      </c>
      <c r="O2" s="614">
        <v>0.625</v>
      </c>
    </row>
    <row r="3" spans="3:22" ht="18" customHeight="1">
      <c r="C3" s="615" t="s">
        <v>1826</v>
      </c>
      <c r="D3" s="616" t="s">
        <v>1827</v>
      </c>
      <c r="E3" s="616" t="s">
        <v>0</v>
      </c>
      <c r="F3" s="5" t="s">
        <v>1828</v>
      </c>
      <c r="G3" s="5" t="s">
        <v>1829</v>
      </c>
      <c r="H3" s="617"/>
      <c r="I3" s="618"/>
      <c r="J3" s="619" t="s">
        <v>1</v>
      </c>
      <c r="K3" s="620" t="s">
        <v>1830</v>
      </c>
      <c r="L3" s="621" t="s">
        <v>1831</v>
      </c>
      <c r="M3" s="622"/>
      <c r="N3" s="623" t="s">
        <v>1832</v>
      </c>
      <c r="O3" s="624" t="s">
        <v>1833</v>
      </c>
      <c r="P3" s="25" t="s">
        <v>1834</v>
      </c>
    </row>
    <row r="4" spans="3:22" ht="18" customHeight="1" thickBot="1">
      <c r="C4" s="625" t="s">
        <v>1835</v>
      </c>
      <c r="D4" s="626"/>
      <c r="E4" s="626"/>
      <c r="F4" s="627"/>
      <c r="G4" s="627"/>
      <c r="H4" s="628" t="s">
        <v>2</v>
      </c>
      <c r="I4" s="628" t="s">
        <v>1836</v>
      </c>
      <c r="J4" s="628" t="s">
        <v>372</v>
      </c>
      <c r="K4" s="629" t="s">
        <v>240</v>
      </c>
      <c r="L4" s="630" t="s">
        <v>1837</v>
      </c>
      <c r="M4" s="631"/>
      <c r="N4" s="632"/>
      <c r="O4" s="633"/>
      <c r="U4" s="4" t="s">
        <v>3</v>
      </c>
    </row>
    <row r="5" spans="3:22" ht="18" customHeight="1">
      <c r="C5" s="4" t="s">
        <v>3</v>
      </c>
      <c r="D5" s="634"/>
      <c r="E5" s="635"/>
      <c r="F5" s="636"/>
      <c r="G5" s="637"/>
      <c r="H5" s="638"/>
      <c r="I5" s="639"/>
      <c r="J5" s="638"/>
      <c r="K5" s="640"/>
      <c r="L5" s="641"/>
      <c r="M5" s="641"/>
      <c r="N5" s="642"/>
      <c r="O5" s="643"/>
      <c r="Q5" s="642" t="s">
        <v>1838</v>
      </c>
      <c r="U5" s="4" t="s">
        <v>3</v>
      </c>
    </row>
    <row r="6" spans="3:22" ht="18" customHeight="1">
      <c r="C6" s="4" t="s">
        <v>3</v>
      </c>
      <c r="D6" s="644" t="s">
        <v>1839</v>
      </c>
      <c r="E6" s="645"/>
      <c r="F6" s="646"/>
      <c r="G6" s="647"/>
      <c r="H6" s="648">
        <v>1</v>
      </c>
      <c r="I6" s="648">
        <v>1</v>
      </c>
      <c r="J6" s="298" t="s">
        <v>1840</v>
      </c>
      <c r="K6" s="649"/>
      <c r="L6" s="642" t="s">
        <v>1838</v>
      </c>
      <c r="M6" s="346"/>
      <c r="N6" s="650"/>
      <c r="O6" s="651">
        <v>6719</v>
      </c>
      <c r="P6" s="308"/>
      <c r="Q6" s="308"/>
      <c r="U6" s="4" t="s">
        <v>3</v>
      </c>
    </row>
    <row r="7" spans="3:22" s="266" customFormat="1" ht="18" customHeight="1">
      <c r="C7" s="4" t="s">
        <v>3</v>
      </c>
      <c r="D7" s="644" t="s">
        <v>1841</v>
      </c>
      <c r="E7" s="652"/>
      <c r="F7" s="653"/>
      <c r="G7" s="654"/>
      <c r="H7" s="43"/>
      <c r="I7" s="303"/>
      <c r="J7" s="43"/>
      <c r="K7" s="655"/>
      <c r="L7" s="378"/>
      <c r="M7" s="346"/>
      <c r="N7" s="642"/>
      <c r="O7" s="33">
        <v>41740</v>
      </c>
      <c r="T7" s="1300"/>
      <c r="U7" s="4" t="s">
        <v>3</v>
      </c>
    </row>
    <row r="8" spans="3:22" s="7" customFormat="1" ht="15" customHeight="1">
      <c r="C8" s="6"/>
      <c r="D8" s="656" t="s">
        <v>1842</v>
      </c>
      <c r="E8" s="139"/>
      <c r="F8" s="140"/>
      <c r="G8" s="141"/>
      <c r="H8" s="143"/>
      <c r="I8" s="143"/>
      <c r="J8" s="142"/>
      <c r="K8" s="144"/>
      <c r="L8" s="146"/>
      <c r="M8" s="657"/>
      <c r="N8" s="146"/>
      <c r="O8" s="145"/>
      <c r="P8" s="138"/>
      <c r="Q8" s="138"/>
      <c r="T8" s="1301"/>
      <c r="U8" s="6"/>
    </row>
    <row r="9" spans="3:22" s="266" customFormat="1" ht="18" customHeight="1">
      <c r="C9" s="215" t="s">
        <v>39</v>
      </c>
      <c r="D9" s="216" t="s">
        <v>63</v>
      </c>
      <c r="E9" s="217" t="s">
        <v>192</v>
      </c>
      <c r="F9" s="218" t="s">
        <v>16</v>
      </c>
      <c r="G9" s="219" t="s">
        <v>45</v>
      </c>
      <c r="H9" s="220" t="s">
        <v>2</v>
      </c>
      <c r="I9" s="220" t="s">
        <v>57</v>
      </c>
      <c r="J9" s="220" t="s">
        <v>56</v>
      </c>
      <c r="K9" s="221" t="s">
        <v>164</v>
      </c>
      <c r="L9" s="223" t="s">
        <v>135</v>
      </c>
      <c r="M9" s="223" t="s">
        <v>222</v>
      </c>
      <c r="N9" s="229" t="s">
        <v>214</v>
      </c>
      <c r="O9" s="222" t="s">
        <v>213</v>
      </c>
      <c r="T9" s="1300"/>
      <c r="U9" s="4" t="s">
        <v>3</v>
      </c>
      <c r="V9" s="1559" t="s">
        <v>3922</v>
      </c>
    </row>
    <row r="10" spans="3:22" s="266" customFormat="1" ht="18" customHeight="1">
      <c r="C10" s="4" t="s">
        <v>3</v>
      </c>
      <c r="D10" s="658"/>
      <c r="E10" s="659"/>
      <c r="F10" s="660"/>
      <c r="G10" s="661"/>
      <c r="H10" s="43"/>
      <c r="I10" s="303"/>
      <c r="J10" s="43"/>
      <c r="K10" s="655"/>
      <c r="L10" s="378"/>
      <c r="M10" s="346"/>
      <c r="N10" s="642"/>
      <c r="O10" s="662"/>
      <c r="P10" s="663" t="s">
        <v>166</v>
      </c>
      <c r="Q10" s="664" t="s">
        <v>167</v>
      </c>
      <c r="R10" s="664" t="s">
        <v>167</v>
      </c>
      <c r="S10" s="664"/>
      <c r="T10" s="1302"/>
      <c r="U10" s="663" t="s">
        <v>1843</v>
      </c>
    </row>
    <row r="11" spans="3:22" s="665" customFormat="1" ht="18" customHeight="1">
      <c r="C11" s="666"/>
      <c r="D11" s="667"/>
      <c r="E11" s="668" t="s">
        <v>1844</v>
      </c>
      <c r="F11" s="669"/>
      <c r="G11" s="670"/>
      <c r="H11" s="671"/>
      <c r="I11" s="672"/>
      <c r="J11" s="671"/>
      <c r="K11" s="673" t="s">
        <v>8</v>
      </c>
      <c r="L11" s="228"/>
      <c r="M11" s="228"/>
      <c r="N11" s="211"/>
      <c r="O11" s="210"/>
      <c r="P11" s="674"/>
      <c r="Q11" s="667"/>
      <c r="T11" s="1303"/>
      <c r="U11" s="675"/>
    </row>
    <row r="12" spans="3:22" s="665" customFormat="1" ht="18" customHeight="1">
      <c r="C12" s="676" t="s">
        <v>1845</v>
      </c>
      <c r="D12" s="667" t="s">
        <v>1846</v>
      </c>
      <c r="E12" s="670">
        <v>3716</v>
      </c>
      <c r="F12" s="677">
        <v>15</v>
      </c>
      <c r="G12" s="670">
        <v>0</v>
      </c>
      <c r="H12" s="671">
        <v>30</v>
      </c>
      <c r="I12" s="672">
        <v>3</v>
      </c>
      <c r="J12" s="671">
        <f>I12*H12</f>
        <v>90</v>
      </c>
      <c r="K12" s="674">
        <v>0.35</v>
      </c>
      <c r="L12" s="228"/>
      <c r="M12" s="228"/>
      <c r="N12" s="211"/>
      <c r="O12" s="210"/>
      <c r="P12" s="674"/>
      <c r="Q12" s="678"/>
      <c r="R12" s="665">
        <v>24.5</v>
      </c>
      <c r="T12" s="1303"/>
      <c r="U12" s="666"/>
    </row>
    <row r="13" spans="3:22" s="665" customFormat="1" ht="18" customHeight="1">
      <c r="C13" s="676" t="s">
        <v>1845</v>
      </c>
      <c r="D13" s="667" t="s">
        <v>1846</v>
      </c>
      <c r="E13" s="670">
        <v>3716</v>
      </c>
      <c r="F13" s="679" t="s">
        <v>1847</v>
      </c>
      <c r="G13" s="670">
        <v>610</v>
      </c>
      <c r="H13" s="671">
        <v>30</v>
      </c>
      <c r="I13" s="672">
        <v>3</v>
      </c>
      <c r="J13" s="671">
        <f>I13*H13</f>
        <v>90</v>
      </c>
      <c r="K13" s="674">
        <v>0.35</v>
      </c>
      <c r="L13" s="228"/>
      <c r="M13" s="228"/>
      <c r="N13" s="211"/>
      <c r="O13" s="210"/>
      <c r="P13" s="674"/>
      <c r="Q13" s="678"/>
      <c r="R13" s="665">
        <v>24.5</v>
      </c>
      <c r="T13" s="1303"/>
      <c r="U13" s="666"/>
    </row>
    <row r="14" spans="3:22" s="665" customFormat="1" ht="18" customHeight="1">
      <c r="C14" s="676" t="s">
        <v>1845</v>
      </c>
      <c r="D14" s="667" t="s">
        <v>1846</v>
      </c>
      <c r="E14" s="670"/>
      <c r="F14" s="680"/>
      <c r="G14" s="680" t="s">
        <v>13</v>
      </c>
      <c r="H14" s="681">
        <v>1</v>
      </c>
      <c r="I14" s="672"/>
      <c r="J14" s="671"/>
      <c r="K14" s="674">
        <v>12</v>
      </c>
      <c r="L14" s="228"/>
      <c r="M14" s="228"/>
      <c r="N14" s="211"/>
      <c r="O14" s="210"/>
      <c r="P14" s="674">
        <v>12</v>
      </c>
      <c r="Q14" s="678"/>
      <c r="T14" s="1303"/>
      <c r="U14" s="666"/>
    </row>
    <row r="15" spans="3:22" ht="18" customHeight="1">
      <c r="C15" s="4"/>
      <c r="D15" s="50"/>
      <c r="E15" s="51" t="s">
        <v>1848</v>
      </c>
      <c r="F15" s="52"/>
      <c r="G15" s="47"/>
      <c r="H15" s="46"/>
      <c r="I15" s="53"/>
      <c r="J15" s="46"/>
      <c r="K15" s="58" t="s">
        <v>8</v>
      </c>
      <c r="L15" s="33"/>
      <c r="M15" s="33"/>
      <c r="N15" s="115"/>
      <c r="O15" s="32"/>
      <c r="P15" s="34"/>
      <c r="Q15" s="50"/>
      <c r="U15" s="343"/>
    </row>
    <row r="16" spans="3:22" ht="18" customHeight="1">
      <c r="C16" s="54" t="s">
        <v>1849</v>
      </c>
      <c r="D16" s="50" t="s">
        <v>1850</v>
      </c>
      <c r="E16" s="47" t="s">
        <v>112</v>
      </c>
      <c r="F16" s="682"/>
      <c r="G16" s="47" t="s">
        <v>25</v>
      </c>
      <c r="H16" s="46">
        <v>14</v>
      </c>
      <c r="I16" s="53">
        <v>79</v>
      </c>
      <c r="J16" s="46">
        <f>I16*H16</f>
        <v>1106</v>
      </c>
      <c r="K16" s="34">
        <v>1.53</v>
      </c>
      <c r="L16" s="33">
        <v>42843</v>
      </c>
      <c r="M16" s="33"/>
      <c r="N16" s="115">
        <v>42843</v>
      </c>
      <c r="O16" s="32">
        <v>1077</v>
      </c>
      <c r="P16" s="34"/>
      <c r="Q16" s="683"/>
      <c r="R16" s="1">
        <v>64</v>
      </c>
      <c r="U16" s="4"/>
    </row>
    <row r="17" spans="3:21" ht="18" customHeight="1">
      <c r="C17" s="54" t="s">
        <v>1849</v>
      </c>
      <c r="D17" s="50" t="s">
        <v>1850</v>
      </c>
      <c r="E17" s="47" t="s">
        <v>1851</v>
      </c>
      <c r="F17" s="682"/>
      <c r="G17" s="47" t="s">
        <v>20</v>
      </c>
      <c r="H17" s="46">
        <v>14</v>
      </c>
      <c r="I17" s="53">
        <v>128</v>
      </c>
      <c r="J17" s="46">
        <f>I17*H17</f>
        <v>1792</v>
      </c>
      <c r="K17" s="34">
        <v>1.53</v>
      </c>
      <c r="L17" s="33">
        <v>42843</v>
      </c>
      <c r="M17" s="33"/>
      <c r="N17" s="115">
        <v>42843</v>
      </c>
      <c r="O17" s="32">
        <v>1077</v>
      </c>
      <c r="P17" s="34"/>
      <c r="Q17" s="683"/>
      <c r="R17" s="1">
        <v>91</v>
      </c>
      <c r="U17" s="4"/>
    </row>
    <row r="18" spans="3:21" ht="18" customHeight="1">
      <c r="C18" s="4"/>
      <c r="D18" s="50"/>
      <c r="E18" s="51" t="s">
        <v>118</v>
      </c>
      <c r="F18" s="52"/>
      <c r="G18" s="47"/>
      <c r="H18" s="46"/>
      <c r="I18" s="53"/>
      <c r="J18" s="46"/>
      <c r="K18" s="58" t="s">
        <v>8</v>
      </c>
      <c r="L18" s="33"/>
      <c r="M18" s="33"/>
      <c r="N18" s="115"/>
      <c r="O18" s="32"/>
      <c r="P18" s="34"/>
      <c r="Q18" s="50"/>
      <c r="U18" s="343"/>
    </row>
    <row r="19" spans="3:21" ht="18" customHeight="1">
      <c r="C19" s="54" t="s">
        <v>1852</v>
      </c>
      <c r="D19" s="50" t="s">
        <v>1853</v>
      </c>
      <c r="E19" s="47" t="s">
        <v>1854</v>
      </c>
      <c r="F19" s="52">
        <v>140</v>
      </c>
      <c r="G19" s="47" t="s">
        <v>1855</v>
      </c>
      <c r="H19" s="46">
        <v>10</v>
      </c>
      <c r="I19" s="46">
        <v>10</v>
      </c>
      <c r="J19" s="46">
        <v>10</v>
      </c>
      <c r="K19" s="34">
        <v>9.5</v>
      </c>
      <c r="L19" s="33">
        <v>42844</v>
      </c>
      <c r="M19" s="33"/>
      <c r="N19" s="115">
        <v>42844</v>
      </c>
      <c r="O19" s="32" t="s">
        <v>1856</v>
      </c>
      <c r="P19" s="34"/>
      <c r="Q19" s="683"/>
      <c r="R19" s="1">
        <v>760</v>
      </c>
      <c r="U19" s="4"/>
    </row>
    <row r="20" spans="3:21" ht="18" customHeight="1">
      <c r="C20" s="54" t="s">
        <v>1852</v>
      </c>
      <c r="D20" s="50" t="s">
        <v>1853</v>
      </c>
      <c r="E20" s="47"/>
      <c r="F20" s="59"/>
      <c r="G20" s="59" t="s">
        <v>24</v>
      </c>
      <c r="H20" s="30">
        <v>1</v>
      </c>
      <c r="I20" s="53"/>
      <c r="J20" s="46"/>
      <c r="K20" s="34">
        <v>12</v>
      </c>
      <c r="L20" s="33">
        <v>42844</v>
      </c>
      <c r="M20" s="33"/>
      <c r="N20" s="115">
        <v>42844</v>
      </c>
      <c r="O20" s="32" t="s">
        <v>1856</v>
      </c>
      <c r="P20" s="34">
        <v>12</v>
      </c>
      <c r="Q20" s="683"/>
      <c r="U20" s="4"/>
    </row>
    <row r="21" spans="3:21" ht="18" customHeight="1">
      <c r="C21" s="54" t="s">
        <v>1852</v>
      </c>
      <c r="D21" s="50" t="s">
        <v>1853</v>
      </c>
      <c r="E21" s="47"/>
      <c r="F21" s="59"/>
      <c r="G21" s="59" t="s">
        <v>13</v>
      </c>
      <c r="H21" s="30">
        <v>1</v>
      </c>
      <c r="I21" s="53"/>
      <c r="J21" s="46"/>
      <c r="K21" s="34">
        <v>12</v>
      </c>
      <c r="L21" s="33">
        <v>42844</v>
      </c>
      <c r="M21" s="33"/>
      <c r="N21" s="115">
        <v>42844</v>
      </c>
      <c r="O21" s="32" t="s">
        <v>1856</v>
      </c>
      <c r="P21" s="34">
        <v>12</v>
      </c>
      <c r="Q21" s="683"/>
      <c r="U21" s="4"/>
    </row>
    <row r="22" spans="3:21" ht="18" customHeight="1">
      <c r="C22" s="4"/>
      <c r="D22" s="50"/>
      <c r="E22" s="51" t="s">
        <v>1848</v>
      </c>
      <c r="F22" s="52"/>
      <c r="G22" s="47"/>
      <c r="H22" s="46"/>
      <c r="I22" s="53"/>
      <c r="J22" s="46"/>
      <c r="K22" s="58" t="s">
        <v>8</v>
      </c>
      <c r="L22" s="33"/>
      <c r="M22" s="33"/>
      <c r="N22" s="115"/>
      <c r="O22" s="32"/>
      <c r="P22" s="34"/>
      <c r="Q22" s="50"/>
      <c r="U22" s="343"/>
    </row>
    <row r="23" spans="3:21" ht="18" customHeight="1">
      <c r="C23" s="54" t="s">
        <v>1857</v>
      </c>
      <c r="D23" s="50" t="s">
        <v>1850</v>
      </c>
      <c r="E23" s="47" t="s">
        <v>140</v>
      </c>
      <c r="F23" s="682"/>
      <c r="G23" s="47" t="s">
        <v>20</v>
      </c>
      <c r="H23" s="46">
        <v>14</v>
      </c>
      <c r="I23" s="53">
        <v>1</v>
      </c>
      <c r="J23" s="46">
        <f>I23*H23</f>
        <v>14</v>
      </c>
      <c r="K23" s="34">
        <v>2.1</v>
      </c>
      <c r="L23" s="33">
        <v>42871</v>
      </c>
      <c r="M23" s="33"/>
      <c r="N23" s="115">
        <v>42871</v>
      </c>
      <c r="O23" s="32" t="s">
        <v>1858</v>
      </c>
      <c r="P23" s="34"/>
      <c r="Q23" s="683"/>
      <c r="R23" s="1">
        <v>147</v>
      </c>
      <c r="U23" s="4"/>
    </row>
    <row r="24" spans="3:21" ht="18" customHeight="1">
      <c r="C24" s="54" t="s">
        <v>1857</v>
      </c>
      <c r="D24" s="50" t="s">
        <v>1850</v>
      </c>
      <c r="E24" s="47"/>
      <c r="F24" s="59"/>
      <c r="G24" s="59" t="s">
        <v>13</v>
      </c>
      <c r="H24" s="30">
        <v>1</v>
      </c>
      <c r="I24" s="53"/>
      <c r="J24" s="46"/>
      <c r="K24" s="34">
        <v>12</v>
      </c>
      <c r="L24" s="33">
        <v>42871</v>
      </c>
      <c r="M24" s="33"/>
      <c r="N24" s="115">
        <v>42871</v>
      </c>
      <c r="O24" s="32" t="s">
        <v>1858</v>
      </c>
      <c r="P24" s="34">
        <v>12</v>
      </c>
      <c r="Q24" s="683"/>
      <c r="U24" s="4"/>
    </row>
    <row r="25" spans="3:21" ht="18" customHeight="1">
      <c r="C25" s="4"/>
      <c r="D25" s="50"/>
      <c r="E25" s="51" t="s">
        <v>1848</v>
      </c>
      <c r="F25" s="52"/>
      <c r="G25" s="47"/>
      <c r="H25" s="46"/>
      <c r="I25" s="53"/>
      <c r="J25" s="46"/>
      <c r="K25" s="58" t="s">
        <v>8</v>
      </c>
      <c r="L25" s="33"/>
      <c r="M25" s="33"/>
      <c r="N25" s="115"/>
      <c r="O25" s="32"/>
      <c r="P25" s="34"/>
      <c r="Q25" s="50"/>
      <c r="U25" s="343"/>
    </row>
    <row r="26" spans="3:21" ht="18" customHeight="1">
      <c r="C26" s="54" t="s">
        <v>1859</v>
      </c>
      <c r="D26" s="50" t="s">
        <v>1850</v>
      </c>
      <c r="E26" s="47" t="s">
        <v>1860</v>
      </c>
      <c r="F26" s="682"/>
      <c r="G26" s="47" t="s">
        <v>25</v>
      </c>
      <c r="H26" s="46">
        <v>19.8</v>
      </c>
      <c r="I26" s="53">
        <v>1</v>
      </c>
      <c r="J26" s="46">
        <f>H26*I26</f>
        <v>19.8</v>
      </c>
      <c r="K26" s="34">
        <v>1.48</v>
      </c>
      <c r="L26" s="33">
        <v>42873</v>
      </c>
      <c r="M26" s="33"/>
      <c r="N26" s="115">
        <v>42873</v>
      </c>
      <c r="O26" s="32" t="s">
        <v>1861</v>
      </c>
      <c r="P26" s="34"/>
      <c r="Q26" s="683"/>
      <c r="R26" s="1">
        <v>63</v>
      </c>
      <c r="U26" s="4"/>
    </row>
    <row r="27" spans="3:21" ht="18" customHeight="1">
      <c r="C27" s="54" t="s">
        <v>1859</v>
      </c>
      <c r="D27" s="50" t="s">
        <v>1850</v>
      </c>
      <c r="E27" s="47"/>
      <c r="F27" s="59"/>
      <c r="G27" s="59" t="s">
        <v>13</v>
      </c>
      <c r="H27" s="30">
        <v>1</v>
      </c>
      <c r="I27" s="53"/>
      <c r="J27" s="46"/>
      <c r="K27" s="34">
        <v>12</v>
      </c>
      <c r="L27" s="33">
        <v>42873</v>
      </c>
      <c r="M27" s="33"/>
      <c r="N27" s="115">
        <v>42873</v>
      </c>
      <c r="O27" s="32" t="s">
        <v>1861</v>
      </c>
      <c r="P27" s="34">
        <v>12</v>
      </c>
      <c r="Q27" s="683"/>
      <c r="U27" s="4"/>
    </row>
    <row r="28" spans="3:21" ht="18" customHeight="1">
      <c r="C28" s="4"/>
      <c r="D28" s="50"/>
      <c r="E28" s="51" t="s">
        <v>1848</v>
      </c>
      <c r="F28" s="52"/>
      <c r="G28" s="47"/>
      <c r="H28" s="46"/>
      <c r="I28" s="53"/>
      <c r="J28" s="46"/>
      <c r="K28" s="58" t="s">
        <v>8</v>
      </c>
      <c r="L28" s="33"/>
      <c r="M28" s="33"/>
      <c r="N28" s="115"/>
      <c r="O28" s="32"/>
      <c r="P28" s="34"/>
      <c r="Q28" s="50"/>
      <c r="U28" s="343"/>
    </row>
    <row r="29" spans="3:21" ht="18" customHeight="1">
      <c r="C29" s="54" t="s">
        <v>1862</v>
      </c>
      <c r="D29" s="50" t="s">
        <v>1850</v>
      </c>
      <c r="E29" s="47" t="s">
        <v>112</v>
      </c>
      <c r="F29" s="682"/>
      <c r="G29" s="47" t="s">
        <v>25</v>
      </c>
      <c r="H29" s="46">
        <v>14</v>
      </c>
      <c r="I29" s="53">
        <v>16</v>
      </c>
      <c r="J29" s="46">
        <f>I29*H29</f>
        <v>224</v>
      </c>
      <c r="K29" s="34">
        <v>1.53</v>
      </c>
      <c r="L29" s="33">
        <v>42879</v>
      </c>
      <c r="M29" s="33"/>
      <c r="N29" s="115">
        <v>42879</v>
      </c>
      <c r="O29" s="32" t="s">
        <v>1863</v>
      </c>
      <c r="P29" s="34"/>
      <c r="Q29" s="683"/>
      <c r="R29" s="1">
        <v>64</v>
      </c>
      <c r="U29" s="4"/>
    </row>
    <row r="30" spans="3:21" ht="18" customHeight="1">
      <c r="C30" s="54" t="s">
        <v>1862</v>
      </c>
      <c r="D30" s="50" t="s">
        <v>1850</v>
      </c>
      <c r="E30" s="47" t="s">
        <v>1851</v>
      </c>
      <c r="F30" s="682"/>
      <c r="G30" s="47" t="s">
        <v>20</v>
      </c>
      <c r="H30" s="46">
        <v>14</v>
      </c>
      <c r="I30" s="53">
        <v>30</v>
      </c>
      <c r="J30" s="46">
        <f>I30*H30</f>
        <v>420</v>
      </c>
      <c r="K30" s="34">
        <v>1.53</v>
      </c>
      <c r="L30" s="33">
        <v>42887</v>
      </c>
      <c r="M30" s="33"/>
      <c r="N30" s="115">
        <v>42887</v>
      </c>
      <c r="O30" s="32" t="s">
        <v>1864</v>
      </c>
      <c r="P30" s="34"/>
      <c r="Q30" s="683"/>
      <c r="R30" s="1">
        <v>91</v>
      </c>
      <c r="U30" s="4"/>
    </row>
    <row r="31" spans="3:21" ht="18" customHeight="1">
      <c r="C31" s="4"/>
      <c r="D31" s="50"/>
      <c r="E31" s="51" t="s">
        <v>1848</v>
      </c>
      <c r="F31" s="52"/>
      <c r="G31" s="47"/>
      <c r="H31" s="46"/>
      <c r="I31" s="53"/>
      <c r="J31" s="46"/>
      <c r="K31" s="58" t="s">
        <v>8</v>
      </c>
      <c r="L31" s="33"/>
      <c r="M31" s="33"/>
      <c r="N31" s="115"/>
      <c r="O31" s="32"/>
      <c r="P31" s="34"/>
      <c r="Q31" s="50"/>
      <c r="U31" s="343"/>
    </row>
    <row r="32" spans="3:21" ht="18" customHeight="1">
      <c r="C32" s="54" t="s">
        <v>1865</v>
      </c>
      <c r="D32" s="50" t="s">
        <v>1866</v>
      </c>
      <c r="E32" s="47" t="s">
        <v>133</v>
      </c>
      <c r="F32" s="682"/>
      <c r="G32" s="47" t="s">
        <v>25</v>
      </c>
      <c r="H32" s="46">
        <v>10</v>
      </c>
      <c r="I32" s="46">
        <v>10</v>
      </c>
      <c r="J32" s="46">
        <v>10</v>
      </c>
      <c r="K32" s="34">
        <v>2.95</v>
      </c>
      <c r="L32" s="33">
        <v>42891</v>
      </c>
      <c r="M32" s="33"/>
      <c r="N32" s="115">
        <v>42891</v>
      </c>
      <c r="O32" s="32" t="s">
        <v>1867</v>
      </c>
      <c r="P32" s="34"/>
      <c r="Q32" s="683"/>
      <c r="R32" s="1">
        <v>116</v>
      </c>
      <c r="U32" s="4"/>
    </row>
    <row r="33" spans="3:21" ht="18" customHeight="1">
      <c r="C33" s="54" t="s">
        <v>1865</v>
      </c>
      <c r="D33" s="50" t="s">
        <v>1866</v>
      </c>
      <c r="E33" s="47" t="s">
        <v>1868</v>
      </c>
      <c r="F33" s="682"/>
      <c r="G33" s="47" t="s">
        <v>25</v>
      </c>
      <c r="H33" s="46">
        <v>10</v>
      </c>
      <c r="I33" s="46">
        <v>10</v>
      </c>
      <c r="J33" s="46">
        <v>10</v>
      </c>
      <c r="K33" s="34">
        <v>3.27</v>
      </c>
      <c r="L33" s="33">
        <v>42891</v>
      </c>
      <c r="M33" s="33"/>
      <c r="N33" s="115">
        <v>42891</v>
      </c>
      <c r="O33" s="32" t="s">
        <v>1867</v>
      </c>
      <c r="P33" s="34"/>
      <c r="Q33" s="683"/>
      <c r="R33" s="1">
        <v>139</v>
      </c>
      <c r="U33" s="4"/>
    </row>
    <row r="34" spans="3:21" ht="18" customHeight="1">
      <c r="C34" s="54" t="s">
        <v>1865</v>
      </c>
      <c r="D34" s="50" t="s">
        <v>1866</v>
      </c>
      <c r="E34" s="47"/>
      <c r="F34" s="59"/>
      <c r="G34" s="59" t="s">
        <v>13</v>
      </c>
      <c r="H34" s="30">
        <v>1</v>
      </c>
      <c r="I34" s="53"/>
      <c r="J34" s="46"/>
      <c r="K34" s="34">
        <v>12</v>
      </c>
      <c r="L34" s="33">
        <v>42891</v>
      </c>
      <c r="M34" s="33"/>
      <c r="N34" s="115">
        <v>42891</v>
      </c>
      <c r="O34" s="32" t="s">
        <v>1867</v>
      </c>
      <c r="P34" s="34">
        <v>12</v>
      </c>
      <c r="Q34" s="683"/>
      <c r="U34" s="4"/>
    </row>
    <row r="35" spans="3:21" ht="18" customHeight="1">
      <c r="C35" s="4"/>
      <c r="D35" s="50"/>
      <c r="E35" s="51" t="s">
        <v>1848</v>
      </c>
      <c r="F35" s="52"/>
      <c r="G35" s="47"/>
      <c r="H35" s="46"/>
      <c r="I35" s="53"/>
      <c r="J35" s="46"/>
      <c r="K35" s="58" t="s">
        <v>8</v>
      </c>
      <c r="L35" s="33"/>
      <c r="M35" s="33"/>
      <c r="N35" s="115"/>
      <c r="O35" s="32"/>
      <c r="P35" s="34"/>
      <c r="Q35" s="50"/>
      <c r="U35" s="343"/>
    </row>
    <row r="36" spans="3:21" ht="18" customHeight="1">
      <c r="C36" s="54" t="s">
        <v>1869</v>
      </c>
      <c r="D36" s="50" t="s">
        <v>1870</v>
      </c>
      <c r="E36" s="47" t="s">
        <v>1871</v>
      </c>
      <c r="F36" s="682"/>
      <c r="G36" s="47" t="s">
        <v>25</v>
      </c>
      <c r="H36" s="46">
        <v>14</v>
      </c>
      <c r="I36" s="53">
        <v>9</v>
      </c>
      <c r="J36" s="46">
        <f>I36*H36</f>
        <v>126</v>
      </c>
      <c r="K36" s="34">
        <v>1.5</v>
      </c>
      <c r="L36" s="33">
        <v>42906</v>
      </c>
      <c r="M36" s="33"/>
      <c r="N36" s="115">
        <v>42905</v>
      </c>
      <c r="O36" s="32" t="s">
        <v>1872</v>
      </c>
      <c r="P36" s="34"/>
      <c r="Q36" s="683"/>
      <c r="R36" s="1">
        <v>65</v>
      </c>
      <c r="U36" s="4"/>
    </row>
    <row r="37" spans="3:21" ht="18" customHeight="1">
      <c r="C37" s="54" t="s">
        <v>1869</v>
      </c>
      <c r="D37" s="50" t="s">
        <v>1870</v>
      </c>
      <c r="E37" s="47" t="s">
        <v>1871</v>
      </c>
      <c r="F37" s="682"/>
      <c r="G37" s="47" t="s">
        <v>20</v>
      </c>
      <c r="H37" s="46">
        <v>14</v>
      </c>
      <c r="I37" s="53">
        <v>4</v>
      </c>
      <c r="J37" s="46">
        <f>I37*H37</f>
        <v>56</v>
      </c>
      <c r="K37" s="34">
        <v>1.5</v>
      </c>
      <c r="L37" s="33">
        <v>42906</v>
      </c>
      <c r="M37" s="33"/>
      <c r="N37" s="115">
        <v>42905</v>
      </c>
      <c r="O37" s="32" t="s">
        <v>1872</v>
      </c>
      <c r="P37" s="34"/>
      <c r="Q37" s="683"/>
      <c r="R37" s="1">
        <v>105</v>
      </c>
      <c r="U37" s="4"/>
    </row>
    <row r="38" spans="3:21" ht="18" customHeight="1">
      <c r="C38" s="4"/>
      <c r="D38" s="50"/>
      <c r="E38" s="51" t="s">
        <v>1873</v>
      </c>
      <c r="F38" s="52"/>
      <c r="G38" s="47"/>
      <c r="H38" s="46"/>
      <c r="I38" s="53"/>
      <c r="J38" s="46"/>
      <c r="K38" s="58" t="s">
        <v>8</v>
      </c>
      <c r="L38" s="33"/>
      <c r="M38" s="33"/>
      <c r="N38" s="115"/>
      <c r="O38" s="32"/>
      <c r="P38" s="34"/>
      <c r="Q38" s="50"/>
      <c r="U38" s="343"/>
    </row>
    <row r="39" spans="3:21" ht="18" customHeight="1">
      <c r="C39" s="54" t="s">
        <v>1874</v>
      </c>
      <c r="D39" s="50" t="s">
        <v>1866</v>
      </c>
      <c r="E39" s="47">
        <v>3406</v>
      </c>
      <c r="F39" s="682"/>
      <c r="G39" s="47" t="s">
        <v>25</v>
      </c>
      <c r="H39" s="46">
        <v>10</v>
      </c>
      <c r="I39" s="46">
        <v>10</v>
      </c>
      <c r="J39" s="46">
        <v>10</v>
      </c>
      <c r="K39" s="34">
        <v>0.36</v>
      </c>
      <c r="L39" s="33">
        <v>42902</v>
      </c>
      <c r="M39" s="33"/>
      <c r="N39" s="115">
        <v>42902</v>
      </c>
      <c r="O39" s="32" t="s">
        <v>1875</v>
      </c>
      <c r="P39" s="34"/>
      <c r="Q39" s="683"/>
      <c r="R39" s="1">
        <v>24</v>
      </c>
      <c r="U39" s="4"/>
    </row>
    <row r="40" spans="3:21" ht="18" customHeight="1">
      <c r="C40" s="54" t="s">
        <v>1874</v>
      </c>
      <c r="D40" s="50" t="s">
        <v>1866</v>
      </c>
      <c r="E40" s="47">
        <v>3406</v>
      </c>
      <c r="F40" s="682"/>
      <c r="G40" s="47" t="s">
        <v>20</v>
      </c>
      <c r="H40" s="46">
        <v>10</v>
      </c>
      <c r="I40" s="46">
        <v>10</v>
      </c>
      <c r="J40" s="46">
        <v>10</v>
      </c>
      <c r="K40" s="34">
        <v>0.36</v>
      </c>
      <c r="L40" s="33">
        <v>42902</v>
      </c>
      <c r="M40" s="33"/>
      <c r="N40" s="115">
        <v>42902</v>
      </c>
      <c r="O40" s="32" t="s">
        <v>1875</v>
      </c>
      <c r="P40" s="34"/>
      <c r="Q40" s="683"/>
      <c r="R40" s="1">
        <v>25</v>
      </c>
      <c r="U40" s="4"/>
    </row>
    <row r="41" spans="3:21" ht="18" customHeight="1">
      <c r="C41" s="54" t="s">
        <v>1874</v>
      </c>
      <c r="D41" s="50" t="s">
        <v>1866</v>
      </c>
      <c r="E41" s="47"/>
      <c r="F41" s="59"/>
      <c r="G41" s="59" t="s">
        <v>13</v>
      </c>
      <c r="H41" s="30">
        <v>1</v>
      </c>
      <c r="I41" s="53"/>
      <c r="J41" s="46"/>
      <c r="K41" s="34">
        <v>12</v>
      </c>
      <c r="L41" s="33">
        <v>42902</v>
      </c>
      <c r="M41" s="33"/>
      <c r="N41" s="115">
        <v>42902</v>
      </c>
      <c r="O41" s="32" t="s">
        <v>1875</v>
      </c>
      <c r="P41" s="34">
        <v>12</v>
      </c>
      <c r="Q41" s="683"/>
      <c r="U41" s="4"/>
    </row>
    <row r="42" spans="3:21" ht="18" customHeight="1">
      <c r="C42" s="4"/>
      <c r="D42" s="50"/>
      <c r="E42" s="51" t="s">
        <v>60</v>
      </c>
      <c r="F42" s="52"/>
      <c r="G42" s="47"/>
      <c r="H42" s="46"/>
      <c r="I42" s="53"/>
      <c r="J42" s="46"/>
      <c r="K42" s="58" t="s">
        <v>8</v>
      </c>
      <c r="L42" s="33"/>
      <c r="M42" s="33"/>
      <c r="N42" s="115"/>
      <c r="O42" s="32"/>
      <c r="P42" s="34"/>
      <c r="Q42" s="50"/>
      <c r="U42" s="343"/>
    </row>
    <row r="43" spans="3:21" ht="18" customHeight="1">
      <c r="C43" s="50" t="s">
        <v>1876</v>
      </c>
      <c r="D43" s="50" t="s">
        <v>1876</v>
      </c>
      <c r="E43" s="47" t="s">
        <v>1877</v>
      </c>
      <c r="F43" s="682"/>
      <c r="G43" s="47" t="s">
        <v>25</v>
      </c>
      <c r="H43" s="46">
        <v>6</v>
      </c>
      <c r="I43" s="46">
        <v>6</v>
      </c>
      <c r="J43" s="46">
        <v>6</v>
      </c>
      <c r="K43" s="34">
        <v>4.3600000000000003</v>
      </c>
      <c r="L43" s="684"/>
      <c r="M43" s="685"/>
      <c r="N43" s="686"/>
      <c r="O43" s="687" t="s">
        <v>1878</v>
      </c>
      <c r="P43" s="34"/>
      <c r="Q43" s="683"/>
      <c r="R43" s="1">
        <v>265</v>
      </c>
      <c r="U43" s="4"/>
    </row>
    <row r="44" spans="3:21" ht="18" customHeight="1">
      <c r="C44" s="4"/>
      <c r="D44" s="50"/>
      <c r="E44" s="51" t="s">
        <v>27</v>
      </c>
      <c r="F44" s="52"/>
      <c r="G44" s="47"/>
      <c r="H44" s="46"/>
      <c r="I44" s="53"/>
      <c r="J44" s="46"/>
      <c r="K44" s="58" t="s">
        <v>8</v>
      </c>
      <c r="L44" s="33"/>
      <c r="M44" s="33"/>
      <c r="N44" s="115"/>
      <c r="O44" s="32"/>
      <c r="P44" s="34"/>
      <c r="Q44" s="50"/>
      <c r="U44" s="343"/>
    </row>
    <row r="45" spans="3:21" ht="15">
      <c r="C45" s="54" t="s">
        <v>1879</v>
      </c>
      <c r="D45" s="50" t="s">
        <v>1880</v>
      </c>
      <c r="E45" s="47" t="s">
        <v>69</v>
      </c>
      <c r="F45" s="682"/>
      <c r="G45" s="47" t="s">
        <v>25</v>
      </c>
      <c r="H45" s="46">
        <v>5</v>
      </c>
      <c r="I45" s="46">
        <v>5</v>
      </c>
      <c r="J45" s="46">
        <v>5</v>
      </c>
      <c r="K45" s="34">
        <v>2.5</v>
      </c>
      <c r="L45" s="688">
        <v>42942</v>
      </c>
      <c r="M45" s="688"/>
      <c r="N45" s="689">
        <v>42942</v>
      </c>
      <c r="O45" s="690" t="s">
        <v>1881</v>
      </c>
      <c r="P45" s="34"/>
      <c r="Q45" s="683"/>
      <c r="R45" s="1">
        <v>145</v>
      </c>
      <c r="U45" s="4"/>
    </row>
    <row r="46" spans="3:21" ht="15">
      <c r="C46" s="54" t="s">
        <v>1879</v>
      </c>
      <c r="D46" s="50" t="s">
        <v>1880</v>
      </c>
      <c r="E46" s="47" t="s">
        <v>1882</v>
      </c>
      <c r="F46" s="682"/>
      <c r="G46" s="47" t="s">
        <v>25</v>
      </c>
      <c r="H46" s="46">
        <v>5</v>
      </c>
      <c r="I46" s="46">
        <v>5</v>
      </c>
      <c r="J46" s="46">
        <v>5</v>
      </c>
      <c r="K46" s="34">
        <v>8.73</v>
      </c>
      <c r="L46" s="688">
        <v>42942</v>
      </c>
      <c r="M46" s="688"/>
      <c r="N46" s="689">
        <v>42942</v>
      </c>
      <c r="O46" s="690" t="s">
        <v>1881</v>
      </c>
      <c r="P46" s="34"/>
      <c r="Q46" s="683"/>
      <c r="R46" s="1">
        <v>583</v>
      </c>
      <c r="U46" s="4"/>
    </row>
    <row r="47" spans="3:21" ht="15">
      <c r="C47" s="54" t="s">
        <v>1879</v>
      </c>
      <c r="D47" s="50" t="s">
        <v>1880</v>
      </c>
      <c r="E47" s="47" t="s">
        <v>1883</v>
      </c>
      <c r="F47" s="682"/>
      <c r="G47" s="47" t="s">
        <v>25</v>
      </c>
      <c r="H47" s="46">
        <v>5</v>
      </c>
      <c r="I47" s="46">
        <v>5</v>
      </c>
      <c r="J47" s="46">
        <v>5</v>
      </c>
      <c r="K47" s="34">
        <v>1.79</v>
      </c>
      <c r="L47" s="688">
        <v>42942</v>
      </c>
      <c r="M47" s="688"/>
      <c r="N47" s="689">
        <v>42942</v>
      </c>
      <c r="O47" s="690" t="s">
        <v>1881</v>
      </c>
      <c r="P47" s="34"/>
      <c r="Q47" s="683"/>
      <c r="R47" s="1">
        <v>95</v>
      </c>
      <c r="U47" s="4"/>
    </row>
    <row r="48" spans="3:21" ht="15">
      <c r="C48" s="54" t="s">
        <v>1879</v>
      </c>
      <c r="D48" s="50" t="s">
        <v>1880</v>
      </c>
      <c r="E48" s="47" t="s">
        <v>1884</v>
      </c>
      <c r="F48" s="682"/>
      <c r="G48" s="47" t="s">
        <v>25</v>
      </c>
      <c r="H48" s="46">
        <v>5</v>
      </c>
      <c r="I48" s="46">
        <v>5</v>
      </c>
      <c r="J48" s="46">
        <v>5</v>
      </c>
      <c r="K48" s="34">
        <v>5.58</v>
      </c>
      <c r="L48" s="688">
        <v>42942</v>
      </c>
      <c r="M48" s="688"/>
      <c r="N48" s="689">
        <v>42942</v>
      </c>
      <c r="O48" s="690" t="s">
        <v>1881</v>
      </c>
      <c r="P48" s="34"/>
      <c r="Q48" s="683"/>
      <c r="R48" s="1">
        <v>340</v>
      </c>
      <c r="U48" s="4"/>
    </row>
    <row r="49" spans="3:21" ht="15">
      <c r="C49" s="54" t="s">
        <v>1879</v>
      </c>
      <c r="D49" s="50" t="s">
        <v>1880</v>
      </c>
      <c r="E49" s="47" t="s">
        <v>1885</v>
      </c>
      <c r="F49" s="682"/>
      <c r="G49" s="47" t="s">
        <v>25</v>
      </c>
      <c r="H49" s="46">
        <v>5</v>
      </c>
      <c r="I49" s="46">
        <v>5</v>
      </c>
      <c r="J49" s="46">
        <v>5</v>
      </c>
      <c r="K49" s="34">
        <v>11.58</v>
      </c>
      <c r="L49" s="688">
        <v>42942</v>
      </c>
      <c r="M49" s="688"/>
      <c r="N49" s="689">
        <v>42942</v>
      </c>
      <c r="O49" s="690" t="s">
        <v>1881</v>
      </c>
      <c r="P49" s="34"/>
      <c r="Q49" s="683"/>
      <c r="R49" s="1">
        <v>730</v>
      </c>
      <c r="U49" s="4"/>
    </row>
    <row r="50" spans="3:21" ht="18" customHeight="1">
      <c r="C50" s="54" t="s">
        <v>1879</v>
      </c>
      <c r="D50" s="50" t="s">
        <v>1880</v>
      </c>
      <c r="E50" s="47"/>
      <c r="F50" s="59"/>
      <c r="G50" s="59" t="s">
        <v>13</v>
      </c>
      <c r="H50" s="30">
        <v>1</v>
      </c>
      <c r="I50" s="53"/>
      <c r="J50" s="46"/>
      <c r="K50" s="34">
        <v>12</v>
      </c>
      <c r="L50" s="688">
        <v>42942</v>
      </c>
      <c r="M50" s="688"/>
      <c r="N50" s="689">
        <v>42942</v>
      </c>
      <c r="O50" s="690" t="s">
        <v>1881</v>
      </c>
      <c r="P50" s="34">
        <v>12</v>
      </c>
      <c r="Q50" s="683"/>
      <c r="U50" s="4"/>
    </row>
    <row r="51" spans="3:21" ht="18" customHeight="1">
      <c r="C51" s="4"/>
      <c r="D51" s="50"/>
      <c r="E51" s="51" t="s">
        <v>1886</v>
      </c>
      <c r="F51" s="52"/>
      <c r="G51" s="47"/>
      <c r="H51" s="46"/>
      <c r="I51" s="53"/>
      <c r="J51" s="46"/>
      <c r="K51" s="58" t="s">
        <v>8</v>
      </c>
      <c r="L51" s="33"/>
      <c r="M51" s="33"/>
      <c r="N51" s="115"/>
      <c r="O51" s="32"/>
      <c r="P51" s="34"/>
      <c r="Q51" s="50"/>
      <c r="U51" s="343"/>
    </row>
    <row r="52" spans="3:21" ht="18" customHeight="1">
      <c r="C52" s="54" t="s">
        <v>1887</v>
      </c>
      <c r="D52" s="50" t="s">
        <v>1880</v>
      </c>
      <c r="E52" s="47">
        <v>12701</v>
      </c>
      <c r="F52" s="682"/>
      <c r="G52" s="47" t="s">
        <v>1888</v>
      </c>
      <c r="H52" s="46">
        <v>10</v>
      </c>
      <c r="I52" s="53">
        <v>1</v>
      </c>
      <c r="J52" s="46">
        <f>H52*I52</f>
        <v>10</v>
      </c>
      <c r="K52" s="34"/>
      <c r="L52" s="684"/>
      <c r="M52" s="685"/>
      <c r="N52" s="686"/>
      <c r="O52" s="687" t="s">
        <v>1878</v>
      </c>
      <c r="P52" s="34"/>
      <c r="Q52" s="683"/>
      <c r="R52" s="1">
        <v>71.5</v>
      </c>
      <c r="U52" s="4"/>
    </row>
    <row r="53" spans="3:21" ht="18" customHeight="1">
      <c r="C53" s="4"/>
      <c r="D53" s="50"/>
      <c r="E53" s="51" t="s">
        <v>1889</v>
      </c>
      <c r="F53" s="52"/>
      <c r="G53" s="47"/>
      <c r="H53" s="46"/>
      <c r="I53" s="53"/>
      <c r="J53" s="46"/>
      <c r="K53" s="58" t="s">
        <v>8</v>
      </c>
      <c r="L53" s="33"/>
      <c r="M53" s="33"/>
      <c r="N53" s="115"/>
      <c r="O53" s="32"/>
      <c r="P53" s="34"/>
      <c r="Q53" s="50"/>
      <c r="U53" s="343"/>
    </row>
    <row r="54" spans="3:21" ht="18" customHeight="1">
      <c r="C54" s="54" t="s">
        <v>1890</v>
      </c>
      <c r="D54" s="50" t="s">
        <v>1853</v>
      </c>
      <c r="E54" s="47" t="s">
        <v>1891</v>
      </c>
      <c r="F54" s="52"/>
      <c r="G54" s="47" t="s">
        <v>1892</v>
      </c>
      <c r="H54" s="46">
        <v>10</v>
      </c>
      <c r="I54" s="46">
        <v>10</v>
      </c>
      <c r="J54" s="46">
        <v>10</v>
      </c>
      <c r="K54" s="34">
        <v>21.1</v>
      </c>
      <c r="L54" s="688">
        <v>42982</v>
      </c>
      <c r="M54" s="688"/>
      <c r="N54" s="689">
        <v>42982</v>
      </c>
      <c r="O54" s="690" t="s">
        <v>1893</v>
      </c>
      <c r="P54" s="34"/>
      <c r="Q54" s="683"/>
      <c r="R54" s="1">
        <v>1600</v>
      </c>
      <c r="U54" s="4"/>
    </row>
    <row r="55" spans="3:21" ht="18" customHeight="1">
      <c r="C55" s="54" t="s">
        <v>1890</v>
      </c>
      <c r="D55" s="50" t="s">
        <v>1853</v>
      </c>
      <c r="E55" s="47"/>
      <c r="F55" s="59"/>
      <c r="G55" s="59" t="s">
        <v>24</v>
      </c>
      <c r="H55" s="30">
        <v>1</v>
      </c>
      <c r="I55" s="53"/>
      <c r="J55" s="46"/>
      <c r="K55" s="34">
        <v>12</v>
      </c>
      <c r="L55" s="688">
        <v>42982</v>
      </c>
      <c r="M55" s="688"/>
      <c r="N55" s="689">
        <v>42982</v>
      </c>
      <c r="O55" s="690" t="s">
        <v>1893</v>
      </c>
      <c r="P55" s="34"/>
      <c r="Q55" s="683"/>
      <c r="R55" t="s">
        <v>1894</v>
      </c>
      <c r="U55" s="4"/>
    </row>
    <row r="56" spans="3:21" ht="18" customHeight="1">
      <c r="C56" s="54" t="s">
        <v>1890</v>
      </c>
      <c r="D56" s="50" t="s">
        <v>1853</v>
      </c>
      <c r="E56" s="47"/>
      <c r="F56" s="59"/>
      <c r="G56" s="59" t="s">
        <v>13</v>
      </c>
      <c r="H56" s="30">
        <v>1</v>
      </c>
      <c r="I56" s="53"/>
      <c r="J56" s="46"/>
      <c r="K56" s="34">
        <v>12</v>
      </c>
      <c r="L56" s="688">
        <v>42982</v>
      </c>
      <c r="M56" s="688"/>
      <c r="N56" s="689">
        <v>42982</v>
      </c>
      <c r="O56" s="690" t="s">
        <v>1893</v>
      </c>
      <c r="P56" s="34"/>
      <c r="Q56" s="683"/>
      <c r="R56" t="s">
        <v>1894</v>
      </c>
      <c r="U56" s="4"/>
    </row>
    <row r="57" spans="3:21" ht="18" customHeight="1">
      <c r="C57" s="4"/>
      <c r="D57" s="50"/>
      <c r="E57" s="51" t="s">
        <v>1848</v>
      </c>
      <c r="F57" s="52"/>
      <c r="G57" s="47"/>
      <c r="H57" s="46"/>
      <c r="I57" s="53"/>
      <c r="J57" s="46"/>
      <c r="K57" s="58" t="s">
        <v>8</v>
      </c>
      <c r="L57" s="688"/>
      <c r="M57" s="688"/>
      <c r="N57" s="689"/>
      <c r="O57" s="690"/>
      <c r="P57" s="34"/>
      <c r="Q57" s="50"/>
      <c r="U57" s="343"/>
    </row>
    <row r="58" spans="3:21" ht="18" customHeight="1">
      <c r="C58" s="54" t="s">
        <v>1895</v>
      </c>
      <c r="D58" s="50" t="s">
        <v>1850</v>
      </c>
      <c r="E58" s="47" t="s">
        <v>1896</v>
      </c>
      <c r="F58" s="682"/>
      <c r="G58" s="47" t="s">
        <v>1897</v>
      </c>
      <c r="H58" s="46">
        <v>1760</v>
      </c>
      <c r="I58" s="46">
        <v>1760</v>
      </c>
      <c r="J58" s="46">
        <v>1760</v>
      </c>
      <c r="K58" s="34">
        <v>0.8</v>
      </c>
      <c r="L58" s="688">
        <v>42975</v>
      </c>
      <c r="M58" s="688"/>
      <c r="N58" s="689">
        <v>42975</v>
      </c>
      <c r="O58" s="690">
        <v>1263</v>
      </c>
      <c r="P58" s="34"/>
      <c r="Q58" s="683"/>
      <c r="R58" s="1">
        <v>48</v>
      </c>
      <c r="U58" s="4"/>
    </row>
    <row r="59" spans="3:21" ht="18" customHeight="1">
      <c r="C59" s="54"/>
      <c r="D59" s="50"/>
      <c r="E59" s="51" t="s">
        <v>1898</v>
      </c>
      <c r="F59" s="59"/>
      <c r="G59" s="59"/>
      <c r="H59" s="46"/>
      <c r="I59" s="46"/>
      <c r="J59" s="46"/>
      <c r="K59" s="58" t="s">
        <v>7</v>
      </c>
      <c r="L59" s="33"/>
      <c r="M59" s="33"/>
      <c r="N59" s="115"/>
      <c r="O59" s="32"/>
      <c r="P59" s="691"/>
      <c r="Q59" s="683"/>
      <c r="U59" s="4"/>
    </row>
    <row r="60" spans="3:21" ht="18" customHeight="1">
      <c r="C60" s="54" t="s">
        <v>1899</v>
      </c>
      <c r="D60" s="50" t="s">
        <v>1900</v>
      </c>
      <c r="E60" s="47">
        <v>5291</v>
      </c>
      <c r="F60" s="59">
        <v>3</v>
      </c>
      <c r="G60" s="59" t="s">
        <v>1901</v>
      </c>
      <c r="H60" s="46">
        <v>50</v>
      </c>
      <c r="I60" s="53">
        <v>20</v>
      </c>
      <c r="J60" s="29">
        <f>H60*I60</f>
        <v>1000</v>
      </c>
      <c r="K60" s="34">
        <v>0.08</v>
      </c>
      <c r="L60" s="688">
        <v>42990</v>
      </c>
      <c r="M60" s="688"/>
      <c r="N60" s="689">
        <v>42990</v>
      </c>
      <c r="O60" s="690" t="s">
        <v>1902</v>
      </c>
      <c r="P60" s="34"/>
      <c r="Q60" s="683"/>
      <c r="R60" s="1">
        <v>4.4000000000000004</v>
      </c>
      <c r="U60" s="692"/>
    </row>
    <row r="61" spans="3:21" ht="18" customHeight="1">
      <c r="C61" s="54" t="s">
        <v>1899</v>
      </c>
      <c r="D61" s="50" t="s">
        <v>1900</v>
      </c>
      <c r="E61" s="47"/>
      <c r="F61" s="59"/>
      <c r="G61" s="59" t="s">
        <v>13</v>
      </c>
      <c r="H61" s="30">
        <v>1</v>
      </c>
      <c r="I61" s="53"/>
      <c r="J61" s="46"/>
      <c r="K61" s="34">
        <v>12</v>
      </c>
      <c r="L61" s="688">
        <v>42990</v>
      </c>
      <c r="M61" s="688"/>
      <c r="N61" s="689">
        <v>42990</v>
      </c>
      <c r="O61" s="690" t="s">
        <v>1902</v>
      </c>
      <c r="P61" s="34"/>
      <c r="Q61" s="683"/>
      <c r="R61" t="s">
        <v>1903</v>
      </c>
      <c r="U61" s="4"/>
    </row>
    <row r="62" spans="3:21" ht="18" customHeight="1">
      <c r="C62" s="4"/>
      <c r="D62" s="50"/>
      <c r="E62" s="51" t="s">
        <v>1848</v>
      </c>
      <c r="F62" s="52"/>
      <c r="G62" s="47"/>
      <c r="H62" s="46"/>
      <c r="I62" s="53"/>
      <c r="J62" s="46"/>
      <c r="K62" s="58" t="s">
        <v>8</v>
      </c>
      <c r="L62" s="688"/>
      <c r="M62" s="688"/>
      <c r="N62" s="689"/>
      <c r="O62" s="690"/>
      <c r="P62" s="34"/>
      <c r="Q62" s="50"/>
      <c r="U62" s="343"/>
    </row>
    <row r="63" spans="3:21" ht="18" customHeight="1">
      <c r="C63" s="54" t="s">
        <v>1904</v>
      </c>
      <c r="D63" s="50" t="s">
        <v>1850</v>
      </c>
      <c r="E63" s="47" t="s">
        <v>1896</v>
      </c>
      <c r="F63" s="682"/>
      <c r="G63" s="47" t="s">
        <v>1897</v>
      </c>
      <c r="H63" s="46">
        <v>70</v>
      </c>
      <c r="I63" s="46">
        <v>70</v>
      </c>
      <c r="J63" s="46">
        <v>70</v>
      </c>
      <c r="K63" s="34">
        <v>0.8</v>
      </c>
      <c r="L63" s="688">
        <v>42993</v>
      </c>
      <c r="M63" s="688"/>
      <c r="N63" s="689">
        <v>42993</v>
      </c>
      <c r="O63" s="690" t="s">
        <v>1905</v>
      </c>
      <c r="P63" s="34"/>
      <c r="Q63" s="683"/>
      <c r="R63" s="1">
        <v>48</v>
      </c>
      <c r="U63" s="4"/>
    </row>
    <row r="64" spans="3:21" ht="18" customHeight="1">
      <c r="C64" s="54" t="s">
        <v>1904</v>
      </c>
      <c r="D64" s="50" t="s">
        <v>1850</v>
      </c>
      <c r="E64" s="47"/>
      <c r="F64" s="59"/>
      <c r="G64" s="59" t="s">
        <v>13</v>
      </c>
      <c r="H64" s="30">
        <v>1</v>
      </c>
      <c r="I64" s="53"/>
      <c r="J64" s="46"/>
      <c r="K64" s="34">
        <v>12</v>
      </c>
      <c r="L64" s="688">
        <v>42993</v>
      </c>
      <c r="M64" s="688"/>
      <c r="N64" s="689">
        <v>42993</v>
      </c>
      <c r="O64" s="690" t="s">
        <v>1905</v>
      </c>
      <c r="P64" s="34"/>
      <c r="Q64" s="683"/>
      <c r="R64"/>
      <c r="U64" s="4"/>
    </row>
    <row r="65" spans="3:21" ht="18" customHeight="1">
      <c r="C65" s="4"/>
      <c r="D65" s="50"/>
      <c r="E65" s="51" t="s">
        <v>1906</v>
      </c>
      <c r="F65" s="52"/>
      <c r="G65" s="47"/>
      <c r="H65" s="46"/>
      <c r="I65" s="53"/>
      <c r="J65" s="46"/>
      <c r="K65" s="58" t="s">
        <v>8</v>
      </c>
      <c r="L65" s="688"/>
      <c r="M65" s="688"/>
      <c r="N65" s="689"/>
      <c r="O65" s="690"/>
      <c r="P65" s="34"/>
      <c r="Q65" s="50"/>
      <c r="U65" s="343"/>
    </row>
    <row r="66" spans="3:21" ht="18" customHeight="1">
      <c r="C66" s="54" t="s">
        <v>1907</v>
      </c>
      <c r="D66" s="54" t="s">
        <v>1908</v>
      </c>
      <c r="E66" s="47" t="s">
        <v>1909</v>
      </c>
      <c r="F66" s="682"/>
      <c r="G66" s="47" t="s">
        <v>1910</v>
      </c>
      <c r="H66" s="46">
        <v>100</v>
      </c>
      <c r="I66" s="53">
        <v>1</v>
      </c>
      <c r="J66" s="46">
        <v>100</v>
      </c>
      <c r="K66" s="84" t="s">
        <v>1911</v>
      </c>
      <c r="L66" s="688">
        <v>42999</v>
      </c>
      <c r="M66" s="688"/>
      <c r="N66" s="689">
        <v>42999</v>
      </c>
      <c r="O66" s="690" t="s">
        <v>1912</v>
      </c>
      <c r="P66" s="34"/>
      <c r="Q66" s="683"/>
      <c r="R66" s="1">
        <v>15.2</v>
      </c>
      <c r="U66" s="4"/>
    </row>
    <row r="67" spans="3:21" ht="18" customHeight="1">
      <c r="C67" s="54" t="s">
        <v>1907</v>
      </c>
      <c r="D67" s="54" t="s">
        <v>1908</v>
      </c>
      <c r="E67" s="47"/>
      <c r="F67" s="59"/>
      <c r="G67" s="59" t="s">
        <v>13</v>
      </c>
      <c r="H67" s="30">
        <v>1</v>
      </c>
      <c r="I67" s="53"/>
      <c r="J67" s="46"/>
      <c r="K67" s="84" t="s">
        <v>1913</v>
      </c>
      <c r="L67" s="688">
        <v>42999</v>
      </c>
      <c r="M67" s="688"/>
      <c r="N67" s="689">
        <v>42999</v>
      </c>
      <c r="O67" s="690" t="s">
        <v>1912</v>
      </c>
      <c r="P67" s="34"/>
      <c r="Q67" s="683"/>
      <c r="R67"/>
      <c r="U67" s="4"/>
    </row>
    <row r="68" spans="3:21" ht="18" customHeight="1">
      <c r="C68" s="4"/>
      <c r="D68" s="50"/>
      <c r="E68" s="51" t="s">
        <v>1848</v>
      </c>
      <c r="F68" s="52"/>
      <c r="G68" s="47"/>
      <c r="H68" s="46"/>
      <c r="I68" s="53"/>
      <c r="J68" s="46"/>
      <c r="K68" s="58" t="s">
        <v>8</v>
      </c>
      <c r="L68" s="688"/>
      <c r="M68" s="688"/>
      <c r="N68" s="689"/>
      <c r="O68" s="690"/>
      <c r="P68" s="34"/>
      <c r="Q68" s="50"/>
      <c r="S68" s="1" t="s">
        <v>1914</v>
      </c>
      <c r="U68" s="343"/>
    </row>
    <row r="69" spans="3:21" ht="18" customHeight="1">
      <c r="C69" s="54" t="s">
        <v>1915</v>
      </c>
      <c r="D69" s="50" t="s">
        <v>1916</v>
      </c>
      <c r="E69" s="693" t="s">
        <v>111</v>
      </c>
      <c r="F69" s="682"/>
      <c r="G69" s="47" t="s">
        <v>1917</v>
      </c>
      <c r="H69" s="46">
        <v>5</v>
      </c>
      <c r="I69" s="46">
        <v>5</v>
      </c>
      <c r="J69" s="46">
        <v>5</v>
      </c>
      <c r="K69" s="34">
        <v>1.75</v>
      </c>
      <c r="L69" s="688">
        <v>43010</v>
      </c>
      <c r="M69" s="688"/>
      <c r="N69" s="689">
        <v>43010</v>
      </c>
      <c r="O69" s="694" t="s">
        <v>1918</v>
      </c>
      <c r="P69" s="34"/>
      <c r="Q69" s="683"/>
      <c r="R69" s="1">
        <v>92</v>
      </c>
      <c r="S69" s="1">
        <v>30</v>
      </c>
      <c r="U69" s="4"/>
    </row>
    <row r="70" spans="3:21" ht="18" customHeight="1">
      <c r="C70" s="54" t="s">
        <v>1915</v>
      </c>
      <c r="D70" s="50" t="s">
        <v>1916</v>
      </c>
      <c r="E70" s="693" t="s">
        <v>29</v>
      </c>
      <c r="F70" s="682"/>
      <c r="G70" s="47" t="s">
        <v>1917</v>
      </c>
      <c r="H70" s="46">
        <v>5</v>
      </c>
      <c r="I70" s="46">
        <v>5</v>
      </c>
      <c r="J70" s="46">
        <v>5</v>
      </c>
      <c r="K70" s="34">
        <v>2.06</v>
      </c>
      <c r="L70" s="688">
        <v>43010</v>
      </c>
      <c r="M70" s="688"/>
      <c r="N70" s="689">
        <v>43010</v>
      </c>
      <c r="O70" s="694" t="s">
        <v>1918</v>
      </c>
      <c r="P70" s="34"/>
      <c r="Q70" s="683"/>
      <c r="R70" s="1">
        <v>144</v>
      </c>
      <c r="S70" s="1" t="s">
        <v>5</v>
      </c>
      <c r="U70" s="4"/>
    </row>
    <row r="71" spans="3:21" ht="18" customHeight="1">
      <c r="C71" s="54" t="s">
        <v>1915</v>
      </c>
      <c r="D71" s="50" t="s">
        <v>1916</v>
      </c>
      <c r="E71" s="47"/>
      <c r="F71" s="59"/>
      <c r="G71" s="59" t="s">
        <v>13</v>
      </c>
      <c r="H71" s="30">
        <v>1</v>
      </c>
      <c r="I71" s="53"/>
      <c r="J71" s="46"/>
      <c r="K71" s="34">
        <v>12</v>
      </c>
      <c r="L71" s="688">
        <v>43010</v>
      </c>
      <c r="M71" s="688"/>
      <c r="N71" s="689">
        <v>43010</v>
      </c>
      <c r="O71" s="694" t="s">
        <v>1918</v>
      </c>
      <c r="P71" s="34"/>
      <c r="Q71" s="683"/>
      <c r="R71"/>
      <c r="U71" s="4"/>
    </row>
    <row r="72" spans="3:21" ht="18" customHeight="1">
      <c r="C72" s="4"/>
      <c r="D72" s="50"/>
      <c r="E72" s="51" t="s">
        <v>1848</v>
      </c>
      <c r="F72" s="52"/>
      <c r="G72" s="47"/>
      <c r="H72" s="46"/>
      <c r="I72" s="53"/>
      <c r="J72" s="46"/>
      <c r="K72" s="58" t="s">
        <v>8</v>
      </c>
      <c r="L72" s="688"/>
      <c r="M72" s="688"/>
      <c r="N72" s="689"/>
      <c r="O72" s="690"/>
      <c r="P72" s="34"/>
      <c r="Q72" s="50"/>
      <c r="U72" s="343"/>
    </row>
    <row r="73" spans="3:21" ht="18" customHeight="1">
      <c r="C73" s="54" t="s">
        <v>1919</v>
      </c>
      <c r="D73" s="50" t="s">
        <v>1850</v>
      </c>
      <c r="E73" s="47" t="s">
        <v>140</v>
      </c>
      <c r="F73" s="682"/>
      <c r="G73" s="47" t="s">
        <v>62</v>
      </c>
      <c r="H73" s="46">
        <v>14</v>
      </c>
      <c r="I73" s="53">
        <v>1</v>
      </c>
      <c r="J73" s="46">
        <f>I73*H73</f>
        <v>14</v>
      </c>
      <c r="K73" s="34">
        <v>2.1</v>
      </c>
      <c r="L73" s="688">
        <v>43021</v>
      </c>
      <c r="M73" s="688"/>
      <c r="N73" s="689">
        <v>43021</v>
      </c>
      <c r="O73" s="690" t="s">
        <v>1920</v>
      </c>
      <c r="P73" s="34"/>
      <c r="Q73" s="1">
        <v>100</v>
      </c>
      <c r="R73" s="1">
        <v>147</v>
      </c>
      <c r="S73" s="1" t="s">
        <v>1921</v>
      </c>
      <c r="U73" s="4"/>
    </row>
    <row r="74" spans="3:21" ht="18" customHeight="1">
      <c r="C74" s="54" t="s">
        <v>1919</v>
      </c>
      <c r="D74" s="50" t="s">
        <v>1850</v>
      </c>
      <c r="E74" s="47" t="s">
        <v>112</v>
      </c>
      <c r="F74" s="682"/>
      <c r="G74" s="47" t="s">
        <v>25</v>
      </c>
      <c r="H74" s="46">
        <v>14</v>
      </c>
      <c r="I74" s="53">
        <v>1</v>
      </c>
      <c r="J74" s="46">
        <f>I74*H74</f>
        <v>14</v>
      </c>
      <c r="K74" s="34">
        <v>1.53</v>
      </c>
      <c r="L74" s="688">
        <v>43021</v>
      </c>
      <c r="M74" s="688"/>
      <c r="N74" s="689">
        <v>43021</v>
      </c>
      <c r="O74" s="690" t="s">
        <v>1920</v>
      </c>
      <c r="P74" s="34"/>
      <c r="Q74" s="683"/>
      <c r="R74" s="1">
        <v>64</v>
      </c>
      <c r="U74" s="4"/>
    </row>
    <row r="75" spans="3:21" ht="18" customHeight="1">
      <c r="C75" s="54" t="s">
        <v>1919</v>
      </c>
      <c r="D75" s="50" t="s">
        <v>1850</v>
      </c>
      <c r="E75" s="47" t="s">
        <v>1896</v>
      </c>
      <c r="F75" s="682"/>
      <c r="G75" s="47" t="s">
        <v>1897</v>
      </c>
      <c r="H75" s="46">
        <v>20</v>
      </c>
      <c r="I75" s="46">
        <v>20</v>
      </c>
      <c r="J75" s="46">
        <v>20</v>
      </c>
      <c r="K75" s="34">
        <v>0.8</v>
      </c>
      <c r="L75" s="688">
        <v>43021</v>
      </c>
      <c r="M75" s="688"/>
      <c r="N75" s="689">
        <v>43021</v>
      </c>
      <c r="O75" s="690" t="s">
        <v>1920</v>
      </c>
      <c r="P75" s="34"/>
      <c r="Q75" s="683"/>
      <c r="R75" s="1">
        <v>48</v>
      </c>
      <c r="U75" s="4"/>
    </row>
    <row r="76" spans="3:21" ht="18" customHeight="1">
      <c r="C76" s="54" t="s">
        <v>1919</v>
      </c>
      <c r="D76" s="50" t="s">
        <v>1850</v>
      </c>
      <c r="E76" s="61"/>
      <c r="F76" s="59"/>
      <c r="G76" s="59" t="s">
        <v>13</v>
      </c>
      <c r="H76" s="30">
        <v>1</v>
      </c>
      <c r="I76" s="53"/>
      <c r="J76" s="46"/>
      <c r="K76" s="34">
        <v>12</v>
      </c>
      <c r="L76" s="688">
        <v>43021</v>
      </c>
      <c r="M76" s="688"/>
      <c r="N76" s="689">
        <v>43021</v>
      </c>
      <c r="O76" s="690" t="s">
        <v>1920</v>
      </c>
      <c r="P76" s="34"/>
      <c r="Q76" s="683"/>
      <c r="R76"/>
      <c r="U76" s="4"/>
    </row>
    <row r="77" spans="3:21" ht="18" customHeight="1">
      <c r="C77" s="4"/>
      <c r="D77" s="50"/>
      <c r="E77" s="51" t="s">
        <v>1848</v>
      </c>
      <c r="F77" s="52"/>
      <c r="G77" s="47"/>
      <c r="H77" s="46"/>
      <c r="I77" s="53"/>
      <c r="J77" s="46"/>
      <c r="K77" s="58" t="s">
        <v>8</v>
      </c>
      <c r="L77" s="688"/>
      <c r="M77" s="688"/>
      <c r="N77" s="689"/>
      <c r="O77" s="690"/>
      <c r="P77" s="34"/>
      <c r="Q77" s="50"/>
      <c r="S77" s="1" t="s">
        <v>1922</v>
      </c>
      <c r="U77" s="343"/>
    </row>
    <row r="78" spans="3:21" ht="18" customHeight="1">
      <c r="C78" s="54" t="s">
        <v>1923</v>
      </c>
      <c r="D78" s="50" t="s">
        <v>1850</v>
      </c>
      <c r="E78" s="47" t="s">
        <v>1877</v>
      </c>
      <c r="F78" s="682"/>
      <c r="G78" s="47" t="s">
        <v>1924</v>
      </c>
      <c r="H78" s="46">
        <v>13.7</v>
      </c>
      <c r="I78" s="53">
        <v>115</v>
      </c>
      <c r="J78" s="46">
        <f>I78*H78</f>
        <v>1575.5</v>
      </c>
      <c r="K78" s="695">
        <v>3.23</v>
      </c>
      <c r="L78" s="688">
        <v>43117</v>
      </c>
      <c r="M78" s="688"/>
      <c r="N78" s="689">
        <v>43117</v>
      </c>
      <c r="O78" s="690" t="s">
        <v>1925</v>
      </c>
      <c r="P78" s="34"/>
      <c r="Q78" s="1">
        <v>265</v>
      </c>
      <c r="R78" s="1">
        <v>225</v>
      </c>
      <c r="S78" s="1">
        <v>40</v>
      </c>
      <c r="U78" s="4"/>
    </row>
    <row r="79" spans="3:21" ht="18" customHeight="1">
      <c r="C79" s="54" t="s">
        <v>1923</v>
      </c>
      <c r="D79" s="50" t="s">
        <v>1850</v>
      </c>
      <c r="E79" s="47" t="s">
        <v>1877</v>
      </c>
      <c r="F79" s="682"/>
      <c r="G79" s="47" t="s">
        <v>1926</v>
      </c>
      <c r="H79" s="46">
        <v>13.7</v>
      </c>
      <c r="I79" s="53">
        <v>172</v>
      </c>
      <c r="J79" s="46">
        <f>I79*H79</f>
        <v>2356.4</v>
      </c>
      <c r="K79" s="695">
        <v>3.23</v>
      </c>
      <c r="L79" s="688">
        <v>43117</v>
      </c>
      <c r="M79" s="688"/>
      <c r="N79" s="689">
        <v>43117</v>
      </c>
      <c r="O79" s="690" t="s">
        <v>1925</v>
      </c>
      <c r="P79" s="34"/>
      <c r="Q79" s="1">
        <v>265</v>
      </c>
      <c r="R79" s="1">
        <v>225</v>
      </c>
      <c r="S79" s="1">
        <v>40</v>
      </c>
      <c r="U79" s="4"/>
    </row>
    <row r="80" spans="3:21" ht="18" customHeight="1">
      <c r="C80" s="54" t="s">
        <v>1923</v>
      </c>
      <c r="D80" s="50" t="s">
        <v>1850</v>
      </c>
      <c r="E80" s="47" t="s">
        <v>1877</v>
      </c>
      <c r="F80" s="682"/>
      <c r="G80" s="47" t="s">
        <v>1927</v>
      </c>
      <c r="H80" s="46">
        <v>13.7</v>
      </c>
      <c r="I80" s="53">
        <v>115</v>
      </c>
      <c r="J80" s="46">
        <f>I80*H80</f>
        <v>1575.5</v>
      </c>
      <c r="K80" s="695">
        <v>3.23</v>
      </c>
      <c r="L80" s="688">
        <v>43118</v>
      </c>
      <c r="M80" s="688"/>
      <c r="N80" s="689">
        <v>43118</v>
      </c>
      <c r="O80" s="690" t="s">
        <v>1928</v>
      </c>
      <c r="P80" s="34"/>
      <c r="Q80" s="1">
        <v>265</v>
      </c>
      <c r="R80" s="1">
        <v>225</v>
      </c>
      <c r="S80" s="1">
        <v>40</v>
      </c>
      <c r="U80" s="4"/>
    </row>
    <row r="81" spans="3:22" ht="18" customHeight="1">
      <c r="C81" s="54" t="s">
        <v>1923</v>
      </c>
      <c r="D81" s="50" t="s">
        <v>1850</v>
      </c>
      <c r="E81" s="47" t="s">
        <v>1877</v>
      </c>
      <c r="F81" s="682"/>
      <c r="G81" s="47" t="s">
        <v>1929</v>
      </c>
      <c r="H81" s="46">
        <v>13.7</v>
      </c>
      <c r="I81" s="53">
        <v>81</v>
      </c>
      <c r="J81" s="46">
        <f>I81*H81</f>
        <v>1109.7</v>
      </c>
      <c r="K81" s="695">
        <v>3.23</v>
      </c>
      <c r="L81" s="688">
        <v>43118</v>
      </c>
      <c r="M81" s="688"/>
      <c r="N81" s="689">
        <v>43118</v>
      </c>
      <c r="O81" s="690" t="s">
        <v>1928</v>
      </c>
      <c r="P81" s="34"/>
      <c r="Q81" s="1">
        <v>265</v>
      </c>
      <c r="R81" s="1">
        <v>225</v>
      </c>
      <c r="S81" s="1">
        <v>40</v>
      </c>
      <c r="U81" s="4"/>
    </row>
    <row r="82" spans="3:22" ht="18" customHeight="1">
      <c r="C82" s="4"/>
      <c r="D82" s="50"/>
      <c r="E82" s="51" t="s">
        <v>1844</v>
      </c>
      <c r="F82" s="52"/>
      <c r="G82" s="47"/>
      <c r="H82" s="46"/>
      <c r="I82" s="53"/>
      <c r="J82" s="46"/>
      <c r="K82" s="58" t="s">
        <v>8</v>
      </c>
      <c r="L82" s="33"/>
      <c r="M82" s="33"/>
      <c r="N82" s="115"/>
      <c r="O82" s="32"/>
      <c r="P82" s="34"/>
      <c r="Q82" s="50"/>
      <c r="U82" s="343"/>
    </row>
    <row r="83" spans="3:22" ht="18" customHeight="1">
      <c r="C83" s="54" t="s">
        <v>1930</v>
      </c>
      <c r="D83" s="50" t="s">
        <v>1846</v>
      </c>
      <c r="E83" s="47">
        <v>3716</v>
      </c>
      <c r="F83" s="682">
        <v>15</v>
      </c>
      <c r="G83" s="47" t="s">
        <v>1931</v>
      </c>
      <c r="H83" s="46">
        <v>30</v>
      </c>
      <c r="I83" s="53">
        <v>25</v>
      </c>
      <c r="J83" s="46">
        <f>I83*H83</f>
        <v>750</v>
      </c>
      <c r="K83" s="34">
        <v>0.35</v>
      </c>
      <c r="L83" s="688">
        <v>43045</v>
      </c>
      <c r="M83" s="688"/>
      <c r="N83" s="689">
        <v>43045</v>
      </c>
      <c r="O83" s="690">
        <v>1341</v>
      </c>
      <c r="P83" s="34"/>
      <c r="Q83" s="683"/>
      <c r="R83" s="1">
        <v>24.5</v>
      </c>
      <c r="U83" s="4"/>
    </row>
    <row r="84" spans="3:22" ht="18" customHeight="1">
      <c r="C84" s="54" t="s">
        <v>1930</v>
      </c>
      <c r="D84" s="50" t="s">
        <v>1846</v>
      </c>
      <c r="E84" s="47">
        <v>3716</v>
      </c>
      <c r="F84" s="682">
        <v>15</v>
      </c>
      <c r="G84" s="47" t="s">
        <v>1932</v>
      </c>
      <c r="H84" s="46">
        <v>30</v>
      </c>
      <c r="I84" s="53">
        <v>10</v>
      </c>
      <c r="J84" s="46">
        <f>I84*H84</f>
        <v>300</v>
      </c>
      <c r="K84" s="34">
        <v>0.35</v>
      </c>
      <c r="L84" s="688">
        <v>43045</v>
      </c>
      <c r="M84" s="688"/>
      <c r="N84" s="689">
        <v>43045</v>
      </c>
      <c r="O84" s="690">
        <v>1341</v>
      </c>
      <c r="P84" s="34"/>
      <c r="Q84" s="683"/>
      <c r="R84" s="1">
        <v>24.5</v>
      </c>
      <c r="U84" s="4"/>
    </row>
    <row r="85" spans="3:22" ht="18" customHeight="1">
      <c r="C85" s="54"/>
      <c r="D85" s="50"/>
      <c r="E85" s="51" t="s">
        <v>113</v>
      </c>
      <c r="F85" s="682"/>
      <c r="G85" s="47"/>
      <c r="H85" s="46"/>
      <c r="I85" s="53"/>
      <c r="J85" s="46"/>
      <c r="K85" s="58" t="s">
        <v>8</v>
      </c>
      <c r="L85" s="33"/>
      <c r="M85" s="33"/>
      <c r="N85" s="115"/>
      <c r="O85" s="32"/>
      <c r="P85" s="34"/>
      <c r="Q85" s="683"/>
      <c r="U85" s="4"/>
    </row>
    <row r="86" spans="3:22" ht="18" customHeight="1">
      <c r="C86" s="54" t="s">
        <v>1930</v>
      </c>
      <c r="D86" s="50" t="s">
        <v>1846</v>
      </c>
      <c r="E86" s="47">
        <v>1598</v>
      </c>
      <c r="F86" s="696" t="s">
        <v>1933</v>
      </c>
      <c r="G86" s="47" t="s">
        <v>1934</v>
      </c>
      <c r="H86" s="46">
        <v>25</v>
      </c>
      <c r="I86" s="53">
        <v>12</v>
      </c>
      <c r="J86" s="46">
        <f>I86*H86</f>
        <v>300</v>
      </c>
      <c r="K86" s="34">
        <v>2.29</v>
      </c>
      <c r="L86" s="688">
        <v>43045</v>
      </c>
      <c r="M86" s="688"/>
      <c r="N86" s="689">
        <v>43045</v>
      </c>
      <c r="O86" s="690">
        <v>1341</v>
      </c>
      <c r="P86" s="34"/>
      <c r="Q86" s="683"/>
      <c r="R86" s="1">
        <v>130</v>
      </c>
      <c r="U86" s="4"/>
    </row>
    <row r="87" spans="3:22" ht="18" customHeight="1">
      <c r="C87" s="4"/>
      <c r="D87" s="50"/>
      <c r="E87" s="51" t="s">
        <v>118</v>
      </c>
      <c r="F87" s="52"/>
      <c r="G87" s="47"/>
      <c r="H87" s="46"/>
      <c r="I87" s="53"/>
      <c r="J87" s="46"/>
      <c r="K87" s="58" t="s">
        <v>8</v>
      </c>
      <c r="L87" s="33"/>
      <c r="M87" s="33"/>
      <c r="N87" s="115"/>
      <c r="O87" s="32"/>
      <c r="P87" s="34"/>
      <c r="Q87" s="50"/>
      <c r="U87" s="343"/>
    </row>
    <row r="88" spans="3:22" ht="18" customHeight="1">
      <c r="C88" s="54" t="s">
        <v>1935</v>
      </c>
      <c r="D88" s="50" t="s">
        <v>1853</v>
      </c>
      <c r="E88" s="47" t="s">
        <v>1854</v>
      </c>
      <c r="F88" s="52">
        <v>140</v>
      </c>
      <c r="G88" s="47" t="s">
        <v>1855</v>
      </c>
      <c r="H88" s="46">
        <v>10</v>
      </c>
      <c r="I88" s="46">
        <v>10</v>
      </c>
      <c r="J88" s="46">
        <v>10</v>
      </c>
      <c r="K88" s="34">
        <v>9.5</v>
      </c>
      <c r="L88" s="688">
        <v>43041</v>
      </c>
      <c r="M88" s="688"/>
      <c r="N88" s="689">
        <v>43041</v>
      </c>
      <c r="O88" s="690" t="s">
        <v>1936</v>
      </c>
      <c r="P88" s="34"/>
      <c r="Q88" s="683"/>
      <c r="R88" s="1">
        <v>760</v>
      </c>
      <c r="U88" s="4"/>
    </row>
    <row r="89" spans="3:22" ht="18" customHeight="1">
      <c r="C89" s="54" t="s">
        <v>1935</v>
      </c>
      <c r="D89" s="50" t="s">
        <v>1853</v>
      </c>
      <c r="E89" s="47" t="s">
        <v>1854</v>
      </c>
      <c r="F89" s="52">
        <v>140</v>
      </c>
      <c r="G89" s="47" t="s">
        <v>1937</v>
      </c>
      <c r="H89" s="46">
        <v>10</v>
      </c>
      <c r="I89" s="46">
        <v>10</v>
      </c>
      <c r="J89" s="46">
        <v>10</v>
      </c>
      <c r="K89" s="34">
        <v>9.5</v>
      </c>
      <c r="L89" s="688">
        <v>43041</v>
      </c>
      <c r="M89" s="688"/>
      <c r="N89" s="689">
        <v>43041</v>
      </c>
      <c r="O89" s="690" t="s">
        <v>1936</v>
      </c>
      <c r="P89" s="34"/>
      <c r="Q89" s="683"/>
      <c r="R89" s="1">
        <v>760</v>
      </c>
      <c r="U89" s="4"/>
    </row>
    <row r="90" spans="3:22" ht="18" customHeight="1">
      <c r="C90" s="54" t="s">
        <v>1935</v>
      </c>
      <c r="D90" s="50" t="s">
        <v>1853</v>
      </c>
      <c r="E90" s="47"/>
      <c r="F90" s="59"/>
      <c r="G90" s="59" t="s">
        <v>24</v>
      </c>
      <c r="H90" s="30" t="s">
        <v>21</v>
      </c>
      <c r="I90" s="53"/>
      <c r="J90" s="46"/>
      <c r="K90" s="34">
        <v>12</v>
      </c>
      <c r="L90" s="688">
        <v>43041</v>
      </c>
      <c r="M90" s="688"/>
      <c r="N90" s="689">
        <v>43041</v>
      </c>
      <c r="O90" s="690" t="s">
        <v>1936</v>
      </c>
      <c r="P90" s="34">
        <v>12</v>
      </c>
      <c r="Q90" s="683"/>
      <c r="U90" s="4"/>
    </row>
    <row r="91" spans="3:22" ht="18" customHeight="1">
      <c r="C91" s="54" t="s">
        <v>1935</v>
      </c>
      <c r="D91" s="50" t="s">
        <v>1853</v>
      </c>
      <c r="E91" s="47"/>
      <c r="F91" s="59"/>
      <c r="G91" s="59" t="s">
        <v>13</v>
      </c>
      <c r="H91" s="30">
        <v>1</v>
      </c>
      <c r="I91" s="53"/>
      <c r="J91" s="46"/>
      <c r="K91" s="34">
        <v>12</v>
      </c>
      <c r="L91" s="688">
        <v>43041</v>
      </c>
      <c r="M91" s="688"/>
      <c r="N91" s="689">
        <v>43041</v>
      </c>
      <c r="O91" s="690" t="s">
        <v>1936</v>
      </c>
      <c r="P91" s="34">
        <v>12</v>
      </c>
      <c r="Q91" s="683"/>
      <c r="U91" s="4"/>
    </row>
    <row r="92" spans="3:22" ht="18" customHeight="1">
      <c r="C92" s="4"/>
      <c r="D92" s="50"/>
      <c r="E92" s="51" t="s">
        <v>1848</v>
      </c>
      <c r="F92" s="52"/>
      <c r="G92" s="47"/>
      <c r="H92" s="46"/>
      <c r="I92" s="53"/>
      <c r="J92" s="46"/>
      <c r="K92" s="58" t="s">
        <v>8</v>
      </c>
      <c r="L92" s="688"/>
      <c r="M92" s="688"/>
      <c r="N92" s="689"/>
      <c r="O92" s="690"/>
      <c r="P92" s="34"/>
      <c r="Q92" s="50"/>
      <c r="S92" s="1" t="s">
        <v>1922</v>
      </c>
      <c r="U92" s="343"/>
    </row>
    <row r="93" spans="3:22" ht="18" customHeight="1">
      <c r="C93" s="54" t="s">
        <v>1938</v>
      </c>
      <c r="D93" s="50" t="s">
        <v>1850</v>
      </c>
      <c r="E93" s="47" t="s">
        <v>1939</v>
      </c>
      <c r="F93" s="682"/>
      <c r="G93" s="47" t="s">
        <v>1940</v>
      </c>
      <c r="H93" s="46">
        <v>13.7</v>
      </c>
      <c r="I93" s="53">
        <v>124</v>
      </c>
      <c r="J93" s="46">
        <f>I93*H93</f>
        <v>1698.8</v>
      </c>
      <c r="K93" s="695">
        <v>2.65</v>
      </c>
      <c r="L93" s="688">
        <v>43083</v>
      </c>
      <c r="M93" s="688"/>
      <c r="N93" s="689">
        <v>43083</v>
      </c>
      <c r="O93" s="690">
        <v>1419</v>
      </c>
      <c r="P93" s="34"/>
      <c r="Q93" s="1">
        <v>218</v>
      </c>
      <c r="R93" s="1">
        <v>188</v>
      </c>
      <c r="S93" s="1">
        <v>30</v>
      </c>
      <c r="U93" s="4"/>
    </row>
    <row r="94" spans="3:22" ht="18" customHeight="1">
      <c r="C94" s="54" t="s">
        <v>1938</v>
      </c>
      <c r="D94" s="50" t="s">
        <v>1850</v>
      </c>
      <c r="E94" s="47" t="s">
        <v>1939</v>
      </c>
      <c r="F94" s="682"/>
      <c r="G94" s="47" t="s">
        <v>1941</v>
      </c>
      <c r="H94" s="46">
        <v>13.7</v>
      </c>
      <c r="I94" s="53">
        <v>95</v>
      </c>
      <c r="J94" s="46">
        <f>I94*H94</f>
        <v>1301.5</v>
      </c>
      <c r="K94" s="695">
        <v>2.65</v>
      </c>
      <c r="L94" s="688">
        <v>43087</v>
      </c>
      <c r="M94" s="688"/>
      <c r="N94" s="689">
        <v>43087</v>
      </c>
      <c r="O94" s="690">
        <v>1424</v>
      </c>
      <c r="P94" s="34"/>
      <c r="Q94" s="1">
        <v>218</v>
      </c>
      <c r="R94" s="1">
        <v>188</v>
      </c>
      <c r="S94" s="1">
        <v>30</v>
      </c>
      <c r="U94" s="4"/>
    </row>
    <row r="95" spans="3:22" ht="18" customHeight="1">
      <c r="C95" s="4"/>
      <c r="D95" s="50"/>
      <c r="E95" s="51" t="s">
        <v>1848</v>
      </c>
      <c r="F95" s="52"/>
      <c r="G95" s="47"/>
      <c r="H95" s="46"/>
      <c r="I95" s="53"/>
      <c r="J95" s="46"/>
      <c r="K95" s="58" t="s">
        <v>8</v>
      </c>
      <c r="L95" s="688"/>
      <c r="M95" s="688"/>
      <c r="N95" s="689"/>
      <c r="O95" s="690"/>
      <c r="P95" s="34"/>
      <c r="Q95" s="50"/>
      <c r="S95" s="1" t="s">
        <v>1922</v>
      </c>
      <c r="U95" s="343"/>
    </row>
    <row r="96" spans="3:22" ht="18" customHeight="1">
      <c r="C96" s="54" t="s">
        <v>1942</v>
      </c>
      <c r="D96" s="50" t="s">
        <v>1850</v>
      </c>
      <c r="E96" s="47" t="s">
        <v>42</v>
      </c>
      <c r="F96" s="682"/>
      <c r="G96" s="47" t="s">
        <v>1926</v>
      </c>
      <c r="H96" s="46">
        <v>13.7</v>
      </c>
      <c r="I96" s="53">
        <v>81</v>
      </c>
      <c r="J96" s="46">
        <f>I96*H96</f>
        <v>1109.7</v>
      </c>
      <c r="K96" s="695">
        <v>1.69</v>
      </c>
      <c r="L96" s="688">
        <v>43068</v>
      </c>
      <c r="M96" s="688"/>
      <c r="N96" s="689">
        <v>43068</v>
      </c>
      <c r="O96" s="690">
        <v>1369</v>
      </c>
      <c r="P96" s="34"/>
      <c r="Q96" s="1">
        <v>128</v>
      </c>
      <c r="R96" s="1">
        <v>98</v>
      </c>
      <c r="S96" s="1">
        <v>30</v>
      </c>
      <c r="U96" s="4"/>
      <c r="V96" s="1" t="s">
        <v>1943</v>
      </c>
    </row>
    <row r="97" spans="3:22" ht="18" customHeight="1">
      <c r="C97" s="54" t="s">
        <v>1942</v>
      </c>
      <c r="D97" s="50" t="s">
        <v>1850</v>
      </c>
      <c r="E97" s="47" t="s">
        <v>42</v>
      </c>
      <c r="F97" s="682"/>
      <c r="G97" s="47" t="s">
        <v>1927</v>
      </c>
      <c r="H97" s="46">
        <v>13.7</v>
      </c>
      <c r="I97" s="53">
        <v>71</v>
      </c>
      <c r="J97" s="46">
        <f>I97*H97</f>
        <v>972.69999999999993</v>
      </c>
      <c r="K97" s="695">
        <v>1.69</v>
      </c>
      <c r="L97" s="688">
        <v>43068</v>
      </c>
      <c r="M97" s="688"/>
      <c r="N97" s="689">
        <v>43068</v>
      </c>
      <c r="O97" s="690">
        <v>1369</v>
      </c>
      <c r="P97" s="34"/>
      <c r="Q97" s="1">
        <v>128</v>
      </c>
      <c r="R97" s="1">
        <v>98</v>
      </c>
      <c r="S97" s="1">
        <v>30</v>
      </c>
      <c r="U97" s="4"/>
      <c r="V97" s="1" t="s">
        <v>1943</v>
      </c>
    </row>
    <row r="98" spans="3:22" ht="18" customHeight="1">
      <c r="C98" s="54" t="s">
        <v>1942</v>
      </c>
      <c r="D98" s="50" t="s">
        <v>1850</v>
      </c>
      <c r="E98" s="47" t="s">
        <v>42</v>
      </c>
      <c r="F98" s="682"/>
      <c r="G98" s="47" t="s">
        <v>1927</v>
      </c>
      <c r="H98" s="46">
        <v>13</v>
      </c>
      <c r="I98" s="53">
        <v>10</v>
      </c>
      <c r="J98" s="46">
        <f>I98*H98</f>
        <v>130</v>
      </c>
      <c r="K98" s="695">
        <v>1.69</v>
      </c>
      <c r="L98" s="688">
        <v>43068</v>
      </c>
      <c r="M98" s="688"/>
      <c r="N98" s="689">
        <v>43068</v>
      </c>
      <c r="O98" s="690">
        <v>1369</v>
      </c>
      <c r="P98" s="34"/>
      <c r="Q98" s="1">
        <v>128</v>
      </c>
      <c r="R98" s="1">
        <v>98</v>
      </c>
      <c r="S98" s="1">
        <v>30</v>
      </c>
      <c r="U98" s="4"/>
      <c r="V98" s="1" t="s">
        <v>1943</v>
      </c>
    </row>
    <row r="99" spans="3:22" ht="18" customHeight="1">
      <c r="C99" s="4"/>
      <c r="D99" s="50"/>
      <c r="E99" s="51" t="s">
        <v>1848</v>
      </c>
      <c r="F99" s="52"/>
      <c r="G99" s="47"/>
      <c r="H99" s="46"/>
      <c r="I99" s="53"/>
      <c r="J99" s="46"/>
      <c r="K99" s="58" t="s">
        <v>8</v>
      </c>
      <c r="L99" s="688"/>
      <c r="M99" s="688"/>
      <c r="N99" s="689"/>
      <c r="O99" s="690"/>
      <c r="P99" s="34"/>
      <c r="Q99" s="50"/>
      <c r="S99" s="1" t="s">
        <v>1922</v>
      </c>
      <c r="U99" s="343"/>
    </row>
    <row r="100" spans="3:22" ht="18" customHeight="1">
      <c r="C100" s="54" t="s">
        <v>1944</v>
      </c>
      <c r="D100" s="50" t="s">
        <v>1850</v>
      </c>
      <c r="E100" s="47" t="s">
        <v>42</v>
      </c>
      <c r="F100" s="682"/>
      <c r="G100" s="47" t="s">
        <v>121</v>
      </c>
      <c r="H100" s="46">
        <v>13.7</v>
      </c>
      <c r="I100" s="53">
        <v>66</v>
      </c>
      <c r="J100" s="46">
        <f>I100*H100</f>
        <v>904.19999999999993</v>
      </c>
      <c r="K100" s="695">
        <v>1.69</v>
      </c>
      <c r="L100" s="688">
        <v>43090</v>
      </c>
      <c r="M100" s="688"/>
      <c r="N100" s="689">
        <v>43090</v>
      </c>
      <c r="O100" s="690">
        <v>1431</v>
      </c>
      <c r="P100" s="34"/>
      <c r="Q100" s="1">
        <v>128</v>
      </c>
      <c r="R100" s="1">
        <v>98</v>
      </c>
      <c r="S100" s="1">
        <v>30</v>
      </c>
      <c r="U100" s="4"/>
      <c r="V100" s="1" t="s">
        <v>1943</v>
      </c>
    </row>
    <row r="101" spans="3:22" ht="18" customHeight="1">
      <c r="C101" s="54" t="s">
        <v>1942</v>
      </c>
      <c r="D101" s="50" t="s">
        <v>1850</v>
      </c>
      <c r="E101" s="47" t="s">
        <v>42</v>
      </c>
      <c r="F101" s="682"/>
      <c r="G101" s="47" t="s">
        <v>1927</v>
      </c>
      <c r="H101" s="46">
        <v>7</v>
      </c>
      <c r="I101" s="46">
        <v>7</v>
      </c>
      <c r="J101" s="46">
        <v>7</v>
      </c>
      <c r="K101" s="697">
        <v>-11.83</v>
      </c>
      <c r="L101" s="688">
        <v>43090</v>
      </c>
      <c r="M101" s="688"/>
      <c r="N101" s="689">
        <v>43090</v>
      </c>
      <c r="O101" s="690">
        <v>1431</v>
      </c>
      <c r="P101" s="34"/>
      <c r="Q101" s="1">
        <v>128</v>
      </c>
      <c r="R101" s="1">
        <v>98</v>
      </c>
      <c r="S101" s="1">
        <v>30</v>
      </c>
      <c r="U101" s="4"/>
      <c r="V101" s="1" t="s">
        <v>1943</v>
      </c>
    </row>
    <row r="102" spans="3:22" ht="15">
      <c r="C102" s="4"/>
      <c r="D102" s="50"/>
      <c r="E102" s="51" t="s">
        <v>27</v>
      </c>
      <c r="F102" s="52"/>
      <c r="G102" s="47"/>
      <c r="H102" s="46"/>
      <c r="I102" s="53"/>
      <c r="J102" s="46"/>
      <c r="K102" s="58" t="s">
        <v>8</v>
      </c>
      <c r="L102" s="688"/>
      <c r="M102" s="688"/>
      <c r="N102" s="689"/>
      <c r="O102" s="690"/>
      <c r="P102" s="34"/>
      <c r="Q102" s="50"/>
      <c r="S102" s="1" t="s">
        <v>1922</v>
      </c>
      <c r="U102" s="343"/>
    </row>
    <row r="103" spans="3:22" ht="18" customHeight="1">
      <c r="C103" s="54" t="s">
        <v>1945</v>
      </c>
      <c r="D103" s="50" t="s">
        <v>1946</v>
      </c>
      <c r="E103" s="47" t="s">
        <v>1947</v>
      </c>
      <c r="F103" s="682"/>
      <c r="G103" s="47" t="s">
        <v>1892</v>
      </c>
      <c r="H103" s="46">
        <v>70</v>
      </c>
      <c r="I103" s="46">
        <v>70</v>
      </c>
      <c r="J103" s="46">
        <v>70</v>
      </c>
      <c r="K103" s="34">
        <v>2.78</v>
      </c>
      <c r="L103" s="688">
        <v>43075</v>
      </c>
      <c r="M103" s="688"/>
      <c r="N103" s="689">
        <v>43075</v>
      </c>
      <c r="O103" s="690" t="s">
        <v>1948</v>
      </c>
      <c r="P103" s="34"/>
      <c r="Q103" s="1">
        <v>194</v>
      </c>
      <c r="R103" s="1">
        <v>94</v>
      </c>
      <c r="S103" s="1">
        <v>100</v>
      </c>
      <c r="U103" s="4"/>
      <c r="V103" s="1" t="s">
        <v>1949</v>
      </c>
    </row>
    <row r="104" spans="3:22" ht="18" customHeight="1">
      <c r="C104" s="54" t="s">
        <v>1945</v>
      </c>
      <c r="D104" s="50" t="s">
        <v>1946</v>
      </c>
      <c r="E104" s="47"/>
      <c r="F104" s="59"/>
      <c r="G104" s="59" t="s">
        <v>13</v>
      </c>
      <c r="H104" s="30">
        <v>1</v>
      </c>
      <c r="I104" s="53"/>
      <c r="J104" s="46"/>
      <c r="K104" s="34">
        <v>12</v>
      </c>
      <c r="L104" s="688">
        <v>43075</v>
      </c>
      <c r="M104" s="688"/>
      <c r="N104" s="689">
        <v>43075</v>
      </c>
      <c r="O104" s="690" t="s">
        <v>1948</v>
      </c>
      <c r="P104" s="34">
        <v>12</v>
      </c>
      <c r="Q104" s="683"/>
      <c r="U104" s="4"/>
    </row>
    <row r="105" spans="3:22" ht="15">
      <c r="C105" s="4"/>
      <c r="D105" s="50"/>
      <c r="E105" s="51" t="s">
        <v>27</v>
      </c>
      <c r="F105" s="52"/>
      <c r="G105" s="47"/>
      <c r="H105" s="46"/>
      <c r="I105" s="53"/>
      <c r="J105" s="46"/>
      <c r="K105" s="58" t="s">
        <v>8</v>
      </c>
      <c r="L105" s="688"/>
      <c r="M105" s="688"/>
      <c r="N105" s="689"/>
      <c r="O105" s="690"/>
      <c r="P105" s="34"/>
      <c r="Q105" s="50"/>
      <c r="S105" s="1" t="s">
        <v>1922</v>
      </c>
      <c r="U105" s="343"/>
    </row>
    <row r="106" spans="3:22" ht="18" customHeight="1">
      <c r="C106" s="54" t="s">
        <v>1950</v>
      </c>
      <c r="D106" s="50" t="s">
        <v>1946</v>
      </c>
      <c r="E106" s="47" t="s">
        <v>1951</v>
      </c>
      <c r="F106" s="682"/>
      <c r="G106" s="47" t="s">
        <v>1952</v>
      </c>
      <c r="H106" s="46">
        <v>13.7</v>
      </c>
      <c r="I106" s="53">
        <v>3</v>
      </c>
      <c r="J106" s="46">
        <f>I106*H106</f>
        <v>41.099999999999994</v>
      </c>
      <c r="K106" s="34">
        <v>3.03</v>
      </c>
      <c r="L106" s="688">
        <v>43075</v>
      </c>
      <c r="M106" s="688"/>
      <c r="N106" s="689">
        <v>43075</v>
      </c>
      <c r="O106" s="690" t="s">
        <v>1948</v>
      </c>
      <c r="P106" s="34"/>
      <c r="Q106" s="1">
        <v>212</v>
      </c>
      <c r="R106" s="1">
        <v>182</v>
      </c>
      <c r="S106" s="1">
        <v>30</v>
      </c>
      <c r="U106" s="4"/>
    </row>
    <row r="107" spans="3:22" ht="18" customHeight="1">
      <c r="C107" s="54" t="s">
        <v>1945</v>
      </c>
      <c r="D107" s="50" t="s">
        <v>1946</v>
      </c>
      <c r="E107" s="47"/>
      <c r="F107" s="59"/>
      <c r="G107" s="59" t="s">
        <v>13</v>
      </c>
      <c r="H107" s="30">
        <v>1</v>
      </c>
      <c r="I107" s="53"/>
      <c r="J107" s="46"/>
      <c r="K107" s="34">
        <v>12</v>
      </c>
      <c r="L107" s="688">
        <v>43075</v>
      </c>
      <c r="M107" s="688"/>
      <c r="N107" s="689">
        <v>43075</v>
      </c>
      <c r="O107" s="690" t="s">
        <v>1948</v>
      </c>
      <c r="P107" s="34">
        <v>12</v>
      </c>
      <c r="Q107" s="683"/>
      <c r="U107" s="4"/>
    </row>
    <row r="108" spans="3:22" ht="18" customHeight="1">
      <c r="C108" s="4"/>
      <c r="D108" s="50"/>
      <c r="E108" s="51" t="s">
        <v>1848</v>
      </c>
      <c r="F108" s="52"/>
      <c r="G108" s="47"/>
      <c r="H108" s="46"/>
      <c r="I108" s="53"/>
      <c r="J108" s="46"/>
      <c r="K108" s="58" t="s">
        <v>8</v>
      </c>
      <c r="L108" s="688"/>
      <c r="M108" s="688"/>
      <c r="N108" s="689"/>
      <c r="O108" s="698"/>
      <c r="P108" s="34"/>
      <c r="Q108" s="50"/>
      <c r="S108" s="1" t="s">
        <v>1922</v>
      </c>
      <c r="U108" s="343"/>
    </row>
    <row r="109" spans="3:22" ht="18" customHeight="1">
      <c r="C109" s="54"/>
      <c r="D109" s="50" t="s">
        <v>1850</v>
      </c>
      <c r="E109" s="47" t="s">
        <v>1953</v>
      </c>
      <c r="F109" s="682"/>
      <c r="G109" s="47" t="s">
        <v>46</v>
      </c>
      <c r="H109" s="46">
        <v>14</v>
      </c>
      <c r="I109" s="53">
        <v>1</v>
      </c>
      <c r="J109" s="46">
        <f>H109*I109</f>
        <v>14</v>
      </c>
      <c r="K109" s="695">
        <v>1.1000000000000001</v>
      </c>
      <c r="L109" s="688">
        <v>43068</v>
      </c>
      <c r="M109" s="688"/>
      <c r="N109" s="689">
        <v>43068</v>
      </c>
      <c r="O109" s="690" t="s">
        <v>1954</v>
      </c>
      <c r="P109" s="34"/>
      <c r="Q109" s="1">
        <v>87</v>
      </c>
      <c r="R109" s="1">
        <v>57</v>
      </c>
      <c r="S109" s="1">
        <v>30</v>
      </c>
      <c r="U109" s="4"/>
    </row>
    <row r="110" spans="3:22" ht="18" customHeight="1">
      <c r="C110" s="54"/>
      <c r="D110" s="50" t="s">
        <v>1850</v>
      </c>
      <c r="E110" s="47" t="s">
        <v>1953</v>
      </c>
      <c r="F110" s="682"/>
      <c r="G110" s="47" t="s">
        <v>20</v>
      </c>
      <c r="H110" s="46">
        <v>14</v>
      </c>
      <c r="I110" s="53">
        <v>1</v>
      </c>
      <c r="J110" s="46">
        <f>H110*I110</f>
        <v>14</v>
      </c>
      <c r="K110" s="695">
        <v>1.1000000000000001</v>
      </c>
      <c r="L110" s="688">
        <v>43074</v>
      </c>
      <c r="M110" s="688"/>
      <c r="N110" s="689">
        <v>43074</v>
      </c>
      <c r="O110" s="690" t="s">
        <v>1955</v>
      </c>
      <c r="P110" s="34"/>
      <c r="Q110" s="1">
        <v>87</v>
      </c>
      <c r="R110" s="1">
        <v>57</v>
      </c>
      <c r="S110" s="1">
        <v>30</v>
      </c>
      <c r="U110" s="4"/>
    </row>
    <row r="111" spans="3:22" ht="15">
      <c r="C111" s="4"/>
      <c r="D111" s="50"/>
      <c r="E111" s="51" t="s">
        <v>27</v>
      </c>
      <c r="F111" s="52"/>
      <c r="G111" s="47"/>
      <c r="H111" s="46"/>
      <c r="I111" s="53"/>
      <c r="J111" s="46"/>
      <c r="K111" s="58" t="s">
        <v>8</v>
      </c>
      <c r="L111" s="688"/>
      <c r="M111" s="688"/>
      <c r="N111" s="689"/>
      <c r="O111" s="698"/>
      <c r="P111" s="34"/>
      <c r="Q111" s="50"/>
      <c r="U111" s="343"/>
    </row>
    <row r="112" spans="3:22" ht="18" customHeight="1">
      <c r="C112" s="54"/>
      <c r="D112" s="50" t="s">
        <v>1956</v>
      </c>
      <c r="E112" s="47" t="s">
        <v>1957</v>
      </c>
      <c r="F112" s="682"/>
      <c r="G112" s="47" t="s">
        <v>1958</v>
      </c>
      <c r="H112" s="46">
        <v>30</v>
      </c>
      <c r="I112" s="46">
        <v>30</v>
      </c>
      <c r="J112" s="46">
        <v>30</v>
      </c>
      <c r="K112" s="34">
        <v>1.5</v>
      </c>
      <c r="L112" s="688">
        <v>43073</v>
      </c>
      <c r="M112" s="688"/>
      <c r="N112" s="689">
        <v>43073</v>
      </c>
      <c r="O112" s="690" t="s">
        <v>1959</v>
      </c>
      <c r="P112" s="34"/>
      <c r="R112" s="1">
        <v>105</v>
      </c>
      <c r="U112" s="4"/>
    </row>
    <row r="113" spans="3:21" ht="18" customHeight="1">
      <c r="C113" s="54"/>
      <c r="D113" s="50" t="s">
        <v>1956</v>
      </c>
      <c r="E113" s="47" t="s">
        <v>1957</v>
      </c>
      <c r="F113" s="682"/>
      <c r="G113" s="47" t="s">
        <v>1960</v>
      </c>
      <c r="H113" s="46">
        <v>30</v>
      </c>
      <c r="I113" s="46">
        <v>30</v>
      </c>
      <c r="J113" s="46">
        <v>30</v>
      </c>
      <c r="K113" s="34">
        <v>1.5</v>
      </c>
      <c r="L113" s="688">
        <v>43073</v>
      </c>
      <c r="M113" s="688"/>
      <c r="N113" s="689">
        <v>43073</v>
      </c>
      <c r="O113" s="690" t="s">
        <v>1959</v>
      </c>
      <c r="P113" s="34"/>
      <c r="R113" s="1">
        <v>105</v>
      </c>
      <c r="U113" s="4"/>
    </row>
    <row r="114" spans="3:21" ht="18" customHeight="1">
      <c r="C114" s="54"/>
      <c r="D114" s="50" t="s">
        <v>1956</v>
      </c>
      <c r="E114" s="61"/>
      <c r="F114" s="59"/>
      <c r="G114" s="59" t="s">
        <v>13</v>
      </c>
      <c r="H114" s="30">
        <v>1</v>
      </c>
      <c r="I114" s="53"/>
      <c r="J114" s="46"/>
      <c r="K114" s="34">
        <v>12</v>
      </c>
      <c r="L114" s="688">
        <v>43073</v>
      </c>
      <c r="M114" s="688"/>
      <c r="N114" s="689">
        <v>43073</v>
      </c>
      <c r="O114" s="690" t="s">
        <v>1959</v>
      </c>
      <c r="P114" s="34"/>
      <c r="Q114" s="683"/>
      <c r="U114" s="4"/>
    </row>
    <row r="115" spans="3:21" ht="18" customHeight="1">
      <c r="C115" s="4"/>
      <c r="D115" s="50"/>
      <c r="E115" s="51" t="s">
        <v>27</v>
      </c>
      <c r="F115" s="52"/>
      <c r="G115" s="47"/>
      <c r="H115" s="46"/>
      <c r="I115" s="53"/>
      <c r="J115" s="46"/>
      <c r="K115" s="58" t="s">
        <v>8</v>
      </c>
      <c r="L115" s="688"/>
      <c r="M115" s="688"/>
      <c r="N115" s="689"/>
      <c r="O115" s="690"/>
      <c r="P115" s="34"/>
      <c r="Q115" s="50"/>
      <c r="R115" t="s">
        <v>1961</v>
      </c>
      <c r="U115" s="343"/>
    </row>
    <row r="116" spans="3:21" ht="18" customHeight="1">
      <c r="C116" s="54" t="s">
        <v>1962</v>
      </c>
      <c r="D116" s="50" t="s">
        <v>1850</v>
      </c>
      <c r="E116" s="47" t="s">
        <v>1963</v>
      </c>
      <c r="F116" s="682"/>
      <c r="G116" s="47" t="s">
        <v>1964</v>
      </c>
      <c r="H116" s="46">
        <v>13.7</v>
      </c>
      <c r="I116" s="53">
        <v>329</v>
      </c>
      <c r="J116" s="46">
        <f>I116*H116</f>
        <v>4507.3</v>
      </c>
      <c r="K116" s="695">
        <v>1.9</v>
      </c>
      <c r="L116" s="688">
        <v>43105</v>
      </c>
      <c r="M116" s="688"/>
      <c r="N116" s="689">
        <v>43105</v>
      </c>
      <c r="O116" s="690">
        <v>1445</v>
      </c>
      <c r="P116" s="34"/>
      <c r="R116" s="1">
        <v>150</v>
      </c>
      <c r="U116" s="4"/>
    </row>
    <row r="117" spans="3:21" ht="18" customHeight="1">
      <c r="C117" s="54" t="s">
        <v>1962</v>
      </c>
      <c r="D117" s="50" t="s">
        <v>1850</v>
      </c>
      <c r="E117" s="47" t="s">
        <v>1963</v>
      </c>
      <c r="F117" s="682"/>
      <c r="G117" s="47" t="s">
        <v>1965</v>
      </c>
      <c r="H117" s="46">
        <v>13.7</v>
      </c>
      <c r="I117" s="53">
        <v>220</v>
      </c>
      <c r="J117" s="46">
        <f>I117*H117</f>
        <v>3014</v>
      </c>
      <c r="K117" s="695">
        <v>1.9</v>
      </c>
      <c r="L117" s="688">
        <v>43125</v>
      </c>
      <c r="M117" s="688"/>
      <c r="N117" s="689">
        <v>43125</v>
      </c>
      <c r="O117" s="690">
        <v>1481</v>
      </c>
      <c r="P117" s="34"/>
      <c r="R117" s="1">
        <v>150</v>
      </c>
      <c r="U117" s="4"/>
    </row>
    <row r="118" spans="3:21" ht="18" customHeight="1">
      <c r="C118" s="54" t="s">
        <v>1962</v>
      </c>
      <c r="D118" s="50" t="s">
        <v>1850</v>
      </c>
      <c r="E118" s="47" t="s">
        <v>1963</v>
      </c>
      <c r="F118" s="682"/>
      <c r="G118" s="47" t="s">
        <v>1966</v>
      </c>
      <c r="H118" s="46">
        <v>13.7</v>
      </c>
      <c r="I118" s="53">
        <v>251</v>
      </c>
      <c r="J118" s="46">
        <v>3055.1</v>
      </c>
      <c r="K118" s="695">
        <v>1.9</v>
      </c>
      <c r="L118" s="688">
        <v>43118</v>
      </c>
      <c r="M118" s="688"/>
      <c r="N118" s="689">
        <v>43118</v>
      </c>
      <c r="O118" s="690">
        <v>1470</v>
      </c>
      <c r="P118" s="34"/>
      <c r="R118" s="1">
        <v>150</v>
      </c>
      <c r="U118" s="4"/>
    </row>
    <row r="119" spans="3:21" ht="18" customHeight="1">
      <c r="C119" s="54" t="s">
        <v>1962</v>
      </c>
      <c r="D119" s="50" t="s">
        <v>1850</v>
      </c>
      <c r="E119" s="47" t="s">
        <v>1963</v>
      </c>
      <c r="F119" s="682"/>
      <c r="G119" s="47" t="s">
        <v>1967</v>
      </c>
      <c r="H119" s="46">
        <v>13.7</v>
      </c>
      <c r="I119" s="53">
        <v>251</v>
      </c>
      <c r="J119" s="46">
        <v>383.6</v>
      </c>
      <c r="K119" s="695">
        <v>1.9</v>
      </c>
      <c r="L119" s="688">
        <v>43118</v>
      </c>
      <c r="M119" s="688"/>
      <c r="N119" s="689">
        <v>43118</v>
      </c>
      <c r="O119" s="690">
        <v>1470</v>
      </c>
      <c r="P119" s="34"/>
      <c r="R119" s="1">
        <v>150</v>
      </c>
      <c r="U119" s="4"/>
    </row>
    <row r="120" spans="3:21" ht="18" customHeight="1">
      <c r="C120" s="54" t="s">
        <v>1962</v>
      </c>
      <c r="D120" s="50" t="s">
        <v>1850</v>
      </c>
      <c r="E120" s="47" t="s">
        <v>1963</v>
      </c>
      <c r="F120" s="682"/>
      <c r="G120" s="47" t="s">
        <v>1968</v>
      </c>
      <c r="H120" s="46">
        <v>13.7</v>
      </c>
      <c r="I120" s="53">
        <v>154</v>
      </c>
      <c r="J120" s="46">
        <f>I120*H120</f>
        <v>2109.7999999999997</v>
      </c>
      <c r="K120" s="695">
        <v>1.9</v>
      </c>
      <c r="L120" s="688">
        <v>43118</v>
      </c>
      <c r="M120" s="688"/>
      <c r="N120" s="689">
        <v>43118</v>
      </c>
      <c r="O120" s="690">
        <v>1470</v>
      </c>
      <c r="P120" s="34"/>
      <c r="R120" s="1">
        <v>150</v>
      </c>
      <c r="U120" s="4"/>
    </row>
    <row r="121" spans="3:21" ht="18.75" customHeight="1">
      <c r="C121" s="54" t="s">
        <v>1962</v>
      </c>
      <c r="D121" s="50" t="s">
        <v>1850</v>
      </c>
      <c r="E121" s="47" t="s">
        <v>1953</v>
      </c>
      <c r="F121" s="682"/>
      <c r="G121" s="47" t="s">
        <v>1924</v>
      </c>
      <c r="H121" s="46">
        <v>14</v>
      </c>
      <c r="I121" s="53">
        <v>186</v>
      </c>
      <c r="J121" s="46">
        <f>I121*H121</f>
        <v>2604</v>
      </c>
      <c r="K121" s="695">
        <v>1.08</v>
      </c>
      <c r="L121" s="688">
        <v>43105</v>
      </c>
      <c r="M121" s="688"/>
      <c r="N121" s="689">
        <v>43105</v>
      </c>
      <c r="O121" s="690">
        <v>1446</v>
      </c>
      <c r="P121" s="34"/>
      <c r="R121" s="1">
        <v>85</v>
      </c>
      <c r="U121" s="4"/>
    </row>
    <row r="122" spans="3:21" ht="18.75" customHeight="1">
      <c r="C122" s="54" t="s">
        <v>1962</v>
      </c>
      <c r="D122" s="50" t="s">
        <v>1850</v>
      </c>
      <c r="E122" s="47" t="s">
        <v>1953</v>
      </c>
      <c r="F122" s="682"/>
      <c r="G122" s="47" t="s">
        <v>1940</v>
      </c>
      <c r="H122" s="46">
        <v>14</v>
      </c>
      <c r="I122" s="53">
        <v>143</v>
      </c>
      <c r="J122" s="46">
        <f>I122*H122</f>
        <v>2002</v>
      </c>
      <c r="K122" s="695">
        <v>1.08</v>
      </c>
      <c r="L122" s="688">
        <v>43105</v>
      </c>
      <c r="M122" s="688"/>
      <c r="N122" s="689">
        <v>43105</v>
      </c>
      <c r="O122" s="690">
        <v>1445</v>
      </c>
      <c r="P122" s="34"/>
      <c r="R122" s="1">
        <v>57</v>
      </c>
      <c r="U122" s="4"/>
    </row>
    <row r="123" spans="3:21" ht="18.75" customHeight="1">
      <c r="C123" s="54" t="s">
        <v>1962</v>
      </c>
      <c r="D123" s="50" t="s">
        <v>1850</v>
      </c>
      <c r="E123" s="47" t="s">
        <v>1953</v>
      </c>
      <c r="F123" s="682"/>
      <c r="G123" s="47" t="s">
        <v>1969</v>
      </c>
      <c r="H123" s="46">
        <v>14</v>
      </c>
      <c r="I123" s="53">
        <v>143</v>
      </c>
      <c r="J123" s="46">
        <f>I123*H123</f>
        <v>2002</v>
      </c>
      <c r="K123" s="695">
        <v>1.08</v>
      </c>
      <c r="L123" s="688">
        <v>43111</v>
      </c>
      <c r="M123" s="688"/>
      <c r="N123" s="689">
        <v>43111</v>
      </c>
      <c r="O123" s="690">
        <v>1455</v>
      </c>
      <c r="P123" s="34"/>
      <c r="R123" s="1">
        <v>85</v>
      </c>
      <c r="U123" s="4"/>
    </row>
    <row r="124" spans="3:21" ht="18" customHeight="1">
      <c r="C124" s="54" t="s">
        <v>1962</v>
      </c>
      <c r="D124" s="50" t="s">
        <v>1850</v>
      </c>
      <c r="E124" s="47" t="s">
        <v>1963</v>
      </c>
      <c r="F124" s="682"/>
      <c r="G124" s="47" t="s">
        <v>1970</v>
      </c>
      <c r="H124" s="46">
        <v>13.7</v>
      </c>
      <c r="I124" s="53">
        <v>19</v>
      </c>
      <c r="J124" s="46">
        <f>H124*I124</f>
        <v>260.3</v>
      </c>
      <c r="K124" s="695">
        <v>1.9</v>
      </c>
      <c r="L124" s="688">
        <v>43132</v>
      </c>
      <c r="M124" s="688"/>
      <c r="N124" s="689">
        <v>43132</v>
      </c>
      <c r="O124" s="690">
        <v>1488</v>
      </c>
      <c r="P124" s="34"/>
      <c r="R124" s="1">
        <v>150</v>
      </c>
      <c r="U124" s="4"/>
    </row>
    <row r="125" spans="3:21" ht="18" customHeight="1">
      <c r="C125" s="54" t="s">
        <v>1962</v>
      </c>
      <c r="D125" s="50" t="s">
        <v>1850</v>
      </c>
      <c r="E125" s="47" t="s">
        <v>1963</v>
      </c>
      <c r="F125" s="682"/>
      <c r="G125" s="47" t="s">
        <v>1971</v>
      </c>
      <c r="H125" s="46">
        <v>13.7</v>
      </c>
      <c r="I125" s="53">
        <v>12</v>
      </c>
      <c r="J125" s="46">
        <f>H125*I125</f>
        <v>164.39999999999998</v>
      </c>
      <c r="K125" s="695">
        <v>1.9</v>
      </c>
      <c r="L125" s="688">
        <v>43126</v>
      </c>
      <c r="M125" s="688"/>
      <c r="N125" s="689">
        <v>43126</v>
      </c>
      <c r="O125" s="690">
        <v>1483</v>
      </c>
      <c r="P125" s="34"/>
      <c r="R125" s="1">
        <v>150</v>
      </c>
      <c r="U125" s="4"/>
    </row>
    <row r="126" spans="3:21" ht="18" customHeight="1">
      <c r="C126" s="4"/>
      <c r="D126" s="50"/>
      <c r="E126" s="51" t="s">
        <v>27</v>
      </c>
      <c r="F126" s="52"/>
      <c r="G126" s="47"/>
      <c r="H126" s="46"/>
      <c r="I126" s="53"/>
      <c r="J126" s="46"/>
      <c r="K126" s="58" t="s">
        <v>8</v>
      </c>
      <c r="L126" s="688"/>
      <c r="M126" s="688"/>
      <c r="N126" s="689"/>
      <c r="O126" s="690"/>
      <c r="P126" s="34"/>
      <c r="Q126" s="50"/>
      <c r="R126" t="s">
        <v>1961</v>
      </c>
      <c r="U126" s="343"/>
    </row>
    <row r="127" spans="3:21" ht="18" customHeight="1">
      <c r="C127" s="54" t="s">
        <v>1972</v>
      </c>
      <c r="D127" s="50" t="s">
        <v>1850</v>
      </c>
      <c r="E127" s="47" t="s">
        <v>1963</v>
      </c>
      <c r="F127" s="682"/>
      <c r="G127" s="47" t="s">
        <v>1964</v>
      </c>
      <c r="H127" s="46">
        <v>13.7</v>
      </c>
      <c r="I127" s="53">
        <v>1</v>
      </c>
      <c r="J127" s="46">
        <f t="shared" ref="J127:J133" si="0">I127*H127</f>
        <v>13.7</v>
      </c>
      <c r="K127" s="695">
        <v>1.9</v>
      </c>
      <c r="L127" s="688">
        <v>43091</v>
      </c>
      <c r="M127" s="688"/>
      <c r="N127" s="689">
        <v>43091</v>
      </c>
      <c r="O127" s="690" t="s">
        <v>1973</v>
      </c>
      <c r="P127" s="34"/>
      <c r="R127" s="1">
        <v>150</v>
      </c>
      <c r="U127" s="4"/>
    </row>
    <row r="128" spans="3:21" ht="18" customHeight="1">
      <c r="C128" s="54" t="s">
        <v>1972</v>
      </c>
      <c r="D128" s="50" t="s">
        <v>1850</v>
      </c>
      <c r="E128" s="47" t="s">
        <v>1963</v>
      </c>
      <c r="F128" s="682"/>
      <c r="G128" s="47" t="s">
        <v>1965</v>
      </c>
      <c r="H128" s="46">
        <v>13.7</v>
      </c>
      <c r="I128" s="53">
        <v>1</v>
      </c>
      <c r="J128" s="46">
        <f t="shared" si="0"/>
        <v>13.7</v>
      </c>
      <c r="K128" s="695">
        <v>1.9</v>
      </c>
      <c r="L128" s="688">
        <v>43089</v>
      </c>
      <c r="M128" s="688"/>
      <c r="N128" s="689">
        <v>43089</v>
      </c>
      <c r="O128" s="690" t="s">
        <v>1974</v>
      </c>
      <c r="P128" s="34"/>
      <c r="R128" s="1">
        <v>150</v>
      </c>
      <c r="U128" s="4"/>
    </row>
    <row r="129" spans="3:22" ht="18" customHeight="1">
      <c r="C129" s="54" t="s">
        <v>1972</v>
      </c>
      <c r="D129" s="50" t="s">
        <v>1850</v>
      </c>
      <c r="E129" s="47" t="s">
        <v>1963</v>
      </c>
      <c r="F129" s="682"/>
      <c r="G129" s="47" t="s">
        <v>1975</v>
      </c>
      <c r="H129" s="46">
        <v>13.7</v>
      </c>
      <c r="I129" s="53">
        <v>1</v>
      </c>
      <c r="J129" s="46">
        <f t="shared" si="0"/>
        <v>13.7</v>
      </c>
      <c r="K129" s="695">
        <v>1.9</v>
      </c>
      <c r="L129" s="688">
        <v>43089</v>
      </c>
      <c r="M129" s="688"/>
      <c r="N129" s="689">
        <v>43089</v>
      </c>
      <c r="O129" s="690" t="s">
        <v>1974</v>
      </c>
      <c r="P129" s="34"/>
      <c r="R129" s="1">
        <v>150</v>
      </c>
      <c r="U129" s="4"/>
    </row>
    <row r="130" spans="3:22" ht="18" customHeight="1">
      <c r="C130" s="54" t="s">
        <v>1972</v>
      </c>
      <c r="D130" s="50" t="s">
        <v>1850</v>
      </c>
      <c r="E130" s="47" t="s">
        <v>1963</v>
      </c>
      <c r="F130" s="682"/>
      <c r="G130" s="47" t="s">
        <v>1976</v>
      </c>
      <c r="H130" s="46">
        <v>13.7</v>
      </c>
      <c r="I130" s="53">
        <v>1</v>
      </c>
      <c r="J130" s="46">
        <f t="shared" si="0"/>
        <v>13.7</v>
      </c>
      <c r="K130" s="695">
        <v>1.9</v>
      </c>
      <c r="L130" s="688">
        <v>43089</v>
      </c>
      <c r="M130" s="688"/>
      <c r="N130" s="689">
        <v>43089</v>
      </c>
      <c r="O130" s="690" t="s">
        <v>1974</v>
      </c>
      <c r="P130" s="34"/>
      <c r="R130" s="1">
        <v>150</v>
      </c>
      <c r="U130" s="4"/>
    </row>
    <row r="131" spans="3:22" ht="18.75" customHeight="1">
      <c r="C131" s="54" t="s">
        <v>1972</v>
      </c>
      <c r="D131" s="50" t="s">
        <v>1850</v>
      </c>
      <c r="E131" s="47" t="s">
        <v>1953</v>
      </c>
      <c r="F131" s="682"/>
      <c r="G131" s="47" t="s">
        <v>1924</v>
      </c>
      <c r="H131" s="46">
        <v>14</v>
      </c>
      <c r="I131" s="53">
        <v>1</v>
      </c>
      <c r="J131" s="46">
        <f t="shared" si="0"/>
        <v>14</v>
      </c>
      <c r="K131" s="695">
        <v>1.08</v>
      </c>
      <c r="L131" s="688">
        <v>43091</v>
      </c>
      <c r="M131" s="688"/>
      <c r="N131" s="689">
        <v>43091</v>
      </c>
      <c r="O131" s="690" t="s">
        <v>1973</v>
      </c>
      <c r="P131" s="34"/>
      <c r="R131" s="1">
        <v>85</v>
      </c>
      <c r="U131" s="4"/>
    </row>
    <row r="132" spans="3:22" ht="18.75" customHeight="1">
      <c r="C132" s="54" t="s">
        <v>1972</v>
      </c>
      <c r="D132" s="50" t="s">
        <v>1850</v>
      </c>
      <c r="E132" s="47" t="s">
        <v>1953</v>
      </c>
      <c r="F132" s="682"/>
      <c r="G132" s="47" t="s">
        <v>1940</v>
      </c>
      <c r="H132" s="46">
        <v>14</v>
      </c>
      <c r="I132" s="53">
        <v>1</v>
      </c>
      <c r="J132" s="46">
        <f t="shared" si="0"/>
        <v>14</v>
      </c>
      <c r="K132" s="695">
        <v>1.08</v>
      </c>
      <c r="L132" s="688">
        <v>43089</v>
      </c>
      <c r="M132" s="688"/>
      <c r="N132" s="689">
        <v>43089</v>
      </c>
      <c r="O132" s="690" t="s">
        <v>1974</v>
      </c>
      <c r="P132" s="34"/>
      <c r="R132" s="1">
        <v>57</v>
      </c>
      <c r="U132" s="4"/>
    </row>
    <row r="133" spans="3:22" ht="18.75" customHeight="1">
      <c r="C133" s="54" t="s">
        <v>1972</v>
      </c>
      <c r="D133" s="50" t="s">
        <v>1850</v>
      </c>
      <c r="E133" s="47" t="s">
        <v>1953</v>
      </c>
      <c r="F133" s="682"/>
      <c r="G133" s="47" t="s">
        <v>1969</v>
      </c>
      <c r="H133" s="46">
        <v>14</v>
      </c>
      <c r="I133" s="53">
        <v>1</v>
      </c>
      <c r="J133" s="46">
        <f t="shared" si="0"/>
        <v>14</v>
      </c>
      <c r="K133" s="695">
        <v>1.08</v>
      </c>
      <c r="L133" s="688">
        <v>43089</v>
      </c>
      <c r="M133" s="688"/>
      <c r="N133" s="689">
        <v>43089</v>
      </c>
      <c r="O133" s="690" t="s">
        <v>1974</v>
      </c>
      <c r="P133" s="34"/>
      <c r="R133" s="1">
        <v>87</v>
      </c>
      <c r="U133" s="4"/>
    </row>
    <row r="134" spans="3:22" ht="18" customHeight="1">
      <c r="C134" s="4"/>
      <c r="D134" s="50"/>
      <c r="E134" s="51" t="s">
        <v>1848</v>
      </c>
      <c r="F134" s="52"/>
      <c r="G134" s="47"/>
      <c r="H134" s="46"/>
      <c r="I134" s="53"/>
      <c r="J134" s="46"/>
      <c r="K134" s="58" t="s">
        <v>8</v>
      </c>
      <c r="L134" s="688"/>
      <c r="M134" s="688"/>
      <c r="N134" s="689"/>
      <c r="O134" s="690"/>
      <c r="P134" s="34"/>
      <c r="Q134" s="50"/>
      <c r="R134"/>
      <c r="S134"/>
      <c r="T134" s="1304"/>
      <c r="U134" s="343"/>
    </row>
    <row r="135" spans="3:22" ht="18" customHeight="1">
      <c r="C135" s="54" t="s">
        <v>1977</v>
      </c>
      <c r="D135" s="50" t="s">
        <v>1850</v>
      </c>
      <c r="E135" s="47" t="s">
        <v>238</v>
      </c>
      <c r="F135" s="682"/>
      <c r="G135" s="47" t="s">
        <v>1940</v>
      </c>
      <c r="H135" s="46">
        <v>14</v>
      </c>
      <c r="I135" s="53">
        <v>86</v>
      </c>
      <c r="J135" s="46">
        <f>I135*H135</f>
        <v>1204</v>
      </c>
      <c r="K135" s="695">
        <v>1.58</v>
      </c>
      <c r="L135" s="688">
        <v>43111</v>
      </c>
      <c r="M135" s="688"/>
      <c r="N135" s="689">
        <v>43111</v>
      </c>
      <c r="O135" s="690">
        <v>1457</v>
      </c>
      <c r="P135" s="34"/>
      <c r="R135" s="1">
        <v>100</v>
      </c>
      <c r="U135" s="4"/>
    </row>
    <row r="136" spans="3:22" ht="18" customHeight="1">
      <c r="C136" s="54" t="s">
        <v>1977</v>
      </c>
      <c r="D136" s="50" t="s">
        <v>1850</v>
      </c>
      <c r="E136" s="47" t="s">
        <v>238</v>
      </c>
      <c r="F136" s="682"/>
      <c r="G136" s="47" t="s">
        <v>1941</v>
      </c>
      <c r="H136" s="46">
        <v>14</v>
      </c>
      <c r="I136" s="53">
        <v>57</v>
      </c>
      <c r="J136" s="46">
        <f>I136*H136</f>
        <v>798</v>
      </c>
      <c r="K136" s="695">
        <v>1.58</v>
      </c>
      <c r="L136" s="688">
        <v>43111</v>
      </c>
      <c r="M136" s="688"/>
      <c r="N136" s="689">
        <v>43111</v>
      </c>
      <c r="O136" s="690">
        <v>1457</v>
      </c>
      <c r="P136" s="34"/>
      <c r="R136" s="1">
        <v>125</v>
      </c>
      <c r="S136" t="s">
        <v>1961</v>
      </c>
      <c r="T136" s="1304"/>
      <c r="U136" s="4"/>
    </row>
    <row r="137" spans="3:22" ht="18" customHeight="1">
      <c r="C137" s="4"/>
      <c r="D137" s="50"/>
      <c r="E137" s="51" t="s">
        <v>1978</v>
      </c>
      <c r="F137" s="52"/>
      <c r="G137" s="47"/>
      <c r="H137" s="46"/>
      <c r="I137" s="53"/>
      <c r="J137" s="46"/>
      <c r="K137" s="58" t="s">
        <v>8</v>
      </c>
      <c r="L137" s="33"/>
      <c r="M137" s="33"/>
      <c r="N137" s="115"/>
      <c r="O137" s="32"/>
      <c r="P137" s="34"/>
      <c r="Q137" s="50"/>
      <c r="U137" s="343"/>
    </row>
    <row r="138" spans="3:22" ht="18" customHeight="1">
      <c r="C138" s="54"/>
      <c r="D138" s="50" t="s">
        <v>1979</v>
      </c>
      <c r="E138" s="47">
        <v>1966</v>
      </c>
      <c r="F138" s="682"/>
      <c r="G138" s="47" t="s">
        <v>219</v>
      </c>
      <c r="H138" s="46">
        <v>30</v>
      </c>
      <c r="I138" s="53">
        <v>1</v>
      </c>
      <c r="J138" s="46">
        <f>I138*H138</f>
        <v>30</v>
      </c>
      <c r="K138" s="34">
        <v>0.69</v>
      </c>
      <c r="L138" s="688">
        <v>43075</v>
      </c>
      <c r="M138" s="688"/>
      <c r="N138" s="689">
        <v>43075</v>
      </c>
      <c r="O138" s="690" t="s">
        <v>1980</v>
      </c>
      <c r="P138" s="34"/>
      <c r="Q138" s="683"/>
      <c r="R138" s="1">
        <v>41</v>
      </c>
      <c r="U138" s="4"/>
    </row>
    <row r="139" spans="3:22" ht="18" customHeight="1">
      <c r="C139" s="54"/>
      <c r="D139" s="50" t="s">
        <v>1979</v>
      </c>
      <c r="E139" s="61"/>
      <c r="F139" s="59"/>
      <c r="G139" s="59" t="s">
        <v>13</v>
      </c>
      <c r="H139" s="30">
        <v>1</v>
      </c>
      <c r="I139" s="53"/>
      <c r="J139" s="46"/>
      <c r="K139" s="34">
        <v>12</v>
      </c>
      <c r="L139" s="688">
        <v>43075</v>
      </c>
      <c r="M139" s="688"/>
      <c r="N139" s="689">
        <v>43075</v>
      </c>
      <c r="O139" s="690" t="s">
        <v>1980</v>
      </c>
      <c r="P139" s="34"/>
      <c r="Q139" s="683"/>
      <c r="U139" s="4"/>
    </row>
    <row r="140" spans="3:22" ht="18" customHeight="1">
      <c r="C140" s="4"/>
      <c r="D140" s="50"/>
      <c r="E140" s="51" t="s">
        <v>27</v>
      </c>
      <c r="F140" s="52"/>
      <c r="G140" s="47"/>
      <c r="H140" s="46"/>
      <c r="I140" s="53"/>
      <c r="J140" s="46"/>
      <c r="K140" s="58" t="s">
        <v>8</v>
      </c>
      <c r="L140" s="688"/>
      <c r="M140" s="688"/>
      <c r="N140" s="689"/>
      <c r="O140" s="690"/>
      <c r="P140" s="34"/>
      <c r="Q140" s="50"/>
      <c r="R140"/>
      <c r="U140" s="343"/>
    </row>
    <row r="141" spans="3:22" ht="18" customHeight="1">
      <c r="C141" s="54" t="s">
        <v>1981</v>
      </c>
      <c r="D141" s="50" t="s">
        <v>1850</v>
      </c>
      <c r="E141" s="47" t="s">
        <v>185</v>
      </c>
      <c r="F141" s="682"/>
      <c r="G141" s="47" t="s">
        <v>1941</v>
      </c>
      <c r="H141" s="46">
        <v>950</v>
      </c>
      <c r="I141" s="46">
        <v>950</v>
      </c>
      <c r="J141" s="46">
        <v>950</v>
      </c>
      <c r="K141" s="695">
        <v>1.38</v>
      </c>
      <c r="L141" s="688">
        <v>43112</v>
      </c>
      <c r="M141" s="688"/>
      <c r="N141" s="689">
        <v>43112</v>
      </c>
      <c r="O141" s="690">
        <v>1459</v>
      </c>
      <c r="P141" s="34"/>
      <c r="Q141" s="1">
        <v>107</v>
      </c>
      <c r="R141" s="1">
        <v>37</v>
      </c>
      <c r="S141" s="1" t="s">
        <v>106</v>
      </c>
      <c r="U141" s="4"/>
    </row>
    <row r="142" spans="3:22" ht="18" customHeight="1">
      <c r="C142" s="4"/>
      <c r="D142" s="50"/>
      <c r="E142" s="51" t="s">
        <v>27</v>
      </c>
      <c r="F142" s="52"/>
      <c r="G142" s="47"/>
      <c r="H142" s="46"/>
      <c r="I142" s="53"/>
      <c r="J142" s="46"/>
      <c r="K142" s="58" t="s">
        <v>8</v>
      </c>
      <c r="L142" s="688"/>
      <c r="M142" s="688"/>
      <c r="N142" s="689"/>
      <c r="O142" s="690"/>
      <c r="P142" s="34"/>
      <c r="Q142" s="50"/>
      <c r="R142" t="s">
        <v>1982</v>
      </c>
      <c r="U142" s="343"/>
    </row>
    <row r="143" spans="3:22" ht="18.75" customHeight="1">
      <c r="C143" s="54" t="s">
        <v>1983</v>
      </c>
      <c r="D143" s="50" t="s">
        <v>1850</v>
      </c>
      <c r="E143" s="47" t="s">
        <v>1953</v>
      </c>
      <c r="F143" s="682"/>
      <c r="G143" s="47" t="s">
        <v>1924</v>
      </c>
      <c r="H143" s="46">
        <v>14</v>
      </c>
      <c r="I143" s="53">
        <v>15</v>
      </c>
      <c r="J143" s="46">
        <f>H143*I143</f>
        <v>210</v>
      </c>
      <c r="K143" s="695">
        <v>1.08</v>
      </c>
      <c r="L143" s="688">
        <v>43132</v>
      </c>
      <c r="M143" s="688"/>
      <c r="N143" s="689">
        <v>43132</v>
      </c>
      <c r="O143" s="690" t="s">
        <v>1984</v>
      </c>
      <c r="P143" s="34"/>
      <c r="R143" s="1">
        <v>57</v>
      </c>
      <c r="S143" s="1" t="s">
        <v>1985</v>
      </c>
      <c r="U143" s="4"/>
    </row>
    <row r="144" spans="3:22" ht="18" customHeight="1">
      <c r="C144" s="54" t="s">
        <v>1983</v>
      </c>
      <c r="D144" s="50" t="s">
        <v>1850</v>
      </c>
      <c r="E144" s="699"/>
      <c r="F144" s="59"/>
      <c r="G144" s="59" t="s">
        <v>122</v>
      </c>
      <c r="H144" s="77" t="s">
        <v>28</v>
      </c>
      <c r="I144" s="53"/>
      <c r="J144" s="46"/>
      <c r="K144" s="695">
        <v>90</v>
      </c>
      <c r="L144" s="688">
        <v>43132</v>
      </c>
      <c r="M144" s="688"/>
      <c r="N144" s="689">
        <v>43132</v>
      </c>
      <c r="O144" s="690" t="s">
        <v>1984</v>
      </c>
      <c r="P144" s="34"/>
      <c r="Q144" s="34"/>
      <c r="R144" s="700">
        <v>8000</v>
      </c>
      <c r="S144" s="25"/>
      <c r="T144" s="1305"/>
      <c r="U144" s="4"/>
      <c r="V144" s="25"/>
    </row>
    <row r="145" spans="3:22" ht="18" customHeight="1">
      <c r="C145" s="4"/>
      <c r="D145" s="50"/>
      <c r="E145" s="51" t="s">
        <v>27</v>
      </c>
      <c r="F145" s="52"/>
      <c r="G145" s="47"/>
      <c r="H145" s="46"/>
      <c r="I145" s="53"/>
      <c r="J145" s="46"/>
      <c r="K145" s="58" t="s">
        <v>8</v>
      </c>
      <c r="L145" s="688"/>
      <c r="M145" s="688"/>
      <c r="N145" s="689"/>
      <c r="O145" s="690"/>
      <c r="P145" s="34"/>
      <c r="Q145" s="50"/>
      <c r="R145" t="s">
        <v>1961</v>
      </c>
      <c r="U145" s="343"/>
    </row>
    <row r="146" spans="3:22" ht="18" customHeight="1">
      <c r="C146" s="54" t="s">
        <v>1986</v>
      </c>
      <c r="D146" s="50" t="s">
        <v>1850</v>
      </c>
      <c r="E146" s="47" t="s">
        <v>1963</v>
      </c>
      <c r="F146" s="682"/>
      <c r="G146" s="47" t="s">
        <v>1924</v>
      </c>
      <c r="H146" s="46">
        <v>13.7</v>
      </c>
      <c r="I146" s="53">
        <v>37</v>
      </c>
      <c r="J146" s="46">
        <f>H146*I146</f>
        <v>506.9</v>
      </c>
      <c r="K146" s="695">
        <v>1.9</v>
      </c>
      <c r="L146" s="688">
        <v>43132</v>
      </c>
      <c r="M146" s="688"/>
      <c r="N146" s="689">
        <v>43132</v>
      </c>
      <c r="O146" s="690">
        <v>1488</v>
      </c>
      <c r="P146" s="34"/>
      <c r="R146" s="1">
        <v>150</v>
      </c>
      <c r="U146" s="4"/>
    </row>
    <row r="147" spans="3:22" ht="18" customHeight="1">
      <c r="C147" s="54" t="s">
        <v>1986</v>
      </c>
      <c r="D147" s="50" t="s">
        <v>1850</v>
      </c>
      <c r="E147" s="47" t="s">
        <v>1963</v>
      </c>
      <c r="F147" s="682"/>
      <c r="G147" s="47" t="s">
        <v>1941</v>
      </c>
      <c r="H147" s="46">
        <v>13.7</v>
      </c>
      <c r="I147" s="53">
        <v>26</v>
      </c>
      <c r="J147" s="46">
        <f>H147*I147</f>
        <v>356.2</v>
      </c>
      <c r="K147" s="695">
        <v>1.9</v>
      </c>
      <c r="L147" s="688">
        <v>43132</v>
      </c>
      <c r="M147" s="688"/>
      <c r="N147" s="689">
        <v>43132</v>
      </c>
      <c r="O147" s="690">
        <v>1488</v>
      </c>
      <c r="P147" s="34"/>
      <c r="R147" s="1">
        <v>150</v>
      </c>
      <c r="U147" s="4"/>
    </row>
    <row r="148" spans="3:22" ht="18" customHeight="1">
      <c r="C148" s="54" t="s">
        <v>1986</v>
      </c>
      <c r="D148" s="50" t="s">
        <v>1850</v>
      </c>
      <c r="E148" s="47" t="s">
        <v>1963</v>
      </c>
      <c r="F148" s="682"/>
      <c r="G148" s="47" t="s">
        <v>1987</v>
      </c>
      <c r="H148" s="46">
        <v>13.7</v>
      </c>
      <c r="I148" s="53">
        <v>26</v>
      </c>
      <c r="J148" s="46">
        <f>H148*I148</f>
        <v>356.2</v>
      </c>
      <c r="K148" s="695">
        <v>1.9</v>
      </c>
      <c r="L148" s="688">
        <v>43126</v>
      </c>
      <c r="M148" s="688"/>
      <c r="N148" s="689">
        <v>43126</v>
      </c>
      <c r="O148" s="690">
        <v>1483</v>
      </c>
      <c r="P148" s="34"/>
      <c r="R148" s="1">
        <v>150</v>
      </c>
      <c r="U148" s="4"/>
    </row>
    <row r="149" spans="3:22" ht="18" customHeight="1">
      <c r="C149" s="54" t="s">
        <v>1986</v>
      </c>
      <c r="D149" s="50" t="s">
        <v>1850</v>
      </c>
      <c r="E149" s="47" t="s">
        <v>1963</v>
      </c>
      <c r="F149" s="682"/>
      <c r="G149" s="47" t="s">
        <v>1988</v>
      </c>
      <c r="H149" s="46">
        <v>13.7</v>
      </c>
      <c r="I149" s="53">
        <v>22</v>
      </c>
      <c r="J149" s="46">
        <f>H149*I149</f>
        <v>301.39999999999998</v>
      </c>
      <c r="K149" s="695">
        <v>1.9</v>
      </c>
      <c r="L149" s="688">
        <v>43126</v>
      </c>
      <c r="M149" s="688"/>
      <c r="N149" s="689">
        <v>43126</v>
      </c>
      <c r="O149" s="690">
        <v>1483</v>
      </c>
      <c r="P149" s="34"/>
      <c r="R149" s="1">
        <v>150</v>
      </c>
      <c r="U149" s="4"/>
    </row>
    <row r="150" spans="3:22" ht="18" customHeight="1">
      <c r="C150" s="4"/>
      <c r="D150" s="50"/>
      <c r="E150" s="51" t="s">
        <v>27</v>
      </c>
      <c r="F150" s="52"/>
      <c r="G150" s="47"/>
      <c r="H150" s="46"/>
      <c r="I150" s="53"/>
      <c r="J150" s="46"/>
      <c r="K150" s="58" t="s">
        <v>8</v>
      </c>
      <c r="L150" s="688"/>
      <c r="M150" s="688"/>
      <c r="N150" s="689"/>
      <c r="O150" s="690"/>
      <c r="P150" s="34"/>
      <c r="Q150" s="50"/>
      <c r="R150" t="s">
        <v>1961</v>
      </c>
      <c r="U150" s="343"/>
    </row>
    <row r="151" spans="3:22" ht="18" customHeight="1">
      <c r="C151" s="54" t="s">
        <v>1989</v>
      </c>
      <c r="D151" s="50" t="s">
        <v>1850</v>
      </c>
      <c r="E151" s="47" t="s">
        <v>1963</v>
      </c>
      <c r="F151" s="682"/>
      <c r="G151" s="47" t="s">
        <v>1924</v>
      </c>
      <c r="H151" s="46">
        <v>13.7</v>
      </c>
      <c r="I151" s="53">
        <v>24</v>
      </c>
      <c r="J151" s="46">
        <f>H151*I151</f>
        <v>328.79999999999995</v>
      </c>
      <c r="K151" s="695">
        <v>1.9</v>
      </c>
      <c r="L151" s="688">
        <v>43150</v>
      </c>
      <c r="M151" s="688"/>
      <c r="N151" s="689">
        <v>43150</v>
      </c>
      <c r="O151" s="690">
        <v>1504</v>
      </c>
      <c r="P151" s="34"/>
      <c r="R151" s="1">
        <v>150</v>
      </c>
      <c r="U151" s="4"/>
    </row>
    <row r="152" spans="3:22" ht="18" customHeight="1">
      <c r="C152" s="54" t="s">
        <v>1989</v>
      </c>
      <c r="D152" s="50" t="s">
        <v>1850</v>
      </c>
      <c r="E152" s="47" t="s">
        <v>1963</v>
      </c>
      <c r="F152" s="682"/>
      <c r="G152" s="47" t="s">
        <v>1941</v>
      </c>
      <c r="H152" s="46">
        <v>13.7</v>
      </c>
      <c r="I152" s="53">
        <v>10</v>
      </c>
      <c r="J152" s="46">
        <f>H152*I152</f>
        <v>137</v>
      </c>
      <c r="K152" s="695">
        <v>1.9</v>
      </c>
      <c r="L152" s="688">
        <v>43132</v>
      </c>
      <c r="M152" s="688"/>
      <c r="N152" s="689">
        <v>43132</v>
      </c>
      <c r="O152" s="690">
        <v>1488</v>
      </c>
      <c r="P152" s="34"/>
      <c r="R152" s="1">
        <v>150</v>
      </c>
      <c r="U152" s="4"/>
    </row>
    <row r="153" spans="3:22" ht="18" customHeight="1">
      <c r="C153" s="54" t="s">
        <v>1989</v>
      </c>
      <c r="D153" s="50" t="s">
        <v>1850</v>
      </c>
      <c r="E153" s="47" t="s">
        <v>1963</v>
      </c>
      <c r="F153" s="682"/>
      <c r="G153" s="47" t="s">
        <v>121</v>
      </c>
      <c r="H153" s="46">
        <v>13.7</v>
      </c>
      <c r="I153" s="53">
        <v>22</v>
      </c>
      <c r="J153" s="46">
        <f>H153*I153</f>
        <v>301.39999999999998</v>
      </c>
      <c r="K153" s="695">
        <v>1.9</v>
      </c>
      <c r="L153" s="688">
        <v>43150</v>
      </c>
      <c r="M153" s="688"/>
      <c r="N153" s="689">
        <v>43150</v>
      </c>
      <c r="O153" s="690">
        <v>1504</v>
      </c>
      <c r="P153" s="34"/>
      <c r="R153" s="1">
        <v>150</v>
      </c>
      <c r="U153" s="4"/>
    </row>
    <row r="154" spans="3:22" ht="18" customHeight="1">
      <c r="C154" s="54" t="s">
        <v>1989</v>
      </c>
      <c r="D154" s="50" t="s">
        <v>1850</v>
      </c>
      <c r="E154" s="47" t="s">
        <v>1963</v>
      </c>
      <c r="F154" s="682"/>
      <c r="G154" s="47" t="s">
        <v>1988</v>
      </c>
      <c r="H154" s="46">
        <v>13.7</v>
      </c>
      <c r="I154" s="53">
        <v>19</v>
      </c>
      <c r="J154" s="46">
        <f>H154*I154</f>
        <v>260.3</v>
      </c>
      <c r="K154" s="695">
        <v>1.9</v>
      </c>
      <c r="L154" s="688">
        <v>43150</v>
      </c>
      <c r="M154" s="688"/>
      <c r="N154" s="689">
        <v>43150</v>
      </c>
      <c r="O154" s="690">
        <v>1504</v>
      </c>
      <c r="P154" s="34"/>
      <c r="R154" s="1">
        <v>150</v>
      </c>
      <c r="U154" s="4"/>
    </row>
    <row r="155" spans="3:22" ht="18" customHeight="1">
      <c r="C155" s="4"/>
      <c r="D155" s="50"/>
      <c r="E155" s="51" t="s">
        <v>27</v>
      </c>
      <c r="F155" s="52"/>
      <c r="G155" s="47"/>
      <c r="H155" s="46"/>
      <c r="I155" s="53"/>
      <c r="J155" s="46"/>
      <c r="K155" s="58" t="s">
        <v>8</v>
      </c>
      <c r="L155" s="688"/>
      <c r="M155" s="688"/>
      <c r="N155" s="689"/>
      <c r="O155" s="690"/>
      <c r="P155" s="34"/>
      <c r="Q155" s="50"/>
      <c r="R155" t="s">
        <v>1982</v>
      </c>
      <c r="U155" s="343"/>
    </row>
    <row r="156" spans="3:22" ht="18.75" customHeight="1">
      <c r="C156" s="54" t="s">
        <v>1990</v>
      </c>
      <c r="D156" s="50" t="s">
        <v>1850</v>
      </c>
      <c r="E156" s="47" t="s">
        <v>1953</v>
      </c>
      <c r="F156" s="682"/>
      <c r="G156" s="47" t="s">
        <v>1924</v>
      </c>
      <c r="H156" s="46">
        <v>14</v>
      </c>
      <c r="I156" s="53">
        <v>36</v>
      </c>
      <c r="J156" s="46">
        <f>I156*H156</f>
        <v>504</v>
      </c>
      <c r="K156" s="695">
        <v>1.08</v>
      </c>
      <c r="L156" s="688">
        <v>43132</v>
      </c>
      <c r="M156" s="688"/>
      <c r="N156" s="689">
        <v>43132</v>
      </c>
      <c r="O156" s="690" t="s">
        <v>1984</v>
      </c>
      <c r="P156" s="34"/>
      <c r="R156" s="1">
        <v>85</v>
      </c>
      <c r="U156" s="4"/>
    </row>
    <row r="157" spans="3:22" ht="18.75" customHeight="1">
      <c r="C157" s="54" t="s">
        <v>1991</v>
      </c>
      <c r="D157" s="50" t="s">
        <v>1850</v>
      </c>
      <c r="E157" s="47" t="s">
        <v>1953</v>
      </c>
      <c r="F157" s="682"/>
      <c r="G157" s="47" t="s">
        <v>1940</v>
      </c>
      <c r="H157" s="46">
        <v>14</v>
      </c>
      <c r="I157" s="53">
        <v>36</v>
      </c>
      <c r="J157" s="46">
        <f>I157*H157</f>
        <v>504</v>
      </c>
      <c r="K157" s="695">
        <v>1.08</v>
      </c>
      <c r="L157" s="688">
        <v>43136</v>
      </c>
      <c r="M157" s="688"/>
      <c r="N157" s="689">
        <v>43136</v>
      </c>
      <c r="O157" s="690" t="s">
        <v>1992</v>
      </c>
      <c r="P157" s="34"/>
      <c r="R157" s="1">
        <v>57</v>
      </c>
      <c r="U157" s="4"/>
    </row>
    <row r="158" spans="3:22" ht="18" customHeight="1">
      <c r="C158" s="54" t="s">
        <v>1991</v>
      </c>
      <c r="D158" s="50" t="s">
        <v>1850</v>
      </c>
      <c r="E158" s="47" t="s">
        <v>42</v>
      </c>
      <c r="F158" s="682"/>
      <c r="G158" s="47" t="s">
        <v>121</v>
      </c>
      <c r="H158" s="46">
        <v>13.7</v>
      </c>
      <c r="I158" s="53">
        <v>44</v>
      </c>
      <c r="J158" s="46">
        <f>I158*H158</f>
        <v>602.79999999999995</v>
      </c>
      <c r="K158" s="695">
        <v>1.69</v>
      </c>
      <c r="L158" s="688">
        <v>43132</v>
      </c>
      <c r="M158" s="688"/>
      <c r="N158" s="689">
        <v>43132</v>
      </c>
      <c r="O158" s="690">
        <v>1488</v>
      </c>
      <c r="P158" s="34"/>
      <c r="Q158" s="1">
        <v>128</v>
      </c>
      <c r="R158" s="1">
        <v>98</v>
      </c>
      <c r="S158" s="1">
        <v>30</v>
      </c>
      <c r="U158" s="4"/>
      <c r="V158" s="1" t="s">
        <v>1943</v>
      </c>
    </row>
    <row r="159" spans="3:22" ht="18" customHeight="1">
      <c r="C159" s="4"/>
      <c r="D159" s="50"/>
      <c r="E159" s="51" t="s">
        <v>1848</v>
      </c>
      <c r="F159" s="52"/>
      <c r="G159" s="47"/>
      <c r="H159" s="46"/>
      <c r="I159" s="53"/>
      <c r="J159" s="46"/>
      <c r="K159" s="58" t="s">
        <v>8</v>
      </c>
      <c r="L159" s="688"/>
      <c r="M159" s="688"/>
      <c r="N159" s="689"/>
      <c r="O159" s="690"/>
      <c r="P159" s="34"/>
      <c r="Q159" s="50"/>
      <c r="S159" s="1" t="s">
        <v>1922</v>
      </c>
      <c r="U159" s="343"/>
    </row>
    <row r="160" spans="3:22" ht="18" customHeight="1">
      <c r="C160" s="54" t="s">
        <v>1993</v>
      </c>
      <c r="D160" s="50" t="s">
        <v>1850</v>
      </c>
      <c r="E160" s="47" t="s">
        <v>1877</v>
      </c>
      <c r="F160" s="682"/>
      <c r="G160" s="47" t="s">
        <v>1924</v>
      </c>
      <c r="H160" s="46">
        <v>13.7</v>
      </c>
      <c r="I160" s="53">
        <v>35</v>
      </c>
      <c r="J160" s="46">
        <f>I160*H160</f>
        <v>479.5</v>
      </c>
      <c r="K160" s="695">
        <v>3.34</v>
      </c>
      <c r="L160" s="688">
        <v>43172</v>
      </c>
      <c r="M160" s="688"/>
      <c r="N160" s="689">
        <v>43172</v>
      </c>
      <c r="O160" s="690">
        <v>1529</v>
      </c>
      <c r="P160" s="34"/>
      <c r="Q160" s="1">
        <v>265</v>
      </c>
      <c r="R160" s="1">
        <v>225</v>
      </c>
      <c r="S160" s="1">
        <v>40</v>
      </c>
      <c r="U160" s="4"/>
    </row>
    <row r="161" spans="3:21" ht="18" customHeight="1">
      <c r="C161" s="54" t="s">
        <v>1993</v>
      </c>
      <c r="D161" s="50" t="s">
        <v>1850</v>
      </c>
      <c r="E161" s="47" t="s">
        <v>1877</v>
      </c>
      <c r="F161" s="682"/>
      <c r="G161" s="47" t="s">
        <v>1926</v>
      </c>
      <c r="H161" s="46">
        <v>13.7</v>
      </c>
      <c r="I161" s="53">
        <v>35</v>
      </c>
      <c r="J161" s="46">
        <f>I161*H161</f>
        <v>479.5</v>
      </c>
      <c r="K161" s="695">
        <v>3.34</v>
      </c>
      <c r="L161" s="688">
        <v>43172</v>
      </c>
      <c r="M161" s="688"/>
      <c r="N161" s="689">
        <v>43172</v>
      </c>
      <c r="O161" s="690">
        <v>1529</v>
      </c>
      <c r="P161" s="34"/>
      <c r="Q161" s="1">
        <v>265</v>
      </c>
      <c r="R161" s="1">
        <v>225</v>
      </c>
      <c r="S161" s="1">
        <v>40</v>
      </c>
      <c r="U161" s="4"/>
    </row>
    <row r="162" spans="3:21" ht="18" customHeight="1">
      <c r="C162" s="54" t="s">
        <v>1993</v>
      </c>
      <c r="D162" s="50" t="s">
        <v>1850</v>
      </c>
      <c r="E162" s="47" t="s">
        <v>1877</v>
      </c>
      <c r="F162" s="682"/>
      <c r="G162" s="47" t="s">
        <v>1927</v>
      </c>
      <c r="H162" s="46">
        <v>13.7</v>
      </c>
      <c r="I162" s="53">
        <v>35</v>
      </c>
      <c r="J162" s="46">
        <f>I162*H162</f>
        <v>479.5</v>
      </c>
      <c r="K162" s="695">
        <v>3.34</v>
      </c>
      <c r="L162" s="688">
        <v>43172</v>
      </c>
      <c r="M162" s="688"/>
      <c r="N162" s="689">
        <v>43172</v>
      </c>
      <c r="O162" s="690">
        <v>1529</v>
      </c>
      <c r="P162" s="34"/>
      <c r="Q162" s="1">
        <v>265</v>
      </c>
      <c r="R162" s="1">
        <v>225</v>
      </c>
      <c r="S162" s="1">
        <v>40</v>
      </c>
      <c r="U162" s="4"/>
    </row>
    <row r="163" spans="3:21" ht="18" customHeight="1">
      <c r="C163" s="54" t="s">
        <v>1993</v>
      </c>
      <c r="D163" s="50" t="s">
        <v>1850</v>
      </c>
      <c r="E163" s="47" t="s">
        <v>1877</v>
      </c>
      <c r="F163" s="682"/>
      <c r="G163" s="47" t="s">
        <v>1929</v>
      </c>
      <c r="H163" s="46">
        <v>13.7</v>
      </c>
      <c r="I163" s="53">
        <v>35</v>
      </c>
      <c r="J163" s="46">
        <f>I163*H163</f>
        <v>479.5</v>
      </c>
      <c r="K163" s="695">
        <v>3.34</v>
      </c>
      <c r="L163" s="688">
        <v>43172</v>
      </c>
      <c r="M163" s="688"/>
      <c r="N163" s="689">
        <v>43172</v>
      </c>
      <c r="O163" s="690">
        <v>1529</v>
      </c>
      <c r="P163" s="34"/>
      <c r="Q163" s="1">
        <v>265</v>
      </c>
      <c r="R163" s="1">
        <v>225</v>
      </c>
      <c r="S163" s="1">
        <v>40</v>
      </c>
      <c r="U163" s="4"/>
    </row>
    <row r="164" spans="3:21" ht="18" customHeight="1">
      <c r="C164" s="4"/>
      <c r="D164" s="50"/>
      <c r="E164" s="51" t="s">
        <v>27</v>
      </c>
      <c r="F164" s="52"/>
      <c r="G164" s="47"/>
      <c r="H164" s="46"/>
      <c r="I164" s="53"/>
      <c r="J164" s="46"/>
      <c r="K164" s="58" t="s">
        <v>8</v>
      </c>
      <c r="L164" s="688"/>
      <c r="M164" s="688"/>
      <c r="N164" s="689"/>
      <c r="O164" s="695"/>
      <c r="P164" s="34"/>
      <c r="Q164" s="50"/>
      <c r="R164"/>
      <c r="U164" s="343"/>
    </row>
    <row r="165" spans="3:21" ht="18" customHeight="1">
      <c r="C165" s="54" t="s">
        <v>1994</v>
      </c>
      <c r="D165" s="50" t="s">
        <v>1850</v>
      </c>
      <c r="E165" s="47" t="s">
        <v>185</v>
      </c>
      <c r="F165" s="682"/>
      <c r="G165" s="47" t="s">
        <v>1941</v>
      </c>
      <c r="H165" s="46">
        <v>810</v>
      </c>
      <c r="I165" s="46">
        <v>810</v>
      </c>
      <c r="J165" s="46">
        <v>810</v>
      </c>
      <c r="K165" s="695">
        <v>1.38</v>
      </c>
      <c r="L165" s="688">
        <v>43132</v>
      </c>
      <c r="M165" s="688"/>
      <c r="N165" s="689">
        <v>43132</v>
      </c>
      <c r="O165" s="690">
        <v>1488</v>
      </c>
      <c r="P165" s="34"/>
      <c r="Q165" s="1">
        <v>107</v>
      </c>
      <c r="R165" s="1">
        <v>37</v>
      </c>
      <c r="S165" s="1" t="s">
        <v>106</v>
      </c>
      <c r="U165" s="4"/>
    </row>
    <row r="166" spans="3:21" ht="18" customHeight="1">
      <c r="C166" s="4"/>
      <c r="D166" s="50"/>
      <c r="E166" s="51" t="s">
        <v>1978</v>
      </c>
      <c r="F166" s="52"/>
      <c r="G166" s="47"/>
      <c r="H166" s="46"/>
      <c r="I166" s="53"/>
      <c r="J166" s="46"/>
      <c r="K166" s="58" t="s">
        <v>8</v>
      </c>
      <c r="L166" s="33"/>
      <c r="M166" s="33"/>
      <c r="N166" s="115"/>
      <c r="O166" s="32"/>
      <c r="P166" s="34"/>
      <c r="Q166" s="50"/>
      <c r="U166" s="343"/>
    </row>
    <row r="167" spans="3:21" ht="18" customHeight="1">
      <c r="C167" s="54" t="s">
        <v>1995</v>
      </c>
      <c r="D167" s="50" t="s">
        <v>1979</v>
      </c>
      <c r="E167" s="47">
        <v>1966</v>
      </c>
      <c r="F167" s="682"/>
      <c r="G167" s="47" t="s">
        <v>219</v>
      </c>
      <c r="H167" s="46">
        <v>30</v>
      </c>
      <c r="I167" s="53">
        <v>10</v>
      </c>
      <c r="J167" s="46">
        <f>I167*H167</f>
        <v>300</v>
      </c>
      <c r="K167" s="34">
        <v>0.69</v>
      </c>
      <c r="L167" s="688">
        <v>43146</v>
      </c>
      <c r="M167" s="688"/>
      <c r="N167" s="689">
        <v>43146</v>
      </c>
      <c r="O167" s="690" t="s">
        <v>1996</v>
      </c>
      <c r="P167" s="34"/>
      <c r="Q167" s="683"/>
      <c r="R167" s="1">
        <v>41</v>
      </c>
      <c r="U167" s="4"/>
    </row>
    <row r="168" spans="3:21" ht="18" customHeight="1">
      <c r="C168" s="4"/>
      <c r="D168" s="50"/>
      <c r="E168" s="51" t="s">
        <v>27</v>
      </c>
      <c r="F168" s="52"/>
      <c r="G168" s="47"/>
      <c r="H168" s="46"/>
      <c r="I168" s="53"/>
      <c r="J168" s="46"/>
      <c r="K168" s="58" t="s">
        <v>8</v>
      </c>
      <c r="L168" s="688"/>
      <c r="M168" s="688"/>
      <c r="N168" s="689"/>
      <c r="O168" s="690"/>
      <c r="P168" s="34"/>
      <c r="Q168" s="50"/>
      <c r="R168" t="s">
        <v>1982</v>
      </c>
      <c r="U168" s="343"/>
    </row>
    <row r="169" spans="3:21" ht="18.75" customHeight="1">
      <c r="C169" s="54" t="s">
        <v>1997</v>
      </c>
      <c r="D169" s="50" t="s">
        <v>1850</v>
      </c>
      <c r="E169" s="47" t="s">
        <v>1953</v>
      </c>
      <c r="F169" s="682"/>
      <c r="G169" s="47" t="s">
        <v>1924</v>
      </c>
      <c r="H169" s="46">
        <v>14</v>
      </c>
      <c r="I169" s="53">
        <v>29</v>
      </c>
      <c r="J169" s="46">
        <f>H169*I169</f>
        <v>406</v>
      </c>
      <c r="K169" s="695">
        <v>1.08</v>
      </c>
      <c r="L169" s="688">
        <v>43150</v>
      </c>
      <c r="M169" s="688"/>
      <c r="N169" s="689">
        <v>43150</v>
      </c>
      <c r="O169" s="690" t="s">
        <v>1998</v>
      </c>
      <c r="P169" s="34"/>
      <c r="R169" s="1">
        <v>57</v>
      </c>
      <c r="S169" s="1" t="s">
        <v>1985</v>
      </c>
      <c r="U169" s="4"/>
    </row>
    <row r="170" spans="3:21" ht="18" customHeight="1">
      <c r="C170" s="4"/>
      <c r="D170" s="50"/>
      <c r="E170" s="51" t="s">
        <v>1848</v>
      </c>
      <c r="F170" s="52"/>
      <c r="G170" s="47"/>
      <c r="H170" s="46"/>
      <c r="I170" s="53"/>
      <c r="J170" s="46"/>
      <c r="K170" s="58" t="s">
        <v>8</v>
      </c>
      <c r="L170" s="688"/>
      <c r="M170" s="688"/>
      <c r="N170" s="689"/>
      <c r="O170" s="690"/>
      <c r="P170" s="34"/>
      <c r="Q170" s="50"/>
      <c r="R170"/>
      <c r="S170"/>
      <c r="T170" s="1304"/>
      <c r="U170" s="343"/>
    </row>
    <row r="171" spans="3:21" ht="18" customHeight="1">
      <c r="C171" s="54" t="s">
        <v>1999</v>
      </c>
      <c r="D171" s="50" t="s">
        <v>1850</v>
      </c>
      <c r="E171" s="47" t="s">
        <v>232</v>
      </c>
      <c r="F171" s="682"/>
      <c r="G171" s="47" t="s">
        <v>1941</v>
      </c>
      <c r="H171" s="46">
        <v>14</v>
      </c>
      <c r="I171" s="53">
        <v>49</v>
      </c>
      <c r="J171" s="46">
        <f>H171*I171</f>
        <v>686</v>
      </c>
      <c r="K171" s="695">
        <v>1.58</v>
      </c>
      <c r="L171" s="688">
        <v>43159</v>
      </c>
      <c r="M171" s="688"/>
      <c r="N171" s="689">
        <v>43159</v>
      </c>
      <c r="O171" s="690">
        <v>1516</v>
      </c>
      <c r="P171" s="34"/>
      <c r="R171" s="1">
        <v>125</v>
      </c>
      <c r="S171" t="s">
        <v>1961</v>
      </c>
      <c r="T171" s="1304"/>
      <c r="U171" s="4"/>
    </row>
    <row r="172" spans="3:21" ht="18" customHeight="1">
      <c r="C172" s="54" t="s">
        <v>2000</v>
      </c>
      <c r="D172" s="50" t="s">
        <v>1850</v>
      </c>
      <c r="E172" s="47" t="s">
        <v>30</v>
      </c>
      <c r="F172" s="682"/>
      <c r="G172" s="47" t="s">
        <v>2001</v>
      </c>
      <c r="H172" s="46">
        <v>14</v>
      </c>
      <c r="I172" s="53">
        <v>179</v>
      </c>
      <c r="J172" s="46">
        <f>H172*I172</f>
        <v>2506</v>
      </c>
      <c r="K172" s="695">
        <v>1.06</v>
      </c>
      <c r="L172" s="688">
        <v>43182</v>
      </c>
      <c r="M172" s="688"/>
      <c r="N172" s="689">
        <v>43182</v>
      </c>
      <c r="O172" s="690">
        <v>1548</v>
      </c>
      <c r="P172" s="34"/>
      <c r="R172" s="1">
        <v>84</v>
      </c>
      <c r="S172" t="s">
        <v>1961</v>
      </c>
      <c r="T172" s="1304"/>
      <c r="U172" s="4"/>
    </row>
    <row r="173" spans="3:21" ht="18" customHeight="1">
      <c r="C173" s="4"/>
      <c r="D173" s="50"/>
      <c r="E173" s="51" t="s">
        <v>118</v>
      </c>
      <c r="F173" s="52"/>
      <c r="G173" s="47"/>
      <c r="H173" s="46"/>
      <c r="I173" s="53"/>
      <c r="J173" s="46"/>
      <c r="K173" s="58" t="s">
        <v>8</v>
      </c>
      <c r="L173" s="33"/>
      <c r="M173" s="33"/>
      <c r="N173" s="115"/>
      <c r="O173" s="32"/>
      <c r="P173" s="34"/>
      <c r="Q173" s="50"/>
      <c r="U173" s="343"/>
    </row>
    <row r="174" spans="3:21" ht="18" customHeight="1">
      <c r="C174" s="54" t="s">
        <v>2002</v>
      </c>
      <c r="D174" s="50" t="s">
        <v>2003</v>
      </c>
      <c r="E174" s="47" t="s">
        <v>2004</v>
      </c>
      <c r="F174" s="52">
        <v>140</v>
      </c>
      <c r="G174" s="47" t="s">
        <v>2005</v>
      </c>
      <c r="H174" s="46">
        <v>5</v>
      </c>
      <c r="I174" s="46">
        <v>5</v>
      </c>
      <c r="J174" s="46">
        <v>5</v>
      </c>
      <c r="K174" s="34">
        <v>9.5</v>
      </c>
      <c r="L174" s="688">
        <v>43147</v>
      </c>
      <c r="M174" s="688"/>
      <c r="N174" s="689">
        <v>43147</v>
      </c>
      <c r="O174" s="690" t="s">
        <v>2006</v>
      </c>
      <c r="P174" s="34"/>
      <c r="Q174" s="683"/>
      <c r="R174" s="1">
        <v>760</v>
      </c>
      <c r="U174" s="4"/>
    </row>
    <row r="175" spans="3:21" ht="18" customHeight="1">
      <c r="C175" s="54" t="s">
        <v>2002</v>
      </c>
      <c r="D175" s="50" t="s">
        <v>2003</v>
      </c>
      <c r="E175" s="47" t="s">
        <v>2004</v>
      </c>
      <c r="F175" s="52">
        <v>140</v>
      </c>
      <c r="G175" s="47" t="s">
        <v>2007</v>
      </c>
      <c r="H175" s="46">
        <v>5</v>
      </c>
      <c r="I175" s="46">
        <v>5</v>
      </c>
      <c r="J175" s="46">
        <v>5</v>
      </c>
      <c r="K175" s="34">
        <v>9.5</v>
      </c>
      <c r="L175" s="688">
        <v>43147</v>
      </c>
      <c r="M175" s="688"/>
      <c r="N175" s="689">
        <v>43147</v>
      </c>
      <c r="O175" s="690" t="s">
        <v>2006</v>
      </c>
      <c r="P175" s="34"/>
      <c r="Q175" s="683"/>
      <c r="R175" s="1">
        <v>760</v>
      </c>
      <c r="U175" s="4"/>
    </row>
    <row r="176" spans="3:21" ht="18" customHeight="1">
      <c r="C176" s="54" t="s">
        <v>2002</v>
      </c>
      <c r="D176" s="50" t="s">
        <v>2003</v>
      </c>
      <c r="E176" s="61"/>
      <c r="F176" s="59"/>
      <c r="G176" s="59" t="s">
        <v>24</v>
      </c>
      <c r="H176" s="30" t="s">
        <v>48</v>
      </c>
      <c r="I176" s="53"/>
      <c r="J176" s="46"/>
      <c r="K176" s="34">
        <v>12</v>
      </c>
      <c r="L176" s="688">
        <v>43147</v>
      </c>
      <c r="M176" s="688"/>
      <c r="N176" s="689">
        <v>43147</v>
      </c>
      <c r="O176" s="690" t="s">
        <v>2006</v>
      </c>
      <c r="P176" s="34"/>
      <c r="Q176" s="683"/>
      <c r="U176" s="4"/>
    </row>
    <row r="177" spans="3:21" ht="18" customHeight="1">
      <c r="C177" s="54" t="s">
        <v>2002</v>
      </c>
      <c r="D177" s="50" t="s">
        <v>2003</v>
      </c>
      <c r="E177" s="61"/>
      <c r="F177" s="59"/>
      <c r="G177" s="59" t="s">
        <v>13</v>
      </c>
      <c r="H177" s="30" t="s">
        <v>28</v>
      </c>
      <c r="I177" s="53"/>
      <c r="J177" s="46"/>
      <c r="K177" s="34">
        <v>12</v>
      </c>
      <c r="L177" s="688">
        <v>43147</v>
      </c>
      <c r="M177" s="688"/>
      <c r="N177" s="689">
        <v>43147</v>
      </c>
      <c r="O177" s="690" t="s">
        <v>2006</v>
      </c>
      <c r="P177" s="34"/>
      <c r="Q177" s="683"/>
      <c r="U177" s="4"/>
    </row>
    <row r="178" spans="3:21" ht="18" customHeight="1">
      <c r="C178" s="54"/>
      <c r="D178" s="50"/>
      <c r="E178" s="51" t="s">
        <v>1978</v>
      </c>
      <c r="F178" s="52"/>
      <c r="G178" s="47"/>
      <c r="H178" s="46"/>
      <c r="I178" s="53"/>
      <c r="J178" s="46"/>
      <c r="K178" s="58" t="s">
        <v>8</v>
      </c>
      <c r="L178" s="33"/>
      <c r="M178" s="33"/>
      <c r="N178" s="115"/>
      <c r="O178" s="32"/>
      <c r="P178" s="34"/>
      <c r="Q178" s="50"/>
      <c r="U178" s="343"/>
    </row>
    <row r="179" spans="3:21" ht="18" customHeight="1">
      <c r="C179" s="54" t="s">
        <v>2008</v>
      </c>
      <c r="D179" s="50" t="s">
        <v>1979</v>
      </c>
      <c r="E179" s="47">
        <v>1966</v>
      </c>
      <c r="F179" s="682"/>
      <c r="G179" s="47" t="s">
        <v>219</v>
      </c>
      <c r="H179" s="46">
        <v>30</v>
      </c>
      <c r="I179" s="53">
        <v>30</v>
      </c>
      <c r="J179" s="46">
        <f>I179*H179</f>
        <v>900</v>
      </c>
      <c r="K179" s="34">
        <v>0.69</v>
      </c>
      <c r="L179" s="688">
        <v>43175</v>
      </c>
      <c r="M179" s="688"/>
      <c r="N179" s="689">
        <v>43175</v>
      </c>
      <c r="O179" s="690" t="s">
        <v>2009</v>
      </c>
      <c r="P179" s="34"/>
      <c r="Q179" s="683"/>
      <c r="R179" s="1">
        <v>41</v>
      </c>
      <c r="U179" s="4"/>
    </row>
    <row r="180" spans="3:21" ht="18" customHeight="1">
      <c r="C180" s="4"/>
      <c r="D180" s="50"/>
      <c r="E180" s="51" t="s">
        <v>2010</v>
      </c>
      <c r="F180" s="52"/>
      <c r="G180" s="47"/>
      <c r="H180" s="46"/>
      <c r="I180" s="53"/>
      <c r="J180" s="46"/>
      <c r="K180" s="58" t="s">
        <v>8</v>
      </c>
      <c r="L180" s="33"/>
      <c r="M180" s="33"/>
      <c r="N180" s="115"/>
      <c r="O180" s="32"/>
      <c r="P180" s="34"/>
      <c r="Q180" s="50"/>
      <c r="U180" s="343"/>
    </row>
    <row r="181" spans="3:21" ht="18" customHeight="1">
      <c r="C181" s="54" t="s">
        <v>2011</v>
      </c>
      <c r="D181" s="50" t="s">
        <v>2012</v>
      </c>
      <c r="E181" s="47">
        <v>3920</v>
      </c>
      <c r="F181" s="682">
        <v>9</v>
      </c>
      <c r="G181" s="47" t="s">
        <v>82</v>
      </c>
      <c r="H181" s="46">
        <v>30</v>
      </c>
      <c r="I181" s="53">
        <v>1</v>
      </c>
      <c r="J181" s="46">
        <f>I181*H181</f>
        <v>30</v>
      </c>
      <c r="K181" s="695">
        <v>0.28000000000000003</v>
      </c>
      <c r="L181" s="688">
        <v>43192</v>
      </c>
      <c r="M181" s="688"/>
      <c r="N181" s="689">
        <v>43192</v>
      </c>
      <c r="O181" s="690" t="s">
        <v>2013</v>
      </c>
      <c r="P181" s="34"/>
      <c r="Q181" s="683"/>
      <c r="R181" s="1">
        <v>20</v>
      </c>
      <c r="U181" s="4"/>
    </row>
    <row r="182" spans="3:21" ht="18" customHeight="1">
      <c r="C182" s="54" t="s">
        <v>2011</v>
      </c>
      <c r="D182" s="50" t="s">
        <v>2012</v>
      </c>
      <c r="E182" s="47">
        <v>3920</v>
      </c>
      <c r="F182" s="682">
        <v>12</v>
      </c>
      <c r="G182" s="47" t="s">
        <v>82</v>
      </c>
      <c r="H182" s="46">
        <v>30</v>
      </c>
      <c r="I182" s="53">
        <v>1</v>
      </c>
      <c r="J182" s="46">
        <f>I182*H182</f>
        <v>30</v>
      </c>
      <c r="K182" s="695">
        <v>0.35</v>
      </c>
      <c r="L182" s="688">
        <v>43192</v>
      </c>
      <c r="M182" s="688"/>
      <c r="N182" s="689">
        <v>43192</v>
      </c>
      <c r="O182" s="690" t="s">
        <v>2013</v>
      </c>
      <c r="P182" s="34"/>
      <c r="Q182" s="683"/>
      <c r="R182" s="1">
        <v>25</v>
      </c>
      <c r="U182" s="4"/>
    </row>
    <row r="183" spans="3:21" ht="18" customHeight="1">
      <c r="C183" s="54" t="s">
        <v>2011</v>
      </c>
      <c r="D183" s="50" t="s">
        <v>2012</v>
      </c>
      <c r="E183" s="61"/>
      <c r="F183" s="59"/>
      <c r="G183" s="59" t="s">
        <v>13</v>
      </c>
      <c r="H183" s="30" t="s">
        <v>28</v>
      </c>
      <c r="I183" s="53"/>
      <c r="J183" s="46"/>
      <c r="K183" s="695">
        <v>12</v>
      </c>
      <c r="L183" s="688">
        <v>43192</v>
      </c>
      <c r="M183" s="688"/>
      <c r="N183" s="689">
        <v>43192</v>
      </c>
      <c r="O183" s="690" t="s">
        <v>2013</v>
      </c>
      <c r="P183" s="34"/>
      <c r="Q183" s="683"/>
      <c r="U183" s="4"/>
    </row>
    <row r="184" spans="3:21" ht="18" customHeight="1">
      <c r="C184" s="4"/>
      <c r="D184" s="50"/>
      <c r="E184" s="51" t="s">
        <v>1848</v>
      </c>
      <c r="F184" s="52"/>
      <c r="G184" s="47"/>
      <c r="H184" s="46"/>
      <c r="I184" s="53"/>
      <c r="J184" s="46"/>
      <c r="K184" s="58" t="s">
        <v>8</v>
      </c>
      <c r="L184" s="688"/>
      <c r="M184" s="688"/>
      <c r="N184" s="689"/>
      <c r="O184" s="690"/>
      <c r="P184" s="34"/>
      <c r="Q184" s="50"/>
      <c r="R184"/>
      <c r="S184"/>
      <c r="T184" s="1304"/>
      <c r="U184" s="343"/>
    </row>
    <row r="185" spans="3:21" ht="18" customHeight="1">
      <c r="C185" s="54" t="s">
        <v>2014</v>
      </c>
      <c r="D185" s="50" t="s">
        <v>1850</v>
      </c>
      <c r="E185" s="47" t="s">
        <v>238</v>
      </c>
      <c r="F185" s="682"/>
      <c r="G185" s="47" t="s">
        <v>1940</v>
      </c>
      <c r="H185" s="46">
        <v>14</v>
      </c>
      <c r="I185" s="53">
        <v>6</v>
      </c>
      <c r="J185" s="46">
        <f>I185*H185</f>
        <v>84</v>
      </c>
      <c r="K185" s="695">
        <v>1.58</v>
      </c>
      <c r="L185" s="688">
        <v>43195</v>
      </c>
      <c r="M185" s="688"/>
      <c r="N185" s="689">
        <v>43195</v>
      </c>
      <c r="O185" s="690" t="s">
        <v>2015</v>
      </c>
      <c r="P185" s="34"/>
      <c r="R185" s="1">
        <v>100</v>
      </c>
      <c r="U185" s="4"/>
    </row>
    <row r="186" spans="3:21" ht="18" customHeight="1">
      <c r="C186" s="4"/>
      <c r="D186" s="50"/>
      <c r="E186" s="51" t="s">
        <v>27</v>
      </c>
      <c r="F186" s="52"/>
      <c r="G186" s="47"/>
      <c r="H186" s="46"/>
      <c r="I186" s="53"/>
      <c r="J186" s="46"/>
      <c r="K186" s="58" t="s">
        <v>8</v>
      </c>
      <c r="L186" s="688"/>
      <c r="M186" s="688"/>
      <c r="N186" s="689"/>
      <c r="O186" s="690"/>
      <c r="P186" s="34"/>
      <c r="Q186" s="50"/>
      <c r="R186"/>
      <c r="S186"/>
      <c r="T186" s="1304"/>
      <c r="U186" s="343"/>
    </row>
    <row r="187" spans="3:21" ht="18" customHeight="1">
      <c r="C187" s="54" t="s">
        <v>2016</v>
      </c>
      <c r="D187" s="50" t="s">
        <v>2017</v>
      </c>
      <c r="E187" s="47" t="s">
        <v>88</v>
      </c>
      <c r="F187" s="682"/>
      <c r="G187" s="47" t="s">
        <v>25</v>
      </c>
      <c r="H187" s="46">
        <v>5</v>
      </c>
      <c r="I187" s="46">
        <v>5</v>
      </c>
      <c r="J187" s="46">
        <v>5</v>
      </c>
      <c r="K187" s="695">
        <v>4.66</v>
      </c>
      <c r="L187" s="688">
        <v>43215</v>
      </c>
      <c r="M187" s="688"/>
      <c r="N187" s="689">
        <v>43215</v>
      </c>
      <c r="O187" s="690" t="s">
        <v>2018</v>
      </c>
      <c r="P187" s="34"/>
      <c r="Q187" s="1">
        <v>391</v>
      </c>
      <c r="R187" s="1">
        <v>341</v>
      </c>
      <c r="S187" s="1" t="s">
        <v>2019</v>
      </c>
      <c r="U187" s="4"/>
    </row>
    <row r="188" spans="3:21" ht="18" customHeight="1">
      <c r="C188" s="54" t="s">
        <v>2016</v>
      </c>
      <c r="D188" s="50" t="s">
        <v>2017</v>
      </c>
      <c r="E188" s="47" t="s">
        <v>2020</v>
      </c>
      <c r="F188" s="682"/>
      <c r="G188" s="47" t="s">
        <v>2021</v>
      </c>
      <c r="H188" s="46">
        <v>5</v>
      </c>
      <c r="I188" s="46">
        <v>5</v>
      </c>
      <c r="J188" s="46">
        <v>5</v>
      </c>
      <c r="K188" s="695">
        <v>1.61</v>
      </c>
      <c r="L188" s="688">
        <v>43215</v>
      </c>
      <c r="M188" s="688"/>
      <c r="N188" s="689">
        <v>43215</v>
      </c>
      <c r="O188" s="690" t="s">
        <v>2018</v>
      </c>
      <c r="P188" s="34"/>
      <c r="R188" s="1">
        <v>135</v>
      </c>
      <c r="U188" s="4"/>
    </row>
    <row r="189" spans="3:21" ht="18" customHeight="1">
      <c r="C189" s="54" t="s">
        <v>2016</v>
      </c>
      <c r="D189" s="50" t="s">
        <v>2017</v>
      </c>
      <c r="E189" s="47" t="s">
        <v>2022</v>
      </c>
      <c r="F189" s="682"/>
      <c r="G189" s="47" t="s">
        <v>2023</v>
      </c>
      <c r="H189" s="46">
        <v>5</v>
      </c>
      <c r="I189" s="46">
        <v>5</v>
      </c>
      <c r="J189" s="46">
        <v>5</v>
      </c>
      <c r="K189" s="695">
        <v>1.17</v>
      </c>
      <c r="L189" s="688">
        <v>43215</v>
      </c>
      <c r="M189" s="688"/>
      <c r="N189" s="689">
        <v>43215</v>
      </c>
      <c r="O189" s="690" t="s">
        <v>2018</v>
      </c>
      <c r="P189" s="34"/>
      <c r="R189" s="1">
        <v>98</v>
      </c>
      <c r="U189" s="4"/>
    </row>
    <row r="190" spans="3:21" ht="18" customHeight="1">
      <c r="C190" s="54" t="s">
        <v>2016</v>
      </c>
      <c r="D190" s="50" t="s">
        <v>2017</v>
      </c>
      <c r="E190" s="47" t="s">
        <v>2024</v>
      </c>
      <c r="F190" s="682"/>
      <c r="G190" s="47" t="s">
        <v>2023</v>
      </c>
      <c r="H190" s="46">
        <v>5</v>
      </c>
      <c r="I190" s="46">
        <v>5</v>
      </c>
      <c r="J190" s="46">
        <v>5</v>
      </c>
      <c r="K190" s="695">
        <v>2.56</v>
      </c>
      <c r="L190" s="688">
        <v>43215</v>
      </c>
      <c r="M190" s="688"/>
      <c r="N190" s="689">
        <v>43215</v>
      </c>
      <c r="O190" s="690" t="s">
        <v>2018</v>
      </c>
      <c r="P190" s="34"/>
      <c r="R190" s="1">
        <v>215</v>
      </c>
      <c r="U190" s="4"/>
    </row>
    <row r="191" spans="3:21" ht="18" customHeight="1">
      <c r="C191" s="54" t="s">
        <v>2016</v>
      </c>
      <c r="D191" s="50" t="s">
        <v>2017</v>
      </c>
      <c r="E191" s="61"/>
      <c r="F191" s="59"/>
      <c r="G191" s="59" t="s">
        <v>13</v>
      </c>
      <c r="H191" s="30" t="s">
        <v>28</v>
      </c>
      <c r="I191" s="53"/>
      <c r="J191" s="46"/>
      <c r="K191" s="695">
        <v>12</v>
      </c>
      <c r="L191" s="688">
        <v>43215</v>
      </c>
      <c r="M191" s="688"/>
      <c r="N191" s="689">
        <v>43215</v>
      </c>
      <c r="O191" s="690" t="s">
        <v>2018</v>
      </c>
      <c r="P191" s="34"/>
      <c r="Q191" s="683"/>
      <c r="U191" s="4"/>
    </row>
    <row r="192" spans="3:21" ht="18" customHeight="1">
      <c r="C192" s="4"/>
      <c r="D192" s="50"/>
      <c r="E192" s="51" t="s">
        <v>2025</v>
      </c>
      <c r="F192" s="52"/>
      <c r="G192" s="47"/>
      <c r="H192" s="46"/>
      <c r="I192" s="53"/>
      <c r="J192" s="46"/>
      <c r="K192" s="58" t="s">
        <v>8</v>
      </c>
      <c r="L192" s="688"/>
      <c r="M192" s="688"/>
      <c r="N192" s="689"/>
      <c r="O192" s="690"/>
      <c r="P192" s="34"/>
      <c r="Q192" s="50"/>
      <c r="R192"/>
      <c r="S192"/>
      <c r="T192" s="1304"/>
      <c r="U192" s="343"/>
    </row>
    <row r="193" spans="3:21" ht="18" customHeight="1">
      <c r="C193" s="54" t="s">
        <v>2026</v>
      </c>
      <c r="D193" s="50" t="s">
        <v>2027</v>
      </c>
      <c r="E193" s="47">
        <v>3910</v>
      </c>
      <c r="F193" s="682">
        <v>6</v>
      </c>
      <c r="G193" s="47" t="s">
        <v>2028</v>
      </c>
      <c r="H193" s="46">
        <v>30</v>
      </c>
      <c r="I193" s="53">
        <v>10</v>
      </c>
      <c r="J193" s="46">
        <f>I193*H193</f>
        <v>300</v>
      </c>
      <c r="K193" s="695">
        <v>0.26</v>
      </c>
      <c r="L193" s="688">
        <v>43230</v>
      </c>
      <c r="M193" s="688"/>
      <c r="N193" s="689">
        <v>43230</v>
      </c>
      <c r="O193" s="690" t="s">
        <v>2029</v>
      </c>
      <c r="P193" s="34"/>
      <c r="R193" s="1">
        <v>18.170000000000002</v>
      </c>
      <c r="U193" s="4"/>
    </row>
    <row r="194" spans="3:21" ht="18" customHeight="1">
      <c r="C194" s="54" t="s">
        <v>2026</v>
      </c>
      <c r="D194" s="50" t="s">
        <v>2027</v>
      </c>
      <c r="E194" s="61"/>
      <c r="F194" s="59"/>
      <c r="G194" s="59" t="s">
        <v>13</v>
      </c>
      <c r="H194" s="30" t="s">
        <v>28</v>
      </c>
      <c r="I194" s="53"/>
      <c r="J194" s="46"/>
      <c r="K194" s="695">
        <v>12</v>
      </c>
      <c r="L194" s="688">
        <v>43230</v>
      </c>
      <c r="M194" s="688"/>
      <c r="N194" s="689">
        <v>43230</v>
      </c>
      <c r="O194" s="690" t="s">
        <v>2029</v>
      </c>
      <c r="P194" s="34"/>
      <c r="Q194" s="683"/>
      <c r="U194" s="4"/>
    </row>
    <row r="195" spans="3:21" ht="18" customHeight="1">
      <c r="C195" s="4"/>
      <c r="D195" s="50"/>
      <c r="E195" s="51" t="s">
        <v>1848</v>
      </c>
      <c r="F195" s="52"/>
      <c r="G195" s="47"/>
      <c r="H195" s="46"/>
      <c r="I195" s="53"/>
      <c r="J195" s="46"/>
      <c r="K195" s="58" t="s">
        <v>8</v>
      </c>
      <c r="L195" s="688"/>
      <c r="M195" s="688"/>
      <c r="N195" s="689"/>
      <c r="O195" s="690"/>
      <c r="P195" s="34"/>
      <c r="Q195" s="50"/>
      <c r="R195"/>
      <c r="S195"/>
      <c r="T195" s="1304"/>
      <c r="U195" s="343"/>
    </row>
    <row r="196" spans="3:21" ht="18" customHeight="1">
      <c r="C196" s="54" t="s">
        <v>2030</v>
      </c>
      <c r="D196" s="50" t="s">
        <v>1850</v>
      </c>
      <c r="E196" s="47" t="s">
        <v>2031</v>
      </c>
      <c r="F196" s="682"/>
      <c r="G196" s="47" t="s">
        <v>2032</v>
      </c>
      <c r="H196" s="46">
        <v>13.7</v>
      </c>
      <c r="I196" s="53">
        <v>88</v>
      </c>
      <c r="J196" s="46">
        <f>I196*H196</f>
        <v>1205.5999999999999</v>
      </c>
      <c r="K196" s="695">
        <v>1.73</v>
      </c>
      <c r="L196" s="688">
        <v>43250</v>
      </c>
      <c r="M196" s="688"/>
      <c r="N196" s="689">
        <v>43250</v>
      </c>
      <c r="O196" s="690">
        <v>1626</v>
      </c>
      <c r="P196" s="34"/>
      <c r="R196" s="1" t="s">
        <v>110</v>
      </c>
      <c r="U196" s="4"/>
    </row>
    <row r="197" spans="3:21" ht="18" customHeight="1">
      <c r="C197" s="4"/>
      <c r="D197" s="50"/>
      <c r="E197" s="51" t="s">
        <v>1848</v>
      </c>
      <c r="F197" s="52"/>
      <c r="G197" s="47"/>
      <c r="H197" s="46"/>
      <c r="I197" s="53"/>
      <c r="J197" s="46"/>
      <c r="K197" s="58" t="s">
        <v>8</v>
      </c>
      <c r="L197" s="688"/>
      <c r="M197" s="688"/>
      <c r="N197" s="689"/>
      <c r="O197" s="690"/>
      <c r="P197" s="34"/>
      <c r="Q197" s="50"/>
      <c r="R197"/>
      <c r="S197"/>
      <c r="T197" s="1304"/>
      <c r="U197" s="343"/>
    </row>
    <row r="198" spans="3:21" ht="18" customHeight="1">
      <c r="C198" s="54" t="s">
        <v>2033</v>
      </c>
      <c r="D198" s="50" t="s">
        <v>1850</v>
      </c>
      <c r="E198" s="47" t="s">
        <v>2034</v>
      </c>
      <c r="F198" s="682"/>
      <c r="G198" s="47" t="s">
        <v>46</v>
      </c>
      <c r="H198" s="46">
        <v>13.7</v>
      </c>
      <c r="I198" s="53">
        <v>1</v>
      </c>
      <c r="J198" s="46">
        <f>I198*H198</f>
        <v>13.7</v>
      </c>
      <c r="K198" s="695">
        <v>5.9</v>
      </c>
      <c r="L198" s="688">
        <v>43245</v>
      </c>
      <c r="M198" s="688"/>
      <c r="N198" s="689">
        <v>43245</v>
      </c>
      <c r="O198" s="690" t="s">
        <v>2035</v>
      </c>
      <c r="P198" s="34"/>
      <c r="Q198" s="1">
        <v>495</v>
      </c>
      <c r="R198" s="1">
        <v>455</v>
      </c>
      <c r="S198" s="1" t="s">
        <v>2036</v>
      </c>
      <c r="U198" s="4"/>
    </row>
    <row r="199" spans="3:21" ht="18" customHeight="1">
      <c r="C199" s="54" t="s">
        <v>2033</v>
      </c>
      <c r="D199" s="50" t="s">
        <v>1850</v>
      </c>
      <c r="E199" s="61"/>
      <c r="F199" s="59"/>
      <c r="G199" s="59" t="s">
        <v>13</v>
      </c>
      <c r="H199" s="30" t="s">
        <v>28</v>
      </c>
      <c r="I199" s="53"/>
      <c r="J199" s="46"/>
      <c r="K199" s="695">
        <v>12</v>
      </c>
      <c r="L199" s="688">
        <v>43245</v>
      </c>
      <c r="M199" s="688"/>
      <c r="N199" s="689">
        <v>43245</v>
      </c>
      <c r="O199" s="690" t="s">
        <v>2035</v>
      </c>
      <c r="P199" s="34"/>
      <c r="Q199" s="683"/>
      <c r="U199" s="4"/>
    </row>
    <row r="200" spans="3:21" ht="18" customHeight="1">
      <c r="C200" s="4"/>
      <c r="D200" s="50"/>
      <c r="E200" s="51" t="s">
        <v>2037</v>
      </c>
      <c r="F200" s="52"/>
      <c r="G200" s="47"/>
      <c r="H200" s="46"/>
      <c r="I200" s="53"/>
      <c r="J200" s="46"/>
      <c r="K200" s="58" t="s">
        <v>8</v>
      </c>
      <c r="L200" s="688"/>
      <c r="M200" s="688"/>
      <c r="N200" s="689"/>
      <c r="O200" s="690"/>
      <c r="P200" s="34"/>
      <c r="Q200" s="50"/>
      <c r="R200"/>
      <c r="S200"/>
      <c r="T200" s="1304"/>
      <c r="U200" s="343"/>
    </row>
    <row r="201" spans="3:21" ht="18" customHeight="1">
      <c r="C201" s="54"/>
      <c r="D201" s="50" t="s">
        <v>2038</v>
      </c>
      <c r="E201" s="47" t="s">
        <v>2039</v>
      </c>
      <c r="F201" s="682"/>
      <c r="G201" s="47" t="s">
        <v>25</v>
      </c>
      <c r="H201" s="46">
        <v>13.7</v>
      </c>
      <c r="I201" s="53">
        <v>1</v>
      </c>
      <c r="J201" s="46">
        <f>I201*H201</f>
        <v>13.7</v>
      </c>
      <c r="K201" s="695">
        <v>14.65</v>
      </c>
      <c r="L201" s="688">
        <v>43284</v>
      </c>
      <c r="M201" s="688"/>
      <c r="N201" s="689">
        <v>43284</v>
      </c>
      <c r="O201" s="690">
        <v>1649</v>
      </c>
      <c r="P201" s="34"/>
      <c r="Q201" s="1">
        <v>1230</v>
      </c>
      <c r="R201" s="25">
        <v>1130</v>
      </c>
      <c r="S201" s="1" t="s">
        <v>2040</v>
      </c>
      <c r="U201" s="4"/>
    </row>
    <row r="202" spans="3:21" ht="18" customHeight="1">
      <c r="C202" s="54"/>
      <c r="D202" s="50" t="s">
        <v>2038</v>
      </c>
      <c r="E202" s="47" t="s">
        <v>2041</v>
      </c>
      <c r="F202" s="682"/>
      <c r="G202" s="47" t="s">
        <v>25</v>
      </c>
      <c r="H202" s="46">
        <v>10</v>
      </c>
      <c r="I202" s="46">
        <v>10</v>
      </c>
      <c r="J202" s="46">
        <v>10</v>
      </c>
      <c r="K202" s="695">
        <v>3.45</v>
      </c>
      <c r="L202" s="688">
        <v>43284</v>
      </c>
      <c r="M202" s="688"/>
      <c r="N202" s="689">
        <v>43284</v>
      </c>
      <c r="O202" s="690">
        <v>1649</v>
      </c>
      <c r="P202" s="34"/>
      <c r="Q202" s="1">
        <v>289</v>
      </c>
      <c r="R202" s="25">
        <v>169</v>
      </c>
      <c r="S202" s="1" t="s">
        <v>2042</v>
      </c>
      <c r="U202" s="4"/>
    </row>
    <row r="203" spans="3:21" ht="18" customHeight="1">
      <c r="C203" s="54"/>
      <c r="D203" s="50" t="s">
        <v>2038</v>
      </c>
      <c r="E203" s="47" t="s">
        <v>2043</v>
      </c>
      <c r="F203" s="682"/>
      <c r="G203" s="47" t="s">
        <v>25</v>
      </c>
      <c r="H203" s="46">
        <v>10</v>
      </c>
      <c r="I203" s="46">
        <v>10</v>
      </c>
      <c r="J203" s="46">
        <v>10</v>
      </c>
      <c r="K203" s="695">
        <v>3.31</v>
      </c>
      <c r="L203" s="688">
        <v>43284</v>
      </c>
      <c r="M203" s="688"/>
      <c r="N203" s="689">
        <v>43284</v>
      </c>
      <c r="O203" s="690">
        <v>1649</v>
      </c>
      <c r="P203" s="34"/>
      <c r="Q203" s="1">
        <v>278</v>
      </c>
      <c r="R203" s="25">
        <v>158</v>
      </c>
      <c r="S203" s="1" t="s">
        <v>2042</v>
      </c>
      <c r="U203" s="4"/>
    </row>
    <row r="204" spans="3:21" ht="18" customHeight="1">
      <c r="C204" s="54"/>
      <c r="D204" s="50" t="s">
        <v>2038</v>
      </c>
      <c r="E204" s="47" t="s">
        <v>1947</v>
      </c>
      <c r="F204" s="682"/>
      <c r="G204" s="47" t="s">
        <v>25</v>
      </c>
      <c r="H204" s="46">
        <v>10</v>
      </c>
      <c r="I204" s="46">
        <v>10</v>
      </c>
      <c r="J204" s="46">
        <v>10</v>
      </c>
      <c r="K204" s="695">
        <v>2.31</v>
      </c>
      <c r="L204" s="688">
        <v>43284</v>
      </c>
      <c r="M204" s="688"/>
      <c r="N204" s="689">
        <v>43284</v>
      </c>
      <c r="O204" s="690">
        <v>1649</v>
      </c>
      <c r="P204" s="34"/>
      <c r="Q204" s="1">
        <v>194</v>
      </c>
      <c r="R204" s="25">
        <v>94</v>
      </c>
      <c r="S204" s="1" t="s">
        <v>2040</v>
      </c>
      <c r="U204" s="4"/>
    </row>
    <row r="205" spans="3:21" ht="18" customHeight="1">
      <c r="C205" s="54"/>
      <c r="D205" s="50" t="s">
        <v>2038</v>
      </c>
      <c r="E205" s="47" t="s">
        <v>75</v>
      </c>
      <c r="F205" s="682"/>
      <c r="G205" s="47" t="s">
        <v>25</v>
      </c>
      <c r="H205" s="46">
        <v>10</v>
      </c>
      <c r="I205" s="46">
        <v>10</v>
      </c>
      <c r="J205" s="46">
        <v>10</v>
      </c>
      <c r="K205" s="695">
        <v>2.62</v>
      </c>
      <c r="L205" s="688">
        <v>43284</v>
      </c>
      <c r="M205" s="688"/>
      <c r="N205" s="689">
        <v>43284</v>
      </c>
      <c r="O205" s="690">
        <v>1649</v>
      </c>
      <c r="P205" s="34"/>
      <c r="Q205" s="1">
        <v>220</v>
      </c>
      <c r="R205" s="25">
        <v>130</v>
      </c>
      <c r="S205" s="1" t="s">
        <v>2044</v>
      </c>
      <c r="U205" s="4"/>
    </row>
    <row r="206" spans="3:21" ht="18" customHeight="1">
      <c r="C206" s="54"/>
      <c r="D206" s="50" t="s">
        <v>2038</v>
      </c>
      <c r="E206" s="47" t="s">
        <v>76</v>
      </c>
      <c r="F206" s="682"/>
      <c r="G206" s="47" t="s">
        <v>25</v>
      </c>
      <c r="H206" s="46">
        <v>10</v>
      </c>
      <c r="I206" s="46">
        <v>10</v>
      </c>
      <c r="J206" s="46">
        <v>10</v>
      </c>
      <c r="K206" s="695">
        <v>3.03</v>
      </c>
      <c r="L206" s="688">
        <v>43284</v>
      </c>
      <c r="M206" s="688"/>
      <c r="N206" s="689">
        <v>43284</v>
      </c>
      <c r="O206" s="690">
        <v>1649</v>
      </c>
      <c r="P206" s="34"/>
      <c r="Q206" s="1">
        <v>254</v>
      </c>
      <c r="R206" s="25">
        <v>174</v>
      </c>
      <c r="S206" s="1" t="s">
        <v>31</v>
      </c>
      <c r="U206" s="4"/>
    </row>
    <row r="207" spans="3:21" ht="18" customHeight="1">
      <c r="C207" s="54"/>
      <c r="D207" s="50" t="s">
        <v>2038</v>
      </c>
      <c r="E207" s="47" t="s">
        <v>91</v>
      </c>
      <c r="F207" s="682"/>
      <c r="G207" s="47" t="s">
        <v>25</v>
      </c>
      <c r="H207" s="46">
        <v>10</v>
      </c>
      <c r="I207" s="46">
        <v>10</v>
      </c>
      <c r="J207" s="46">
        <v>10</v>
      </c>
      <c r="K207" s="695">
        <v>2.92</v>
      </c>
      <c r="L207" s="688">
        <v>43284</v>
      </c>
      <c r="M207" s="688"/>
      <c r="N207" s="689">
        <v>43284</v>
      </c>
      <c r="O207" s="690">
        <v>1649</v>
      </c>
      <c r="P207" s="34"/>
      <c r="Q207" s="1">
        <v>245</v>
      </c>
      <c r="R207" s="25">
        <v>155</v>
      </c>
      <c r="S207" s="1" t="s">
        <v>2044</v>
      </c>
      <c r="U207" s="4"/>
    </row>
    <row r="208" spans="3:21" ht="18" customHeight="1">
      <c r="C208" s="54"/>
      <c r="D208" s="50" t="s">
        <v>2038</v>
      </c>
      <c r="E208" s="47" t="s">
        <v>2045</v>
      </c>
      <c r="F208" s="682"/>
      <c r="G208" s="47" t="s">
        <v>25</v>
      </c>
      <c r="H208" s="46">
        <v>10</v>
      </c>
      <c r="I208" s="46">
        <v>10</v>
      </c>
      <c r="J208" s="46">
        <v>10</v>
      </c>
      <c r="K208" s="695">
        <v>1.06</v>
      </c>
      <c r="L208" s="688">
        <v>43284</v>
      </c>
      <c r="M208" s="688"/>
      <c r="N208" s="689">
        <v>43284</v>
      </c>
      <c r="O208" s="690">
        <v>1649</v>
      </c>
      <c r="P208" s="34"/>
      <c r="Q208" s="1">
        <v>89</v>
      </c>
      <c r="R208" s="25">
        <v>19</v>
      </c>
      <c r="S208" s="1" t="s">
        <v>106</v>
      </c>
      <c r="U208" s="4"/>
    </row>
    <row r="209" spans="3:21" ht="18" customHeight="1">
      <c r="C209" s="54"/>
      <c r="D209" s="50" t="s">
        <v>2038</v>
      </c>
      <c r="E209" s="47" t="s">
        <v>2046</v>
      </c>
      <c r="F209" s="682"/>
      <c r="G209" s="47" t="s">
        <v>25</v>
      </c>
      <c r="H209" s="46">
        <v>13.7</v>
      </c>
      <c r="I209" s="53">
        <v>1</v>
      </c>
      <c r="J209" s="46">
        <f>I209*H209</f>
        <v>13.7</v>
      </c>
      <c r="K209" s="695">
        <v>18.22</v>
      </c>
      <c r="L209" s="688">
        <v>43284</v>
      </c>
      <c r="M209" s="688"/>
      <c r="N209" s="689">
        <v>43284</v>
      </c>
      <c r="O209" s="690">
        <v>1649</v>
      </c>
      <c r="P209" s="34"/>
      <c r="Q209" s="1">
        <v>1530</v>
      </c>
      <c r="R209" s="25">
        <v>1480</v>
      </c>
      <c r="S209" s="1" t="s">
        <v>2019</v>
      </c>
      <c r="U209" s="4"/>
    </row>
    <row r="210" spans="3:21" ht="18" customHeight="1">
      <c r="C210" s="54"/>
      <c r="D210" s="50" t="s">
        <v>2038</v>
      </c>
      <c r="E210" s="47" t="s">
        <v>2047</v>
      </c>
      <c r="F210" s="682"/>
      <c r="G210" s="47" t="s">
        <v>25</v>
      </c>
      <c r="H210" s="46">
        <v>13.7</v>
      </c>
      <c r="I210" s="53">
        <v>1</v>
      </c>
      <c r="J210" s="46">
        <f>I210*H210</f>
        <v>13.7</v>
      </c>
      <c r="K210" s="695">
        <v>5.6</v>
      </c>
      <c r="L210" s="688">
        <v>43284</v>
      </c>
      <c r="M210" s="688"/>
      <c r="N210" s="689">
        <v>43284</v>
      </c>
      <c r="O210" s="690">
        <v>1649</v>
      </c>
      <c r="P210" s="34"/>
      <c r="Q210" s="1">
        <v>470</v>
      </c>
      <c r="R210" s="25">
        <v>440</v>
      </c>
      <c r="S210" s="1" t="s">
        <v>44</v>
      </c>
      <c r="U210" s="4"/>
    </row>
    <row r="211" spans="3:21" ht="18" customHeight="1">
      <c r="C211" s="54"/>
      <c r="D211" s="50" t="s">
        <v>2038</v>
      </c>
      <c r="E211" s="47" t="s">
        <v>2048</v>
      </c>
      <c r="F211" s="682"/>
      <c r="G211" s="47" t="s">
        <v>25</v>
      </c>
      <c r="H211" s="46">
        <v>13.7</v>
      </c>
      <c r="I211" s="53">
        <v>1</v>
      </c>
      <c r="J211" s="46">
        <f>I211*H211</f>
        <v>13.7</v>
      </c>
      <c r="K211" s="695">
        <v>6.2</v>
      </c>
      <c r="L211" s="688">
        <v>43284</v>
      </c>
      <c r="M211" s="688"/>
      <c r="N211" s="689">
        <v>43284</v>
      </c>
      <c r="O211" s="690">
        <v>1649</v>
      </c>
      <c r="P211" s="34"/>
      <c r="Q211" s="1">
        <v>520</v>
      </c>
      <c r="R211" s="25">
        <v>480</v>
      </c>
      <c r="S211" s="1" t="s">
        <v>2036</v>
      </c>
      <c r="U211" s="4"/>
    </row>
    <row r="212" spans="3:21" ht="18" customHeight="1">
      <c r="C212" s="54"/>
      <c r="D212" s="50" t="s">
        <v>2038</v>
      </c>
      <c r="E212" s="47" t="s">
        <v>2049</v>
      </c>
      <c r="F212" s="682"/>
      <c r="G212" s="47" t="s">
        <v>20</v>
      </c>
      <c r="H212" s="46">
        <v>13.7</v>
      </c>
      <c r="I212" s="53">
        <v>1</v>
      </c>
      <c r="J212" s="46">
        <f>I212*H212</f>
        <v>13.7</v>
      </c>
      <c r="K212" s="695">
        <v>9.9499999999999993</v>
      </c>
      <c r="L212" s="688">
        <v>43284</v>
      </c>
      <c r="M212" s="688"/>
      <c r="N212" s="689">
        <v>43284</v>
      </c>
      <c r="O212" s="690">
        <v>1649</v>
      </c>
      <c r="P212" s="34"/>
      <c r="R212" s="25" t="s">
        <v>2050</v>
      </c>
      <c r="U212" s="4"/>
    </row>
    <row r="213" spans="3:21" ht="18" customHeight="1">
      <c r="C213" s="54"/>
      <c r="D213" s="50" t="s">
        <v>2038</v>
      </c>
      <c r="E213" s="47" t="s">
        <v>2051</v>
      </c>
      <c r="F213" s="682"/>
      <c r="G213" s="47" t="s">
        <v>25</v>
      </c>
      <c r="H213" s="46">
        <v>10</v>
      </c>
      <c r="I213" s="46">
        <v>10</v>
      </c>
      <c r="J213" s="46">
        <v>10</v>
      </c>
      <c r="K213" s="695">
        <v>4.53</v>
      </c>
      <c r="L213" s="688">
        <v>43284</v>
      </c>
      <c r="M213" s="688"/>
      <c r="N213" s="689">
        <v>43284</v>
      </c>
      <c r="O213" s="690">
        <v>1649</v>
      </c>
      <c r="P213" s="34"/>
      <c r="Q213" s="1">
        <v>380</v>
      </c>
      <c r="R213" s="25">
        <v>310</v>
      </c>
      <c r="S213" s="1" t="s">
        <v>106</v>
      </c>
      <c r="U213" s="4"/>
    </row>
    <row r="214" spans="3:21" ht="18" customHeight="1">
      <c r="C214" s="54"/>
      <c r="D214" s="50" t="s">
        <v>2038</v>
      </c>
      <c r="E214" s="47">
        <v>4191</v>
      </c>
      <c r="F214" s="682"/>
      <c r="G214" s="47" t="s">
        <v>64</v>
      </c>
      <c r="H214" s="46">
        <v>30</v>
      </c>
      <c r="I214" s="53">
        <v>1</v>
      </c>
      <c r="J214" s="46">
        <f>I214*H214</f>
        <v>30</v>
      </c>
      <c r="K214" s="695">
        <v>1.85</v>
      </c>
      <c r="L214" s="688">
        <v>43284</v>
      </c>
      <c r="M214" s="688"/>
      <c r="N214" s="689">
        <v>43284</v>
      </c>
      <c r="O214" s="690">
        <v>1649</v>
      </c>
      <c r="P214" s="34"/>
      <c r="R214" s="1">
        <v>155</v>
      </c>
      <c r="U214" s="4"/>
    </row>
    <row r="215" spans="3:21" ht="18" customHeight="1">
      <c r="C215" s="54"/>
      <c r="D215" s="50" t="s">
        <v>2038</v>
      </c>
      <c r="E215" s="47">
        <v>4191</v>
      </c>
      <c r="F215" s="682"/>
      <c r="G215" s="47" t="s">
        <v>15</v>
      </c>
      <c r="H215" s="46">
        <v>30</v>
      </c>
      <c r="I215" s="53">
        <v>1</v>
      </c>
      <c r="J215" s="46">
        <f>I215*H215</f>
        <v>30</v>
      </c>
      <c r="K215" s="695">
        <v>1.85</v>
      </c>
      <c r="L215" s="688">
        <v>43284</v>
      </c>
      <c r="M215" s="688"/>
      <c r="N215" s="689">
        <v>43284</v>
      </c>
      <c r="O215" s="690">
        <v>1649</v>
      </c>
      <c r="P215" s="34"/>
      <c r="R215" s="1">
        <v>155</v>
      </c>
      <c r="U215" s="4"/>
    </row>
    <row r="216" spans="3:21" ht="18" customHeight="1">
      <c r="C216" s="54"/>
      <c r="D216" s="50" t="s">
        <v>2038</v>
      </c>
      <c r="E216" s="47" t="s">
        <v>2052</v>
      </c>
      <c r="F216" s="682"/>
      <c r="G216" s="47" t="s">
        <v>34</v>
      </c>
      <c r="H216" s="46">
        <v>100</v>
      </c>
      <c r="I216" s="53">
        <v>1</v>
      </c>
      <c r="J216" s="46">
        <f>I216*H216</f>
        <v>100</v>
      </c>
      <c r="K216" s="695">
        <v>0.91</v>
      </c>
      <c r="L216" s="688">
        <v>43284</v>
      </c>
      <c r="M216" s="688"/>
      <c r="N216" s="689">
        <v>43284</v>
      </c>
      <c r="O216" s="690">
        <v>1649</v>
      </c>
      <c r="P216" s="34"/>
      <c r="R216" s="1">
        <v>76</v>
      </c>
      <c r="U216" s="4"/>
    </row>
    <row r="217" spans="3:21" ht="18" customHeight="1">
      <c r="C217" s="54"/>
      <c r="D217" s="50" t="s">
        <v>2038</v>
      </c>
      <c r="E217" s="47" t="s">
        <v>2052</v>
      </c>
      <c r="F217" s="682"/>
      <c r="G217" s="47" t="s">
        <v>80</v>
      </c>
      <c r="H217" s="46">
        <v>100</v>
      </c>
      <c r="I217" s="53">
        <v>1</v>
      </c>
      <c r="J217" s="46">
        <f>I217*H217</f>
        <v>100</v>
      </c>
      <c r="K217" s="695">
        <v>0.91</v>
      </c>
      <c r="L217" s="688">
        <v>43284</v>
      </c>
      <c r="M217" s="688"/>
      <c r="N217" s="689">
        <v>43284</v>
      </c>
      <c r="O217" s="690">
        <v>1649</v>
      </c>
      <c r="P217" s="34"/>
      <c r="R217" s="1">
        <v>76</v>
      </c>
      <c r="U217" s="4"/>
    </row>
    <row r="218" spans="3:21" ht="18" customHeight="1">
      <c r="C218" s="54"/>
      <c r="D218" s="50" t="s">
        <v>2038</v>
      </c>
      <c r="E218" s="61"/>
      <c r="F218" s="59"/>
      <c r="G218" s="59" t="s">
        <v>13</v>
      </c>
      <c r="H218" s="30" t="s">
        <v>28</v>
      </c>
      <c r="I218" s="53"/>
      <c r="J218" s="46"/>
      <c r="K218" s="695">
        <v>50</v>
      </c>
      <c r="L218" s="688">
        <v>43284</v>
      </c>
      <c r="M218" s="688"/>
      <c r="N218" s="689">
        <v>43284</v>
      </c>
      <c r="O218" s="690">
        <v>1649</v>
      </c>
      <c r="P218" s="34"/>
      <c r="Q218" s="683"/>
      <c r="U218" s="4"/>
    </row>
    <row r="219" spans="3:21" ht="18" customHeight="1">
      <c r="C219" s="4"/>
      <c r="D219" s="50"/>
      <c r="E219" s="51" t="s">
        <v>1848</v>
      </c>
      <c r="F219" s="52"/>
      <c r="G219" s="47"/>
      <c r="H219" s="46"/>
      <c r="I219" s="53"/>
      <c r="J219" s="46"/>
      <c r="K219" s="58" t="s">
        <v>8</v>
      </c>
      <c r="L219" s="688"/>
      <c r="M219" s="688"/>
      <c r="N219" s="689"/>
      <c r="O219" s="690"/>
      <c r="P219" s="34"/>
      <c r="Q219" s="50"/>
      <c r="R219"/>
      <c r="S219"/>
      <c r="T219" s="1304"/>
      <c r="U219" s="343"/>
    </row>
    <row r="220" spans="3:21" ht="18" customHeight="1">
      <c r="C220" s="54" t="s">
        <v>2053</v>
      </c>
      <c r="D220" s="50" t="s">
        <v>1850</v>
      </c>
      <c r="E220" s="47" t="s">
        <v>2054</v>
      </c>
      <c r="F220" s="682"/>
      <c r="G220" s="47" t="s">
        <v>46</v>
      </c>
      <c r="H220" s="46">
        <v>13.7</v>
      </c>
      <c r="I220" s="53">
        <v>1</v>
      </c>
      <c r="J220" s="46">
        <f>I220*H220</f>
        <v>13.7</v>
      </c>
      <c r="K220" s="695">
        <v>6.2</v>
      </c>
      <c r="L220" s="688">
        <v>43276</v>
      </c>
      <c r="M220" s="688"/>
      <c r="N220" s="689">
        <v>43276</v>
      </c>
      <c r="O220" s="690" t="s">
        <v>2055</v>
      </c>
      <c r="P220" s="34"/>
      <c r="Q220" s="1">
        <v>520</v>
      </c>
      <c r="R220" s="1">
        <v>460</v>
      </c>
      <c r="S220" s="1" t="s">
        <v>2056</v>
      </c>
      <c r="U220" s="4"/>
    </row>
    <row r="221" spans="3:21" ht="18" customHeight="1">
      <c r="C221" s="54" t="s">
        <v>2053</v>
      </c>
      <c r="D221" s="50" t="s">
        <v>1850</v>
      </c>
      <c r="E221" s="61"/>
      <c r="F221" s="59"/>
      <c r="G221" s="59" t="s">
        <v>13</v>
      </c>
      <c r="H221" s="30" t="s">
        <v>28</v>
      </c>
      <c r="I221" s="53"/>
      <c r="J221" s="46"/>
      <c r="K221" s="695">
        <v>12</v>
      </c>
      <c r="L221" s="688">
        <v>43276</v>
      </c>
      <c r="M221" s="688"/>
      <c r="N221" s="689">
        <v>43276</v>
      </c>
      <c r="O221" s="690" t="s">
        <v>2055</v>
      </c>
      <c r="P221" s="34"/>
      <c r="Q221" s="683"/>
      <c r="U221" s="4"/>
    </row>
    <row r="222" spans="3:21" ht="18" customHeight="1">
      <c r="C222" s="4"/>
      <c r="D222" s="50"/>
      <c r="E222" s="51" t="s">
        <v>1848</v>
      </c>
      <c r="F222" s="52"/>
      <c r="G222" s="47"/>
      <c r="H222" s="46"/>
      <c r="I222" s="53"/>
      <c r="J222" s="46"/>
      <c r="K222" s="58" t="s">
        <v>8</v>
      </c>
      <c r="L222" s="688"/>
      <c r="M222" s="688"/>
      <c r="N222" s="689"/>
      <c r="O222" s="690"/>
      <c r="P222" s="34"/>
      <c r="Q222" s="50"/>
      <c r="R222"/>
      <c r="S222"/>
      <c r="T222" s="1304"/>
      <c r="U222" s="343"/>
    </row>
    <row r="223" spans="3:21" ht="18" customHeight="1">
      <c r="C223" s="54" t="s">
        <v>2057</v>
      </c>
      <c r="D223" s="50" t="s">
        <v>1850</v>
      </c>
      <c r="E223" s="47" t="s">
        <v>2058</v>
      </c>
      <c r="F223" s="682"/>
      <c r="G223" s="47" t="s">
        <v>46</v>
      </c>
      <c r="H223" s="46">
        <v>13.7</v>
      </c>
      <c r="I223" s="53">
        <v>1</v>
      </c>
      <c r="J223" s="46">
        <f>I223*H223</f>
        <v>13.7</v>
      </c>
      <c r="K223" s="695">
        <v>7.5</v>
      </c>
      <c r="L223" s="688">
        <v>43280</v>
      </c>
      <c r="M223" s="688"/>
      <c r="N223" s="689">
        <v>43280</v>
      </c>
      <c r="O223" s="690" t="s">
        <v>2059</v>
      </c>
      <c r="P223" s="34"/>
      <c r="Q223" s="1">
        <v>630</v>
      </c>
      <c r="R223" s="1">
        <v>570</v>
      </c>
      <c r="S223" s="1" t="s">
        <v>2056</v>
      </c>
      <c r="U223" s="4"/>
    </row>
    <row r="224" spans="3:21" ht="18" customHeight="1">
      <c r="C224" s="54" t="s">
        <v>2057</v>
      </c>
      <c r="D224" s="50" t="s">
        <v>1850</v>
      </c>
      <c r="E224" s="61"/>
      <c r="F224" s="59"/>
      <c r="G224" s="59" t="s">
        <v>13</v>
      </c>
      <c r="H224" s="30" t="s">
        <v>28</v>
      </c>
      <c r="I224" s="53"/>
      <c r="J224" s="46"/>
      <c r="K224" s="695">
        <v>12</v>
      </c>
      <c r="L224" s="688">
        <v>43280</v>
      </c>
      <c r="M224" s="688"/>
      <c r="N224" s="689">
        <v>43280</v>
      </c>
      <c r="O224" s="690" t="s">
        <v>2059</v>
      </c>
      <c r="P224" s="34"/>
      <c r="Q224" s="683"/>
      <c r="U224" s="4"/>
    </row>
    <row r="225" spans="3:21" ht="18" customHeight="1">
      <c r="C225" s="4"/>
      <c r="D225" s="50"/>
      <c r="E225" s="51" t="s">
        <v>1848</v>
      </c>
      <c r="F225" s="52"/>
      <c r="G225" s="47"/>
      <c r="H225" s="46"/>
      <c r="I225" s="53"/>
      <c r="J225" s="46"/>
      <c r="K225" s="58" t="s">
        <v>8</v>
      </c>
      <c r="L225" s="688"/>
      <c r="M225" s="688"/>
      <c r="N225" s="689"/>
      <c r="O225" s="690"/>
      <c r="P225" s="34"/>
      <c r="Q225" s="50"/>
      <c r="R225"/>
      <c r="S225"/>
      <c r="T225" s="1304"/>
      <c r="U225" s="343"/>
    </row>
    <row r="226" spans="3:21" ht="18" customHeight="1">
      <c r="C226" s="54" t="s">
        <v>2060</v>
      </c>
      <c r="D226" s="50" t="s">
        <v>1850</v>
      </c>
      <c r="E226" s="47" t="s">
        <v>2034</v>
      </c>
      <c r="F226" s="682"/>
      <c r="G226" s="47" t="s">
        <v>46</v>
      </c>
      <c r="H226" s="46">
        <v>13.7</v>
      </c>
      <c r="I226" s="53">
        <v>1</v>
      </c>
      <c r="J226" s="46">
        <f>I226*H226</f>
        <v>13.7</v>
      </c>
      <c r="K226" s="695">
        <v>5.9</v>
      </c>
      <c r="L226" s="688">
        <v>43290</v>
      </c>
      <c r="M226" s="688"/>
      <c r="N226" s="689">
        <v>43290</v>
      </c>
      <c r="O226" s="690" t="s">
        <v>2061</v>
      </c>
      <c r="P226" s="34"/>
      <c r="Q226" s="1">
        <v>495</v>
      </c>
      <c r="R226" s="1">
        <v>455</v>
      </c>
      <c r="S226" s="1" t="s">
        <v>2036</v>
      </c>
      <c r="U226" s="4"/>
    </row>
    <row r="227" spans="3:21" ht="18" customHeight="1">
      <c r="C227" s="54" t="s">
        <v>2060</v>
      </c>
      <c r="D227" s="50" t="s">
        <v>1850</v>
      </c>
      <c r="E227" s="47" t="s">
        <v>2034</v>
      </c>
      <c r="F227" s="682"/>
      <c r="G227" s="47" t="s">
        <v>46</v>
      </c>
      <c r="H227" s="46">
        <v>9</v>
      </c>
      <c r="I227" s="53">
        <v>1</v>
      </c>
      <c r="J227" s="46">
        <f>I227*H227</f>
        <v>9</v>
      </c>
      <c r="K227" s="695">
        <v>5.9</v>
      </c>
      <c r="L227" s="688">
        <v>43290</v>
      </c>
      <c r="M227" s="688"/>
      <c r="N227" s="689">
        <v>43290</v>
      </c>
      <c r="O227" s="690" t="s">
        <v>2061</v>
      </c>
      <c r="P227" s="34"/>
      <c r="Q227" s="1">
        <v>495</v>
      </c>
      <c r="R227" s="1">
        <v>455</v>
      </c>
      <c r="S227" s="1" t="s">
        <v>2036</v>
      </c>
      <c r="U227" s="4"/>
    </row>
    <row r="228" spans="3:21" ht="18" customHeight="1">
      <c r="C228" s="54" t="s">
        <v>2060</v>
      </c>
      <c r="D228" s="50" t="s">
        <v>1850</v>
      </c>
      <c r="E228" s="61"/>
      <c r="F228" s="59"/>
      <c r="G228" s="59" t="s">
        <v>13</v>
      </c>
      <c r="H228" s="30" t="s">
        <v>28</v>
      </c>
      <c r="I228" s="53"/>
      <c r="J228" s="46"/>
      <c r="K228" s="695">
        <v>12</v>
      </c>
      <c r="L228" s="688">
        <v>43290</v>
      </c>
      <c r="M228" s="688"/>
      <c r="N228" s="689">
        <v>43290</v>
      </c>
      <c r="O228" s="690" t="s">
        <v>2061</v>
      </c>
      <c r="P228" s="34"/>
      <c r="Q228" s="683"/>
      <c r="U228" s="4"/>
    </row>
    <row r="229" spans="3:21" ht="18" customHeight="1">
      <c r="C229" s="4"/>
      <c r="D229" s="50"/>
      <c r="E229" s="51" t="s">
        <v>1848</v>
      </c>
      <c r="F229" s="52"/>
      <c r="G229" s="47"/>
      <c r="H229" s="46"/>
      <c r="I229" s="53"/>
      <c r="J229" s="46"/>
      <c r="K229" s="58" t="s">
        <v>8</v>
      </c>
      <c r="L229" s="688"/>
      <c r="M229" s="688"/>
      <c r="N229" s="689"/>
      <c r="O229" s="690"/>
      <c r="P229" s="34"/>
      <c r="Q229" s="50"/>
      <c r="R229"/>
      <c r="S229"/>
      <c r="T229" s="1304"/>
      <c r="U229" s="343"/>
    </row>
    <row r="230" spans="3:21" ht="18" customHeight="1">
      <c r="C230" s="54" t="s">
        <v>2062</v>
      </c>
      <c r="D230" s="50" t="s">
        <v>1850</v>
      </c>
      <c r="E230" s="47" t="s">
        <v>2063</v>
      </c>
      <c r="F230" s="682" t="s">
        <v>97</v>
      </c>
      <c r="G230" s="47" t="s">
        <v>46</v>
      </c>
      <c r="H230" s="46">
        <v>6</v>
      </c>
      <c r="I230" s="46">
        <v>6</v>
      </c>
      <c r="J230" s="46">
        <v>6</v>
      </c>
      <c r="K230" s="695">
        <v>9.69</v>
      </c>
      <c r="L230" s="688">
        <v>43300</v>
      </c>
      <c r="M230" s="688"/>
      <c r="N230" s="689">
        <v>43300</v>
      </c>
      <c r="O230" s="690" t="s">
        <v>2064</v>
      </c>
      <c r="P230" s="34"/>
      <c r="R230" s="1">
        <v>880</v>
      </c>
      <c r="U230" s="4"/>
    </row>
    <row r="231" spans="3:21" ht="18" customHeight="1">
      <c r="C231" s="54" t="s">
        <v>2062</v>
      </c>
      <c r="D231" s="50" t="s">
        <v>1850</v>
      </c>
      <c r="E231" s="61"/>
      <c r="F231" s="59"/>
      <c r="G231" s="59" t="s">
        <v>154</v>
      </c>
      <c r="H231" s="30" t="s">
        <v>28</v>
      </c>
      <c r="I231" s="53"/>
      <c r="J231" s="46"/>
      <c r="K231" s="695">
        <v>12</v>
      </c>
      <c r="L231" s="688">
        <v>43300</v>
      </c>
      <c r="M231" s="688"/>
      <c r="N231" s="689">
        <v>43300</v>
      </c>
      <c r="O231" s="690" t="s">
        <v>2064</v>
      </c>
      <c r="P231" s="34"/>
      <c r="Q231" s="683"/>
      <c r="U231" s="4"/>
    </row>
    <row r="232" spans="3:21" ht="18" customHeight="1">
      <c r="C232" s="54" t="s">
        <v>2062</v>
      </c>
      <c r="D232" s="50" t="s">
        <v>1850</v>
      </c>
      <c r="E232" s="61"/>
      <c r="F232" s="59"/>
      <c r="G232" s="59" t="s">
        <v>13</v>
      </c>
      <c r="H232" s="30" t="s">
        <v>28</v>
      </c>
      <c r="I232" s="53"/>
      <c r="J232" s="46"/>
      <c r="K232" s="695">
        <v>12</v>
      </c>
      <c r="L232" s="688">
        <v>43300</v>
      </c>
      <c r="M232" s="688"/>
      <c r="N232" s="689">
        <v>43300</v>
      </c>
      <c r="O232" s="690" t="s">
        <v>2064</v>
      </c>
      <c r="P232" s="34"/>
      <c r="Q232" s="683"/>
      <c r="U232" s="4"/>
    </row>
    <row r="233" spans="3:21" ht="18" customHeight="1">
      <c r="C233" s="4"/>
      <c r="D233" s="50"/>
      <c r="E233" s="51" t="s">
        <v>2025</v>
      </c>
      <c r="F233" s="52"/>
      <c r="G233" s="47"/>
      <c r="H233" s="46"/>
      <c r="I233" s="53"/>
      <c r="J233" s="46"/>
      <c r="K233" s="58" t="s">
        <v>8</v>
      </c>
      <c r="L233" s="688"/>
      <c r="M233" s="688"/>
      <c r="N233" s="689"/>
      <c r="O233" s="690"/>
      <c r="P233" s="34"/>
      <c r="Q233" s="50"/>
      <c r="R233"/>
      <c r="S233"/>
      <c r="T233" s="1304"/>
      <c r="U233" s="343"/>
    </row>
    <row r="234" spans="3:21" ht="18" customHeight="1">
      <c r="C234" s="54" t="s">
        <v>2065</v>
      </c>
      <c r="D234" s="50" t="s">
        <v>2027</v>
      </c>
      <c r="E234" s="66">
        <v>3910</v>
      </c>
      <c r="F234" s="682">
        <v>6</v>
      </c>
      <c r="G234" s="47" t="s">
        <v>2028</v>
      </c>
      <c r="H234" s="46">
        <v>30</v>
      </c>
      <c r="I234" s="53">
        <v>7</v>
      </c>
      <c r="J234" s="46">
        <f>I234*H234</f>
        <v>210</v>
      </c>
      <c r="K234" s="695">
        <v>0.26</v>
      </c>
      <c r="L234" s="688"/>
      <c r="M234" s="688"/>
      <c r="N234" s="689"/>
      <c r="O234" s="690"/>
      <c r="P234" s="34"/>
      <c r="R234" s="1">
        <v>18.170000000000002</v>
      </c>
      <c r="U234" s="4"/>
    </row>
    <row r="235" spans="3:21" s="7" customFormat="1" ht="15">
      <c r="C235" s="6"/>
      <c r="D235" s="13"/>
      <c r="E235" s="18" t="s">
        <v>84</v>
      </c>
      <c r="F235" s="23"/>
      <c r="G235" s="21"/>
      <c r="H235" s="55"/>
      <c r="I235" s="56"/>
      <c r="J235" s="55"/>
      <c r="K235" s="15" t="s">
        <v>8</v>
      </c>
      <c r="L235" s="10"/>
      <c r="M235" s="10"/>
      <c r="N235" s="13"/>
      <c r="O235" s="13"/>
      <c r="P235" s="100"/>
      <c r="Q235" s="100"/>
      <c r="T235" s="1301"/>
      <c r="U235" s="6" t="s">
        <v>3</v>
      </c>
    </row>
    <row r="236" spans="3:21" ht="18" customHeight="1">
      <c r="C236" s="54" t="s">
        <v>2065</v>
      </c>
      <c r="D236" s="50" t="s">
        <v>2027</v>
      </c>
      <c r="E236" s="66">
        <v>14552</v>
      </c>
      <c r="F236" s="682">
        <v>9</v>
      </c>
      <c r="G236" s="47" t="s">
        <v>258</v>
      </c>
      <c r="H236" s="46">
        <v>30</v>
      </c>
      <c r="I236" s="53">
        <v>1</v>
      </c>
      <c r="J236" s="46">
        <f>I236*H236</f>
        <v>30</v>
      </c>
      <c r="K236" s="695">
        <v>0.38</v>
      </c>
      <c r="L236" s="688"/>
      <c r="M236" s="688"/>
      <c r="N236" s="689"/>
      <c r="O236" s="690"/>
      <c r="P236" s="34"/>
      <c r="R236" s="1">
        <v>27</v>
      </c>
      <c r="U236" s="4"/>
    </row>
    <row r="237" spans="3:21" ht="18" customHeight="1">
      <c r="C237" s="54" t="s">
        <v>2065</v>
      </c>
      <c r="D237" s="50" t="s">
        <v>2027</v>
      </c>
      <c r="E237" s="66">
        <v>14552</v>
      </c>
      <c r="F237" s="682">
        <v>12</v>
      </c>
      <c r="G237" s="47" t="s">
        <v>258</v>
      </c>
      <c r="H237" s="46">
        <v>30</v>
      </c>
      <c r="I237" s="53">
        <v>1</v>
      </c>
      <c r="J237" s="46">
        <f>I237*H237</f>
        <v>30</v>
      </c>
      <c r="K237" s="695">
        <v>0.41</v>
      </c>
      <c r="L237" s="688"/>
      <c r="M237" s="688"/>
      <c r="N237" s="689"/>
      <c r="O237" s="690"/>
      <c r="P237" s="34"/>
      <c r="R237" s="1">
        <v>29.5</v>
      </c>
      <c r="U237" s="4"/>
    </row>
    <row r="238" spans="3:21" ht="18" customHeight="1">
      <c r="C238" s="54" t="s">
        <v>2065</v>
      </c>
      <c r="D238" s="50" t="s">
        <v>2027</v>
      </c>
      <c r="E238" s="66">
        <v>14552</v>
      </c>
      <c r="F238" s="682">
        <v>15</v>
      </c>
      <c r="G238" s="47" t="s">
        <v>258</v>
      </c>
      <c r="H238" s="46">
        <v>30</v>
      </c>
      <c r="I238" s="53">
        <v>1</v>
      </c>
      <c r="J238" s="46">
        <f>I238*H238</f>
        <v>30</v>
      </c>
      <c r="K238" s="695">
        <v>0.46</v>
      </c>
      <c r="L238" s="688"/>
      <c r="M238" s="688"/>
      <c r="N238" s="689"/>
      <c r="O238" s="690"/>
      <c r="P238" s="34"/>
      <c r="R238" s="1">
        <v>33</v>
      </c>
      <c r="U238" s="4"/>
    </row>
    <row r="239" spans="3:21" ht="18" customHeight="1">
      <c r="C239" s="54" t="s">
        <v>2065</v>
      </c>
      <c r="D239" s="50" t="s">
        <v>2027</v>
      </c>
      <c r="E239" s="61"/>
      <c r="F239" s="59"/>
      <c r="G239" s="59" t="s">
        <v>13</v>
      </c>
      <c r="H239" s="30" t="s">
        <v>28</v>
      </c>
      <c r="I239" s="53"/>
      <c r="J239" s="46"/>
      <c r="K239" s="695">
        <v>12</v>
      </c>
      <c r="L239" s="688"/>
      <c r="M239" s="688"/>
      <c r="N239" s="689"/>
      <c r="O239" s="690"/>
      <c r="P239" s="34"/>
      <c r="Q239" s="683"/>
      <c r="U239" s="4"/>
    </row>
    <row r="240" spans="3:21" ht="18" customHeight="1">
      <c r="C240" s="4"/>
      <c r="D240" s="50"/>
      <c r="E240" s="51" t="s">
        <v>2066</v>
      </c>
      <c r="F240" s="52"/>
      <c r="G240" s="47"/>
      <c r="H240" s="46"/>
      <c r="I240" s="53"/>
      <c r="J240" s="46"/>
      <c r="K240" s="58" t="s">
        <v>8</v>
      </c>
      <c r="L240" s="688"/>
      <c r="M240" s="688"/>
      <c r="N240" s="689"/>
      <c r="O240" s="690"/>
      <c r="P240" s="34"/>
      <c r="Q240" s="50"/>
      <c r="R240"/>
      <c r="S240"/>
      <c r="T240" s="1304"/>
      <c r="U240" s="343"/>
    </row>
    <row r="241" spans="3:21" ht="18" customHeight="1">
      <c r="C241" s="54" t="s">
        <v>2067</v>
      </c>
      <c r="D241" s="50" t="s">
        <v>1916</v>
      </c>
      <c r="E241" s="47">
        <v>12720</v>
      </c>
      <c r="F241" s="682">
        <v>9</v>
      </c>
      <c r="G241" s="47" t="s">
        <v>219</v>
      </c>
      <c r="H241" s="46">
        <v>10</v>
      </c>
      <c r="I241" s="53">
        <v>2</v>
      </c>
      <c r="J241" s="46">
        <f>I241*H241</f>
        <v>20</v>
      </c>
      <c r="K241" s="695">
        <v>0.63</v>
      </c>
      <c r="L241" s="688">
        <v>43311</v>
      </c>
      <c r="M241" s="688"/>
      <c r="N241" s="689">
        <v>43311</v>
      </c>
      <c r="O241" s="694" t="s">
        <v>2068</v>
      </c>
      <c r="P241" s="34"/>
      <c r="R241" s="1">
        <v>45</v>
      </c>
      <c r="U241" s="4"/>
    </row>
    <row r="242" spans="3:21" ht="18" customHeight="1">
      <c r="C242" s="54" t="s">
        <v>2067</v>
      </c>
      <c r="D242" s="50" t="s">
        <v>1916</v>
      </c>
      <c r="E242" s="61"/>
      <c r="F242" s="59"/>
      <c r="G242" s="59" t="s">
        <v>13</v>
      </c>
      <c r="H242" s="30" t="s">
        <v>28</v>
      </c>
      <c r="I242" s="53"/>
      <c r="J242" s="46"/>
      <c r="K242" s="695">
        <v>12</v>
      </c>
      <c r="L242" s="688">
        <v>43311</v>
      </c>
      <c r="M242" s="688"/>
      <c r="N242" s="689">
        <v>43311</v>
      </c>
      <c r="O242" s="694" t="s">
        <v>2068</v>
      </c>
      <c r="P242" s="34"/>
      <c r="Q242" s="683"/>
      <c r="U242" s="4"/>
    </row>
    <row r="243" spans="3:21" ht="18" customHeight="1">
      <c r="C243" s="4"/>
      <c r="D243" s="50"/>
      <c r="E243" s="51" t="s">
        <v>1848</v>
      </c>
      <c r="F243" s="52"/>
      <c r="G243" s="47"/>
      <c r="H243" s="46"/>
      <c r="I243" s="53"/>
      <c r="J243" s="46"/>
      <c r="K243" s="58" t="s">
        <v>8</v>
      </c>
      <c r="L243" s="688"/>
      <c r="M243" s="688"/>
      <c r="N243" s="689"/>
      <c r="O243" s="690"/>
      <c r="P243" s="34"/>
      <c r="Q243" s="50"/>
      <c r="R243"/>
      <c r="S243"/>
      <c r="T243" s="1304"/>
      <c r="U243" s="343"/>
    </row>
    <row r="244" spans="3:21" ht="18" customHeight="1">
      <c r="C244" s="54" t="s">
        <v>2069</v>
      </c>
      <c r="D244" s="50" t="s">
        <v>1850</v>
      </c>
      <c r="E244" s="47" t="s">
        <v>2070</v>
      </c>
      <c r="F244" s="682"/>
      <c r="G244" s="47" t="s">
        <v>46</v>
      </c>
      <c r="H244" s="46">
        <v>13.7</v>
      </c>
      <c r="I244" s="53">
        <v>1</v>
      </c>
      <c r="J244" s="46">
        <v>13.7</v>
      </c>
      <c r="K244" s="695">
        <v>2.92</v>
      </c>
      <c r="L244" s="688">
        <v>43357</v>
      </c>
      <c r="M244" s="688"/>
      <c r="N244" s="689">
        <v>43357</v>
      </c>
      <c r="O244" s="690" t="s">
        <v>2071</v>
      </c>
      <c r="P244" s="34"/>
      <c r="Q244" s="1">
        <v>210</v>
      </c>
      <c r="R244" s="1">
        <v>180</v>
      </c>
      <c r="S244" s="1" t="s">
        <v>44</v>
      </c>
      <c r="U244" s="4"/>
    </row>
    <row r="245" spans="3:21" ht="18" customHeight="1">
      <c r="C245" s="54" t="s">
        <v>2069</v>
      </c>
      <c r="D245" s="50" t="s">
        <v>1850</v>
      </c>
      <c r="E245" s="61"/>
      <c r="F245" s="59"/>
      <c r="G245" s="59" t="s">
        <v>13</v>
      </c>
      <c r="H245" s="30" t="s">
        <v>28</v>
      </c>
      <c r="I245" s="53"/>
      <c r="J245" s="46"/>
      <c r="K245" s="695">
        <v>12</v>
      </c>
      <c r="L245" s="688">
        <v>43357</v>
      </c>
      <c r="M245" s="688"/>
      <c r="N245" s="689">
        <v>43357</v>
      </c>
      <c r="O245" s="690" t="s">
        <v>2071</v>
      </c>
      <c r="P245" s="34"/>
      <c r="Q245" s="683"/>
      <c r="U245" s="4"/>
    </row>
    <row r="246" spans="3:21" ht="18" customHeight="1">
      <c r="C246" s="4"/>
      <c r="D246" s="50"/>
      <c r="E246" s="51" t="s">
        <v>2072</v>
      </c>
      <c r="F246" s="52"/>
      <c r="G246" s="47"/>
      <c r="H246" s="46"/>
      <c r="I246" s="53"/>
      <c r="J246" s="46"/>
      <c r="K246" s="58" t="s">
        <v>47</v>
      </c>
      <c r="L246" s="688"/>
      <c r="M246" s="688"/>
      <c r="N246" s="689"/>
      <c r="O246" s="690"/>
      <c r="P246" s="34"/>
      <c r="Q246" s="50"/>
      <c r="R246"/>
      <c r="S246"/>
      <c r="T246" s="1304"/>
      <c r="U246" s="343"/>
    </row>
    <row r="247" spans="3:21" ht="18" customHeight="1">
      <c r="C247" s="54" t="s">
        <v>2073</v>
      </c>
      <c r="D247" s="50" t="s">
        <v>2074</v>
      </c>
      <c r="E247" s="47" t="s">
        <v>2075</v>
      </c>
      <c r="F247" s="682"/>
      <c r="G247" s="47" t="s">
        <v>2076</v>
      </c>
      <c r="H247" s="30" t="s">
        <v>102</v>
      </c>
      <c r="I247" s="53"/>
      <c r="J247" s="46"/>
      <c r="K247" s="695">
        <v>100</v>
      </c>
      <c r="L247" s="688">
        <v>43370</v>
      </c>
      <c r="M247" s="688"/>
      <c r="N247" s="689">
        <v>43370</v>
      </c>
      <c r="O247" s="690" t="s">
        <v>2077</v>
      </c>
      <c r="P247" s="701"/>
      <c r="Q247" s="50"/>
      <c r="R247" s="1">
        <v>13500</v>
      </c>
      <c r="U247" s="4"/>
    </row>
    <row r="248" spans="3:21" ht="18" customHeight="1">
      <c r="C248" s="4"/>
      <c r="D248" s="50"/>
      <c r="E248" s="51" t="s">
        <v>2072</v>
      </c>
      <c r="F248" s="52"/>
      <c r="G248" s="47"/>
      <c r="H248" s="46"/>
      <c r="I248" s="53"/>
      <c r="J248" s="46"/>
      <c r="K248" s="58" t="s">
        <v>47</v>
      </c>
      <c r="L248" s="688"/>
      <c r="M248" s="688"/>
      <c r="N248" s="689"/>
      <c r="O248" s="690"/>
      <c r="P248" s="701"/>
      <c r="Q248" s="50"/>
      <c r="R248"/>
      <c r="S248"/>
      <c r="T248" s="1304"/>
      <c r="U248" s="343"/>
    </row>
    <row r="249" spans="3:21" ht="18" customHeight="1">
      <c r="C249" s="54" t="s">
        <v>2078</v>
      </c>
      <c r="D249" s="50" t="s">
        <v>2074</v>
      </c>
      <c r="E249" s="47" t="s">
        <v>2079</v>
      </c>
      <c r="F249" s="682"/>
      <c r="G249" s="47" t="s">
        <v>2076</v>
      </c>
      <c r="H249" s="30" t="s">
        <v>102</v>
      </c>
      <c r="I249" s="53"/>
      <c r="J249" s="46"/>
      <c r="K249" s="695">
        <v>115</v>
      </c>
      <c r="L249" s="688">
        <v>43374</v>
      </c>
      <c r="M249" s="688"/>
      <c r="N249" s="689">
        <v>43374</v>
      </c>
      <c r="O249" s="690" t="s">
        <v>2080</v>
      </c>
      <c r="P249" s="701"/>
      <c r="Q249" s="50"/>
      <c r="R249" s="1">
        <v>13500</v>
      </c>
      <c r="U249" s="4"/>
    </row>
    <row r="250" spans="3:21" ht="18" customHeight="1">
      <c r="C250" s="4"/>
      <c r="D250" s="50"/>
      <c r="E250" s="51" t="s">
        <v>1848</v>
      </c>
      <c r="F250" s="52"/>
      <c r="G250" s="47"/>
      <c r="H250" s="46"/>
      <c r="I250" s="53"/>
      <c r="J250" s="46"/>
      <c r="K250" s="58" t="s">
        <v>8</v>
      </c>
      <c r="L250" s="688"/>
      <c r="M250" s="688"/>
      <c r="N250" s="689"/>
      <c r="O250" s="702"/>
      <c r="P250" s="701"/>
      <c r="Q250" s="50"/>
      <c r="R250"/>
      <c r="S250"/>
      <c r="T250" s="1304"/>
      <c r="U250" s="343"/>
    </row>
    <row r="251" spans="3:21" ht="18" customHeight="1">
      <c r="C251" s="54" t="s">
        <v>2081</v>
      </c>
      <c r="D251" s="50" t="s">
        <v>1850</v>
      </c>
      <c r="E251" s="47" t="s">
        <v>2034</v>
      </c>
      <c r="F251" s="682"/>
      <c r="G251" s="47" t="s">
        <v>46</v>
      </c>
      <c r="H251" s="46">
        <v>13.7</v>
      </c>
      <c r="I251" s="53">
        <v>1</v>
      </c>
      <c r="J251" s="46">
        <v>13.7</v>
      </c>
      <c r="K251" s="695">
        <v>5.9</v>
      </c>
      <c r="L251" s="688">
        <v>43395</v>
      </c>
      <c r="M251" s="688"/>
      <c r="N251" s="689">
        <v>43395</v>
      </c>
      <c r="O251" s="690" t="s">
        <v>2082</v>
      </c>
      <c r="P251" s="701"/>
      <c r="Q251" s="50">
        <v>495</v>
      </c>
      <c r="R251" s="1">
        <v>455</v>
      </c>
      <c r="S251" s="1" t="s">
        <v>2036</v>
      </c>
      <c r="U251" s="4"/>
    </row>
    <row r="252" spans="3:21" ht="18" customHeight="1">
      <c r="C252" s="54" t="s">
        <v>2081</v>
      </c>
      <c r="D252" s="50" t="s">
        <v>1850</v>
      </c>
      <c r="E252" s="61"/>
      <c r="F252" s="59"/>
      <c r="G252" s="59" t="s">
        <v>13</v>
      </c>
      <c r="H252" s="30" t="s">
        <v>28</v>
      </c>
      <c r="I252" s="53"/>
      <c r="J252" s="46"/>
      <c r="K252" s="695">
        <v>12</v>
      </c>
      <c r="L252" s="688">
        <v>43395</v>
      </c>
      <c r="M252" s="688"/>
      <c r="N252" s="689">
        <v>43395</v>
      </c>
      <c r="O252" s="690" t="s">
        <v>2082</v>
      </c>
      <c r="P252" s="701"/>
      <c r="Q252" s="683"/>
      <c r="U252" s="4"/>
    </row>
    <row r="253" spans="3:21" ht="18" customHeight="1">
      <c r="C253" s="4"/>
      <c r="D253" s="50"/>
      <c r="E253" s="51" t="s">
        <v>27</v>
      </c>
      <c r="F253" s="52"/>
      <c r="G253" s="47"/>
      <c r="H253" s="46"/>
      <c r="I253" s="53"/>
      <c r="J253" s="46"/>
      <c r="K253" s="58" t="s">
        <v>8</v>
      </c>
      <c r="L253" s="688"/>
      <c r="M253" s="688"/>
      <c r="N253" s="689"/>
      <c r="O253" s="690"/>
      <c r="P253" s="701"/>
      <c r="Q253" s="50"/>
      <c r="R253"/>
      <c r="S253"/>
      <c r="T253" s="1304"/>
      <c r="U253" s="343"/>
    </row>
    <row r="254" spans="3:21" ht="18" customHeight="1">
      <c r="C254" s="54" t="s">
        <v>2083</v>
      </c>
      <c r="D254" s="50" t="s">
        <v>2084</v>
      </c>
      <c r="E254" s="47" t="s">
        <v>2085</v>
      </c>
      <c r="F254" s="682"/>
      <c r="G254" s="47" t="s">
        <v>2086</v>
      </c>
      <c r="H254" s="46">
        <v>15</v>
      </c>
      <c r="I254" s="46">
        <v>15</v>
      </c>
      <c r="J254" s="46">
        <v>15</v>
      </c>
      <c r="K254" s="695">
        <v>2.09</v>
      </c>
      <c r="L254" s="688">
        <v>43405</v>
      </c>
      <c r="M254" s="688"/>
      <c r="N254" s="689">
        <v>43405</v>
      </c>
      <c r="O254" s="690" t="s">
        <v>2087</v>
      </c>
      <c r="P254" s="701"/>
      <c r="Q254" s="50"/>
      <c r="R254" s="1">
        <v>150</v>
      </c>
      <c r="U254" s="4"/>
    </row>
    <row r="255" spans="3:21" ht="18" customHeight="1">
      <c r="C255" s="54" t="s">
        <v>2083</v>
      </c>
      <c r="D255" s="50" t="s">
        <v>2084</v>
      </c>
      <c r="E255" s="47" t="s">
        <v>2088</v>
      </c>
      <c r="F255" s="682"/>
      <c r="G255" s="47" t="s">
        <v>2089</v>
      </c>
      <c r="H255" s="46">
        <v>15</v>
      </c>
      <c r="I255" s="46">
        <v>15</v>
      </c>
      <c r="J255" s="46">
        <v>15</v>
      </c>
      <c r="K255" s="695">
        <v>0.92</v>
      </c>
      <c r="L255" s="688">
        <v>43405</v>
      </c>
      <c r="M255" s="688"/>
      <c r="N255" s="689">
        <v>43405</v>
      </c>
      <c r="O255" s="690" t="s">
        <v>2087</v>
      </c>
      <c r="P255" s="701"/>
      <c r="Q255" s="50"/>
      <c r="R255" s="1">
        <v>66</v>
      </c>
      <c r="U255" s="4"/>
    </row>
    <row r="256" spans="3:21" ht="18" customHeight="1">
      <c r="C256" s="54" t="s">
        <v>2083</v>
      </c>
      <c r="D256" s="50" t="s">
        <v>2084</v>
      </c>
      <c r="E256" s="47" t="s">
        <v>2090</v>
      </c>
      <c r="F256" s="682"/>
      <c r="G256" s="47" t="s">
        <v>2091</v>
      </c>
      <c r="H256" s="46">
        <v>15</v>
      </c>
      <c r="I256" s="46">
        <v>15</v>
      </c>
      <c r="J256" s="46">
        <v>15</v>
      </c>
      <c r="K256" s="695">
        <v>2.98</v>
      </c>
      <c r="L256" s="688">
        <v>43405</v>
      </c>
      <c r="M256" s="688"/>
      <c r="N256" s="689">
        <v>43405</v>
      </c>
      <c r="O256" s="690" t="s">
        <v>2087</v>
      </c>
      <c r="P256" s="701"/>
      <c r="Q256" s="50"/>
      <c r="R256" s="1">
        <v>180</v>
      </c>
      <c r="S256" s="1" t="s">
        <v>106</v>
      </c>
      <c r="U256" s="4"/>
    </row>
    <row r="257" spans="3:22" ht="18" customHeight="1">
      <c r="C257" s="54" t="s">
        <v>2083</v>
      </c>
      <c r="D257" s="50" t="s">
        <v>2084</v>
      </c>
      <c r="E257" s="47" t="s">
        <v>2092</v>
      </c>
      <c r="F257" s="682"/>
      <c r="G257" s="47" t="s">
        <v>2091</v>
      </c>
      <c r="H257" s="46">
        <v>15</v>
      </c>
      <c r="I257" s="46">
        <v>15</v>
      </c>
      <c r="J257" s="46">
        <v>15</v>
      </c>
      <c r="K257" s="695">
        <v>2.62</v>
      </c>
      <c r="L257" s="688">
        <v>43405</v>
      </c>
      <c r="M257" s="688"/>
      <c r="N257" s="689">
        <v>43405</v>
      </c>
      <c r="O257" s="690" t="s">
        <v>2087</v>
      </c>
      <c r="P257" s="701"/>
      <c r="Q257" s="50"/>
      <c r="R257" s="1">
        <v>150</v>
      </c>
      <c r="S257" s="1" t="s">
        <v>106</v>
      </c>
      <c r="U257" s="4"/>
    </row>
    <row r="258" spans="3:22" ht="18" customHeight="1">
      <c r="C258" s="54" t="s">
        <v>2083</v>
      </c>
      <c r="D258" s="50" t="s">
        <v>2084</v>
      </c>
      <c r="E258" s="47" t="s">
        <v>2093</v>
      </c>
      <c r="F258" s="682"/>
      <c r="G258" s="47" t="s">
        <v>2091</v>
      </c>
      <c r="H258" s="46">
        <v>15</v>
      </c>
      <c r="I258" s="46">
        <v>15</v>
      </c>
      <c r="J258" s="46">
        <v>15</v>
      </c>
      <c r="K258" s="695">
        <v>1.45</v>
      </c>
      <c r="L258" s="688">
        <v>43405</v>
      </c>
      <c r="M258" s="688"/>
      <c r="N258" s="689">
        <v>43405</v>
      </c>
      <c r="O258" s="690" t="s">
        <v>2087</v>
      </c>
      <c r="P258" s="701"/>
      <c r="Q258" s="50"/>
      <c r="R258" s="1">
        <v>71</v>
      </c>
      <c r="S258" s="1" t="s">
        <v>2019</v>
      </c>
      <c r="U258" s="4"/>
    </row>
    <row r="259" spans="3:22" ht="18" customHeight="1">
      <c r="C259" s="54" t="s">
        <v>2083</v>
      </c>
      <c r="D259" s="50" t="s">
        <v>2084</v>
      </c>
      <c r="E259" s="47" t="s">
        <v>2094</v>
      </c>
      <c r="F259" s="682"/>
      <c r="G259" s="47" t="s">
        <v>2095</v>
      </c>
      <c r="H259" s="46">
        <v>15</v>
      </c>
      <c r="I259" s="46">
        <v>15</v>
      </c>
      <c r="J259" s="46">
        <v>15</v>
      </c>
      <c r="K259" s="695">
        <v>1.46</v>
      </c>
      <c r="L259" s="688">
        <v>43405</v>
      </c>
      <c r="M259" s="688"/>
      <c r="N259" s="689">
        <v>43405</v>
      </c>
      <c r="O259" s="690" t="s">
        <v>2087</v>
      </c>
      <c r="P259" s="701"/>
      <c r="Q259" s="703"/>
      <c r="R259" s="1">
        <v>105</v>
      </c>
      <c r="U259" s="4"/>
      <c r="V259" s="287"/>
    </row>
    <row r="260" spans="3:22" ht="18" customHeight="1">
      <c r="C260" s="54" t="s">
        <v>2083</v>
      </c>
      <c r="D260" s="50" t="s">
        <v>2084</v>
      </c>
      <c r="E260" s="47" t="s">
        <v>2096</v>
      </c>
      <c r="F260" s="682"/>
      <c r="G260" s="47" t="s">
        <v>2097</v>
      </c>
      <c r="H260" s="46">
        <v>15</v>
      </c>
      <c r="I260" s="46">
        <v>15</v>
      </c>
      <c r="J260" s="46">
        <v>15</v>
      </c>
      <c r="K260" s="695">
        <v>0.84</v>
      </c>
      <c r="L260" s="688">
        <v>43405</v>
      </c>
      <c r="M260" s="688"/>
      <c r="N260" s="689">
        <v>43405</v>
      </c>
      <c r="O260" s="690" t="s">
        <v>2087</v>
      </c>
      <c r="P260" s="701"/>
      <c r="Q260" s="703"/>
      <c r="R260" s="1">
        <v>50</v>
      </c>
      <c r="U260" s="4"/>
      <c r="V260" s="287"/>
    </row>
    <row r="261" spans="3:22" ht="18" customHeight="1">
      <c r="C261" s="54" t="s">
        <v>2083</v>
      </c>
      <c r="D261" s="50" t="s">
        <v>2084</v>
      </c>
      <c r="E261" s="47" t="s">
        <v>2098</v>
      </c>
      <c r="F261" s="682"/>
      <c r="G261" s="47" t="s">
        <v>2097</v>
      </c>
      <c r="H261" s="46">
        <v>15</v>
      </c>
      <c r="I261" s="46">
        <v>15</v>
      </c>
      <c r="J261" s="46">
        <v>15</v>
      </c>
      <c r="K261" s="695">
        <v>0.92</v>
      </c>
      <c r="L261" s="688">
        <v>43405</v>
      </c>
      <c r="M261" s="688"/>
      <c r="N261" s="689">
        <v>43405</v>
      </c>
      <c r="O261" s="690" t="s">
        <v>2087</v>
      </c>
      <c r="P261" s="701"/>
      <c r="Q261" s="703"/>
      <c r="R261" s="1">
        <v>55</v>
      </c>
      <c r="U261" s="4"/>
      <c r="V261" s="287"/>
    </row>
    <row r="262" spans="3:22" ht="18" customHeight="1">
      <c r="C262" s="54" t="s">
        <v>2083</v>
      </c>
      <c r="D262" s="50" t="s">
        <v>2084</v>
      </c>
      <c r="E262" s="47" t="s">
        <v>2099</v>
      </c>
      <c r="F262" s="682"/>
      <c r="G262" s="47" t="s">
        <v>25</v>
      </c>
      <c r="H262" s="704">
        <v>10</v>
      </c>
      <c r="I262" s="704">
        <v>10</v>
      </c>
      <c r="J262" s="704">
        <v>10</v>
      </c>
      <c r="K262" s="695">
        <v>2.5</v>
      </c>
      <c r="L262" s="688">
        <v>43405</v>
      </c>
      <c r="M262" s="688"/>
      <c r="N262" s="689">
        <v>43405</v>
      </c>
      <c r="O262" s="690" t="s">
        <v>2087</v>
      </c>
      <c r="P262" s="701"/>
      <c r="Q262" s="50"/>
      <c r="R262" s="1">
        <v>155</v>
      </c>
      <c r="S262" s="1" t="s">
        <v>2100</v>
      </c>
      <c r="U262" s="4"/>
    </row>
    <row r="263" spans="3:22" ht="18" customHeight="1">
      <c r="C263" s="54" t="s">
        <v>2083</v>
      </c>
      <c r="D263" s="50" t="s">
        <v>2084</v>
      </c>
      <c r="E263" s="66"/>
      <c r="F263" s="59"/>
      <c r="G263" s="59" t="s">
        <v>13</v>
      </c>
      <c r="H263" s="30" t="s">
        <v>28</v>
      </c>
      <c r="I263" s="53"/>
      <c r="J263" s="46"/>
      <c r="K263" s="695">
        <v>25</v>
      </c>
      <c r="L263" s="688">
        <v>43405</v>
      </c>
      <c r="M263" s="688"/>
      <c r="N263" s="689">
        <v>43405</v>
      </c>
      <c r="O263" s="690" t="s">
        <v>2087</v>
      </c>
      <c r="P263" s="701"/>
      <c r="Q263" s="683"/>
      <c r="U263" s="4"/>
    </row>
    <row r="264" spans="3:22" ht="18" customHeight="1">
      <c r="C264" s="4"/>
      <c r="D264" s="50"/>
      <c r="E264" s="51" t="s">
        <v>60</v>
      </c>
      <c r="F264" s="52"/>
      <c r="G264" s="47"/>
      <c r="H264" s="46"/>
      <c r="I264" s="53"/>
      <c r="J264" s="46"/>
      <c r="K264" s="58" t="s">
        <v>8</v>
      </c>
      <c r="L264" s="688"/>
      <c r="M264" s="688"/>
      <c r="N264" s="689"/>
      <c r="O264" s="690"/>
      <c r="P264" s="701"/>
      <c r="Q264" s="50"/>
      <c r="R264"/>
      <c r="S264"/>
      <c r="T264" s="1304"/>
      <c r="U264" s="343"/>
    </row>
    <row r="265" spans="3:22" ht="18" customHeight="1">
      <c r="C265" s="54" t="s">
        <v>2101</v>
      </c>
      <c r="D265" s="50" t="s">
        <v>1850</v>
      </c>
      <c r="E265" s="47" t="s">
        <v>2034</v>
      </c>
      <c r="F265" s="682"/>
      <c r="G265" s="47" t="s">
        <v>25</v>
      </c>
      <c r="H265" s="46">
        <v>5</v>
      </c>
      <c r="I265" s="46">
        <v>5</v>
      </c>
      <c r="J265" s="46">
        <v>5</v>
      </c>
      <c r="K265" s="695">
        <v>5.9</v>
      </c>
      <c r="L265" s="688">
        <v>43402</v>
      </c>
      <c r="M265" s="688"/>
      <c r="N265" s="689">
        <v>43402</v>
      </c>
      <c r="O265" s="690" t="s">
        <v>2102</v>
      </c>
      <c r="P265" s="701"/>
      <c r="Q265" s="50">
        <v>495</v>
      </c>
      <c r="R265" s="1">
        <v>455</v>
      </c>
      <c r="S265" s="1" t="s">
        <v>2036</v>
      </c>
      <c r="U265" s="4"/>
    </row>
    <row r="266" spans="3:22" ht="18" customHeight="1">
      <c r="C266" s="54" t="s">
        <v>2101</v>
      </c>
      <c r="D266" s="50" t="s">
        <v>1850</v>
      </c>
      <c r="E266" s="61"/>
      <c r="F266" s="59"/>
      <c r="G266" s="59" t="s">
        <v>13</v>
      </c>
      <c r="H266" s="30" t="s">
        <v>28</v>
      </c>
      <c r="I266" s="53"/>
      <c r="J266" s="46"/>
      <c r="K266" s="695">
        <v>12</v>
      </c>
      <c r="L266" s="688">
        <v>43402</v>
      </c>
      <c r="M266" s="688"/>
      <c r="N266" s="689">
        <v>43402</v>
      </c>
      <c r="O266" s="690" t="s">
        <v>2102</v>
      </c>
      <c r="P266" s="701"/>
      <c r="Q266" s="683"/>
      <c r="U266" s="4"/>
    </row>
    <row r="267" spans="3:22" ht="18" customHeight="1">
      <c r="C267" s="4"/>
      <c r="D267" s="50"/>
      <c r="E267" s="51" t="s">
        <v>60</v>
      </c>
      <c r="F267" s="52"/>
      <c r="G267" s="47"/>
      <c r="H267" s="46"/>
      <c r="I267" s="53"/>
      <c r="J267" s="46"/>
      <c r="K267" s="58" t="s">
        <v>8</v>
      </c>
      <c r="L267" s="688"/>
      <c r="M267" s="688"/>
      <c r="N267" s="689"/>
      <c r="O267" s="702"/>
      <c r="P267" s="701"/>
      <c r="Q267" s="50"/>
      <c r="R267"/>
      <c r="S267"/>
      <c r="T267" s="1304"/>
      <c r="U267" s="343"/>
    </row>
    <row r="268" spans="3:22" ht="18" customHeight="1">
      <c r="C268" s="54"/>
      <c r="D268" s="50" t="s">
        <v>1850</v>
      </c>
      <c r="E268" s="47" t="s">
        <v>2034</v>
      </c>
      <c r="F268" s="682"/>
      <c r="G268" s="47" t="s">
        <v>1987</v>
      </c>
      <c r="H268" s="46">
        <v>13.7</v>
      </c>
      <c r="I268" s="53">
        <v>1</v>
      </c>
      <c r="J268" s="46">
        <f>H268*I268</f>
        <v>13.7</v>
      </c>
      <c r="K268" s="695">
        <v>5.9</v>
      </c>
      <c r="L268" s="688">
        <v>43434</v>
      </c>
      <c r="M268" s="688"/>
      <c r="N268" s="689">
        <v>43434</v>
      </c>
      <c r="O268" s="690" t="s">
        <v>2103</v>
      </c>
      <c r="P268" s="701"/>
      <c r="Q268" s="50">
        <v>495</v>
      </c>
      <c r="R268" s="1">
        <v>455</v>
      </c>
      <c r="S268" s="1" t="s">
        <v>2036</v>
      </c>
      <c r="U268" s="4"/>
    </row>
    <row r="269" spans="3:22" ht="18" customHeight="1">
      <c r="C269" s="54"/>
      <c r="D269" s="50" t="s">
        <v>1850</v>
      </c>
      <c r="E269" s="47" t="s">
        <v>2034</v>
      </c>
      <c r="F269" s="682"/>
      <c r="G269" s="47" t="s">
        <v>1941</v>
      </c>
      <c r="H269" s="46">
        <v>13.7</v>
      </c>
      <c r="I269" s="53">
        <v>1</v>
      </c>
      <c r="J269" s="46">
        <f>H269*I269</f>
        <v>13.7</v>
      </c>
      <c r="K269" s="695">
        <v>5.9</v>
      </c>
      <c r="L269" s="688">
        <v>43434</v>
      </c>
      <c r="M269" s="688"/>
      <c r="N269" s="689">
        <v>43434</v>
      </c>
      <c r="O269" s="690" t="s">
        <v>2103</v>
      </c>
      <c r="P269" s="701"/>
      <c r="Q269" s="50">
        <v>495</v>
      </c>
      <c r="R269" s="1">
        <v>455</v>
      </c>
      <c r="S269" s="1" t="s">
        <v>2036</v>
      </c>
      <c r="U269" s="4"/>
    </row>
    <row r="270" spans="3:22" ht="18" customHeight="1">
      <c r="C270" s="54"/>
      <c r="D270" s="50" t="s">
        <v>1850</v>
      </c>
      <c r="E270" s="47" t="s">
        <v>2034</v>
      </c>
      <c r="F270" s="682"/>
      <c r="G270" s="47" t="s">
        <v>2104</v>
      </c>
      <c r="H270" s="46">
        <v>13.7</v>
      </c>
      <c r="I270" s="53">
        <v>1</v>
      </c>
      <c r="J270" s="46">
        <f>H270*I270</f>
        <v>13.7</v>
      </c>
      <c r="K270" s="695">
        <v>5.9</v>
      </c>
      <c r="L270" s="688">
        <v>43434</v>
      </c>
      <c r="M270" s="688"/>
      <c r="N270" s="689">
        <v>43434</v>
      </c>
      <c r="O270" s="690" t="s">
        <v>2103</v>
      </c>
      <c r="P270" s="701"/>
      <c r="Q270" s="50">
        <v>495</v>
      </c>
      <c r="R270" s="1">
        <v>455</v>
      </c>
      <c r="S270" s="1" t="s">
        <v>2036</v>
      </c>
      <c r="U270" s="4"/>
    </row>
    <row r="271" spans="3:22" ht="18" customHeight="1">
      <c r="C271" s="54"/>
      <c r="D271" s="50" t="s">
        <v>1850</v>
      </c>
      <c r="E271" s="61"/>
      <c r="F271" s="59"/>
      <c r="G271" s="59" t="s">
        <v>122</v>
      </c>
      <c r="H271" s="30" t="s">
        <v>66</v>
      </c>
      <c r="I271" s="53"/>
      <c r="J271" s="46"/>
      <c r="K271" s="695">
        <v>90</v>
      </c>
      <c r="L271" s="688"/>
      <c r="M271" s="688"/>
      <c r="N271" s="689"/>
      <c r="O271" s="694"/>
      <c r="P271" s="701"/>
      <c r="Q271" s="683"/>
      <c r="R271" s="1" t="s">
        <v>2105</v>
      </c>
      <c r="U271" s="4"/>
    </row>
    <row r="272" spans="3:22" ht="18" customHeight="1">
      <c r="C272" s="54" t="s">
        <v>2106</v>
      </c>
      <c r="D272" s="50" t="s">
        <v>1850</v>
      </c>
      <c r="E272" s="47" t="s">
        <v>2034</v>
      </c>
      <c r="F272" s="682"/>
      <c r="G272" s="47" t="s">
        <v>2107</v>
      </c>
      <c r="H272" s="46">
        <v>13.7</v>
      </c>
      <c r="I272" s="53">
        <v>127</v>
      </c>
      <c r="J272" s="46">
        <f t="shared" ref="J272:J277" si="1">H272*I272</f>
        <v>1739.8999999999999</v>
      </c>
      <c r="K272" s="695">
        <v>4.16</v>
      </c>
      <c r="L272" s="688">
        <v>43461</v>
      </c>
      <c r="M272" s="688"/>
      <c r="N272" s="689">
        <v>43461</v>
      </c>
      <c r="O272" s="690">
        <v>1928</v>
      </c>
      <c r="P272" s="701"/>
      <c r="Q272" s="701"/>
      <c r="R272" s="1">
        <v>399</v>
      </c>
      <c r="S272" s="1" t="s">
        <v>2108</v>
      </c>
      <c r="U272" s="4"/>
    </row>
    <row r="273" spans="3:21" ht="18" customHeight="1">
      <c r="C273" s="54" t="s">
        <v>2106</v>
      </c>
      <c r="D273" s="50" t="s">
        <v>1850</v>
      </c>
      <c r="E273" s="47" t="s">
        <v>2034</v>
      </c>
      <c r="F273" s="682"/>
      <c r="G273" s="47" t="s">
        <v>2109</v>
      </c>
      <c r="H273" s="46">
        <v>13.7</v>
      </c>
      <c r="I273" s="53">
        <v>126</v>
      </c>
      <c r="J273" s="46">
        <f t="shared" si="1"/>
        <v>1726.1999999999998</v>
      </c>
      <c r="K273" s="695">
        <v>4.16</v>
      </c>
      <c r="L273" s="688">
        <v>43487</v>
      </c>
      <c r="M273" s="688"/>
      <c r="N273" s="689">
        <v>43487</v>
      </c>
      <c r="O273" s="690">
        <v>1944</v>
      </c>
      <c r="P273" s="701"/>
      <c r="Q273" s="701"/>
      <c r="R273" s="1">
        <v>399</v>
      </c>
      <c r="S273" s="1" t="s">
        <v>2108</v>
      </c>
      <c r="U273" s="4"/>
    </row>
    <row r="274" spans="3:21" ht="18" customHeight="1">
      <c r="C274" s="54" t="s">
        <v>2106</v>
      </c>
      <c r="D274" s="50" t="s">
        <v>1850</v>
      </c>
      <c r="E274" s="47" t="s">
        <v>2034</v>
      </c>
      <c r="F274" s="682"/>
      <c r="G274" s="47" t="s">
        <v>2110</v>
      </c>
      <c r="H274" s="46">
        <v>13.7</v>
      </c>
      <c r="I274" s="53">
        <v>110</v>
      </c>
      <c r="J274" s="46">
        <f t="shared" si="1"/>
        <v>1507</v>
      </c>
      <c r="K274" s="695">
        <v>4.16</v>
      </c>
      <c r="L274" s="688">
        <v>43480</v>
      </c>
      <c r="M274" s="688"/>
      <c r="N274" s="689">
        <v>43480</v>
      </c>
      <c r="O274" s="690">
        <v>1938</v>
      </c>
      <c r="P274" s="701"/>
      <c r="Q274" s="701"/>
      <c r="R274" s="1">
        <v>399</v>
      </c>
      <c r="S274" s="1" t="s">
        <v>2108</v>
      </c>
      <c r="U274" s="4"/>
    </row>
    <row r="275" spans="3:21" ht="18" customHeight="1">
      <c r="C275" s="54" t="s">
        <v>2106</v>
      </c>
      <c r="D275" s="50" t="s">
        <v>1850</v>
      </c>
      <c r="E275" s="47" t="s">
        <v>2034</v>
      </c>
      <c r="F275" s="682"/>
      <c r="G275" s="47" t="s">
        <v>2111</v>
      </c>
      <c r="H275" s="46">
        <v>13.7</v>
      </c>
      <c r="I275" s="53">
        <v>178</v>
      </c>
      <c r="J275" s="46">
        <f t="shared" si="1"/>
        <v>2438.6</v>
      </c>
      <c r="K275" s="695">
        <v>4.4800000000000004</v>
      </c>
      <c r="L275" s="688">
        <v>43461</v>
      </c>
      <c r="M275" s="688"/>
      <c r="N275" s="689">
        <v>43461</v>
      </c>
      <c r="O275" s="690">
        <v>1928</v>
      </c>
      <c r="P275" s="701"/>
      <c r="Q275" s="701"/>
      <c r="R275" s="1">
        <v>429</v>
      </c>
      <c r="S275" s="1" t="s">
        <v>2108</v>
      </c>
      <c r="U275" s="4"/>
    </row>
    <row r="276" spans="3:21" ht="18" customHeight="1">
      <c r="C276" s="54" t="s">
        <v>2106</v>
      </c>
      <c r="D276" s="50" t="s">
        <v>1850</v>
      </c>
      <c r="E276" s="47" t="s">
        <v>2034</v>
      </c>
      <c r="F276" s="682"/>
      <c r="G276" s="47" t="s">
        <v>2112</v>
      </c>
      <c r="H276" s="46">
        <v>13.7</v>
      </c>
      <c r="I276" s="53">
        <v>66</v>
      </c>
      <c r="J276" s="46">
        <f t="shared" si="1"/>
        <v>904.19999999999993</v>
      </c>
      <c r="K276" s="695">
        <v>4.4800000000000004</v>
      </c>
      <c r="L276" s="688">
        <v>43480</v>
      </c>
      <c r="M276" s="688"/>
      <c r="N276" s="689">
        <v>43480</v>
      </c>
      <c r="O276" s="690">
        <v>1938</v>
      </c>
      <c r="P276" s="701"/>
      <c r="Q276" s="701"/>
      <c r="R276" s="1">
        <v>429</v>
      </c>
      <c r="S276" s="1" t="s">
        <v>2108</v>
      </c>
      <c r="U276" s="4"/>
    </row>
    <row r="277" spans="3:21" ht="18" customHeight="1">
      <c r="C277" s="54" t="s">
        <v>2106</v>
      </c>
      <c r="D277" s="50" t="s">
        <v>1850</v>
      </c>
      <c r="E277" s="47" t="s">
        <v>2034</v>
      </c>
      <c r="F277" s="682"/>
      <c r="G277" s="47" t="s">
        <v>1987</v>
      </c>
      <c r="H277" s="46">
        <v>13.7</v>
      </c>
      <c r="I277" s="53">
        <v>204</v>
      </c>
      <c r="J277" s="46">
        <f t="shared" si="1"/>
        <v>2794.7999999999997</v>
      </c>
      <c r="K277" s="695">
        <v>4.16</v>
      </c>
      <c r="L277" s="688">
        <v>43441</v>
      </c>
      <c r="M277" s="688"/>
      <c r="N277" s="689">
        <v>43441</v>
      </c>
      <c r="O277" s="690">
        <v>1902</v>
      </c>
      <c r="P277" s="701"/>
      <c r="Q277" s="701"/>
      <c r="R277" s="1">
        <v>399</v>
      </c>
      <c r="S277" s="1" t="s">
        <v>2108</v>
      </c>
      <c r="U277" s="4"/>
    </row>
    <row r="278" spans="3:21" ht="18" customHeight="1">
      <c r="C278" s="4"/>
      <c r="D278" s="50"/>
      <c r="E278" s="51" t="s">
        <v>60</v>
      </c>
      <c r="F278" s="52"/>
      <c r="G278" s="47"/>
      <c r="H278" s="46"/>
      <c r="I278" s="53"/>
      <c r="J278" s="46"/>
      <c r="K278" s="58" t="s">
        <v>8</v>
      </c>
      <c r="L278" s="688"/>
      <c r="M278" s="688"/>
      <c r="N278" s="689"/>
      <c r="O278" s="690"/>
      <c r="P278" s="34"/>
      <c r="Q278" s="50"/>
      <c r="R278"/>
      <c r="S278"/>
      <c r="T278" s="1304"/>
      <c r="U278" s="343"/>
    </row>
    <row r="279" spans="3:21" ht="18" customHeight="1">
      <c r="C279" s="54" t="s">
        <v>2113</v>
      </c>
      <c r="D279" s="50" t="s">
        <v>2038</v>
      </c>
      <c r="E279" s="47" t="s">
        <v>2046</v>
      </c>
      <c r="F279" s="682"/>
      <c r="G279" s="47" t="s">
        <v>25</v>
      </c>
      <c r="H279" s="46">
        <v>13.7</v>
      </c>
      <c r="I279" s="53">
        <v>4</v>
      </c>
      <c r="J279" s="46">
        <f>H279*I279</f>
        <v>54.8</v>
      </c>
      <c r="K279" s="695">
        <v>16.670000000000002</v>
      </c>
      <c r="L279" s="688">
        <v>43510</v>
      </c>
      <c r="M279" s="688"/>
      <c r="N279" s="689">
        <v>43510</v>
      </c>
      <c r="O279" s="690" t="s">
        <v>2114</v>
      </c>
      <c r="P279" s="34"/>
      <c r="Q279" s="1">
        <v>1400</v>
      </c>
      <c r="R279" s="1">
        <v>1350</v>
      </c>
      <c r="S279" s="1" t="s">
        <v>2019</v>
      </c>
      <c r="U279" s="4"/>
    </row>
    <row r="280" spans="3:21" ht="18" customHeight="1">
      <c r="C280" s="54" t="s">
        <v>2113</v>
      </c>
      <c r="D280" s="50" t="s">
        <v>2038</v>
      </c>
      <c r="E280" s="47" t="s">
        <v>2046</v>
      </c>
      <c r="F280" s="682"/>
      <c r="G280" s="47" t="s">
        <v>25</v>
      </c>
      <c r="H280" s="46">
        <v>13.7</v>
      </c>
      <c r="I280" s="53">
        <v>18</v>
      </c>
      <c r="J280" s="46">
        <f>H280*I280</f>
        <v>246.6</v>
      </c>
      <c r="K280" s="705">
        <v>16.670000000000002</v>
      </c>
      <c r="L280" s="688">
        <v>43510</v>
      </c>
      <c r="M280" s="688"/>
      <c r="N280" s="689">
        <v>43510</v>
      </c>
      <c r="O280" s="690">
        <v>1862</v>
      </c>
      <c r="P280" s="701"/>
      <c r="Q280" s="50">
        <v>1400</v>
      </c>
      <c r="R280" s="1">
        <v>1350</v>
      </c>
      <c r="S280" s="1" t="s">
        <v>2019</v>
      </c>
      <c r="U280" s="4"/>
    </row>
    <row r="281" spans="3:21" ht="18" customHeight="1">
      <c r="C281" s="4"/>
      <c r="D281" s="50"/>
      <c r="E281" s="51" t="s">
        <v>1848</v>
      </c>
      <c r="F281" s="52"/>
      <c r="G281" s="47"/>
      <c r="H281" s="46"/>
      <c r="I281" s="53"/>
      <c r="J281" s="46"/>
      <c r="K281" s="706" t="s">
        <v>8</v>
      </c>
      <c r="L281" s="688"/>
      <c r="M281" s="688"/>
      <c r="N281" s="689"/>
      <c r="O281" s="690"/>
      <c r="P281" s="701"/>
      <c r="Q281" s="50"/>
      <c r="R281"/>
      <c r="S281"/>
      <c r="T281" s="1304"/>
      <c r="U281" s="343"/>
    </row>
    <row r="282" spans="3:21" ht="18" customHeight="1">
      <c r="C282" s="54" t="s">
        <v>2115</v>
      </c>
      <c r="D282" s="50" t="s">
        <v>1850</v>
      </c>
      <c r="E282" s="47" t="s">
        <v>2034</v>
      </c>
      <c r="F282" s="682"/>
      <c r="G282" s="47" t="s">
        <v>46</v>
      </c>
      <c r="H282" s="46">
        <v>2</v>
      </c>
      <c r="I282" s="46">
        <v>2</v>
      </c>
      <c r="J282" s="46">
        <v>2</v>
      </c>
      <c r="K282" s="695">
        <v>5.9</v>
      </c>
      <c r="L282" s="688">
        <v>43419</v>
      </c>
      <c r="M282" s="688"/>
      <c r="N282" s="689">
        <v>43419</v>
      </c>
      <c r="O282" s="690" t="s">
        <v>2116</v>
      </c>
      <c r="P282" s="701"/>
      <c r="Q282" s="50">
        <v>495</v>
      </c>
      <c r="R282" s="1">
        <v>455</v>
      </c>
      <c r="S282" s="1" t="s">
        <v>2036</v>
      </c>
      <c r="U282" s="4"/>
    </row>
    <row r="283" spans="3:21" ht="18" customHeight="1">
      <c r="C283" s="54" t="s">
        <v>2115</v>
      </c>
      <c r="D283" s="50" t="s">
        <v>1850</v>
      </c>
      <c r="E283" s="61"/>
      <c r="F283" s="59"/>
      <c r="G283" s="59" t="s">
        <v>13</v>
      </c>
      <c r="H283" s="30" t="s">
        <v>28</v>
      </c>
      <c r="I283" s="53"/>
      <c r="J283" s="46"/>
      <c r="K283" s="705">
        <v>12</v>
      </c>
      <c r="L283" s="688">
        <v>43419</v>
      </c>
      <c r="M283" s="688"/>
      <c r="N283" s="689">
        <v>43419</v>
      </c>
      <c r="O283" s="690" t="s">
        <v>2116</v>
      </c>
      <c r="P283" s="701"/>
      <c r="Q283" s="683"/>
      <c r="U283" s="4"/>
    </row>
    <row r="284" spans="3:21" ht="18" customHeight="1">
      <c r="C284" s="4"/>
      <c r="D284" s="50"/>
      <c r="E284" s="51" t="s">
        <v>60</v>
      </c>
      <c r="F284" s="52"/>
      <c r="G284" s="47"/>
      <c r="H284" s="46"/>
      <c r="I284" s="53"/>
      <c r="J284" s="46"/>
      <c r="K284" s="706" t="s">
        <v>8</v>
      </c>
      <c r="L284" s="688"/>
      <c r="M284" s="688"/>
      <c r="N284" s="689"/>
      <c r="O284" s="702"/>
      <c r="P284" s="701"/>
      <c r="Q284" s="50"/>
      <c r="R284"/>
      <c r="S284"/>
      <c r="T284" s="1304"/>
      <c r="U284" s="343"/>
    </row>
    <row r="285" spans="3:21" ht="18" customHeight="1">
      <c r="C285" s="54"/>
      <c r="D285" s="50" t="s">
        <v>2117</v>
      </c>
      <c r="E285" s="66" t="s">
        <v>2118</v>
      </c>
      <c r="F285" s="682"/>
      <c r="G285" s="47" t="s">
        <v>62</v>
      </c>
      <c r="H285" s="46">
        <v>5</v>
      </c>
      <c r="I285" s="46">
        <v>5</v>
      </c>
      <c r="J285" s="46">
        <v>5</v>
      </c>
      <c r="K285" s="695">
        <v>1.4</v>
      </c>
      <c r="L285" s="688"/>
      <c r="M285" s="688"/>
      <c r="N285" s="689"/>
      <c r="O285" s="694"/>
      <c r="P285" s="701"/>
      <c r="Q285" s="50"/>
      <c r="R285" s="1">
        <v>47</v>
      </c>
      <c r="S285" s="1" t="s">
        <v>106</v>
      </c>
      <c r="U285" s="4"/>
    </row>
    <row r="286" spans="3:21" ht="18" customHeight="1">
      <c r="C286" s="54"/>
      <c r="D286" s="50" t="s">
        <v>2117</v>
      </c>
      <c r="E286" s="66" t="s">
        <v>2119</v>
      </c>
      <c r="F286" s="682"/>
      <c r="G286" s="47" t="s">
        <v>62</v>
      </c>
      <c r="H286" s="46">
        <v>5</v>
      </c>
      <c r="I286" s="46">
        <v>5</v>
      </c>
      <c r="J286" s="46">
        <v>5</v>
      </c>
      <c r="K286" s="695">
        <v>1.23</v>
      </c>
      <c r="L286" s="688"/>
      <c r="M286" s="688"/>
      <c r="N286" s="689"/>
      <c r="O286" s="694"/>
      <c r="P286" s="701"/>
      <c r="Q286" s="50"/>
      <c r="R286" s="1">
        <v>33</v>
      </c>
      <c r="S286" s="1" t="s">
        <v>106</v>
      </c>
      <c r="U286" s="4"/>
    </row>
    <row r="287" spans="3:21" ht="18" customHeight="1">
      <c r="C287" s="54"/>
      <c r="D287" s="50" t="s">
        <v>2117</v>
      </c>
      <c r="E287" s="61"/>
      <c r="F287" s="59"/>
      <c r="G287" s="59" t="s">
        <v>122</v>
      </c>
      <c r="H287" s="30" t="s">
        <v>28</v>
      </c>
      <c r="I287" s="53"/>
      <c r="J287" s="46"/>
      <c r="K287" s="695">
        <v>75</v>
      </c>
      <c r="L287" s="688"/>
      <c r="M287" s="688"/>
      <c r="N287" s="689"/>
      <c r="O287" s="694"/>
      <c r="P287" s="701"/>
      <c r="Q287" s="683"/>
      <c r="U287" s="4"/>
    </row>
    <row r="288" spans="3:21" ht="18" customHeight="1">
      <c r="C288" s="54"/>
      <c r="D288" s="50" t="s">
        <v>2117</v>
      </c>
      <c r="E288" s="61"/>
      <c r="F288" s="59"/>
      <c r="G288" s="59" t="s">
        <v>13</v>
      </c>
      <c r="H288" s="30" t="s">
        <v>28</v>
      </c>
      <c r="I288" s="53"/>
      <c r="J288" s="46"/>
      <c r="K288" s="705">
        <v>12</v>
      </c>
      <c r="L288" s="688"/>
      <c r="M288" s="688"/>
      <c r="N288" s="689"/>
      <c r="O288" s="694"/>
      <c r="P288" s="707"/>
      <c r="Q288" s="708"/>
      <c r="U288" s="345"/>
    </row>
    <row r="289" spans="3:21" ht="18" customHeight="1">
      <c r="C289" s="4"/>
      <c r="D289" s="50"/>
      <c r="E289" s="51" t="s">
        <v>60</v>
      </c>
      <c r="F289" s="52"/>
      <c r="G289" s="47"/>
      <c r="H289" s="46"/>
      <c r="I289" s="53"/>
      <c r="J289" s="46"/>
      <c r="K289" s="706" t="s">
        <v>8</v>
      </c>
      <c r="L289" s="688"/>
      <c r="M289" s="688"/>
      <c r="N289" s="689"/>
      <c r="O289" s="694"/>
    </row>
    <row r="290" spans="3:21" ht="18" customHeight="1">
      <c r="C290" s="54" t="s">
        <v>2120</v>
      </c>
      <c r="D290" s="50" t="s">
        <v>1850</v>
      </c>
      <c r="E290" s="47" t="s">
        <v>2034</v>
      </c>
      <c r="F290" s="682"/>
      <c r="G290" s="47" t="s">
        <v>1927</v>
      </c>
      <c r="H290" s="46">
        <v>10</v>
      </c>
      <c r="I290" s="46">
        <v>10</v>
      </c>
      <c r="J290" s="46">
        <v>10</v>
      </c>
      <c r="K290" s="695">
        <v>5.9</v>
      </c>
      <c r="L290" s="688">
        <v>43508</v>
      </c>
      <c r="M290" s="688"/>
      <c r="N290" s="689">
        <v>43508</v>
      </c>
      <c r="O290" s="690" t="s">
        <v>2121</v>
      </c>
      <c r="R290" s="1">
        <v>399</v>
      </c>
    </row>
    <row r="291" spans="3:21" ht="18" customHeight="1">
      <c r="C291" s="54" t="s">
        <v>2120</v>
      </c>
      <c r="D291" s="50" t="s">
        <v>1850</v>
      </c>
      <c r="E291" s="47" t="s">
        <v>2034</v>
      </c>
      <c r="F291" s="682"/>
      <c r="G291" s="47" t="s">
        <v>1926</v>
      </c>
      <c r="H291" s="46">
        <v>10</v>
      </c>
      <c r="I291" s="46">
        <v>10</v>
      </c>
      <c r="J291" s="46">
        <v>10</v>
      </c>
      <c r="K291" s="695">
        <v>5.9</v>
      </c>
      <c r="L291" s="688">
        <v>43508</v>
      </c>
      <c r="M291" s="688"/>
      <c r="N291" s="689">
        <v>43508</v>
      </c>
      <c r="O291" s="690" t="s">
        <v>2121</v>
      </c>
      <c r="P291" s="607"/>
      <c r="Q291" s="50"/>
      <c r="R291" s="1">
        <v>399</v>
      </c>
      <c r="U291" s="343"/>
    </row>
    <row r="292" spans="3:21" ht="18" customHeight="1">
      <c r="C292" s="54" t="s">
        <v>2120</v>
      </c>
      <c r="D292" s="50" t="s">
        <v>1850</v>
      </c>
      <c r="E292" s="61"/>
      <c r="F292" s="59"/>
      <c r="G292" s="59" t="s">
        <v>13</v>
      </c>
      <c r="H292" s="30" t="s">
        <v>28</v>
      </c>
      <c r="I292" s="53"/>
      <c r="J292" s="46"/>
      <c r="K292" s="705">
        <v>12</v>
      </c>
      <c r="L292" s="688">
        <v>43508</v>
      </c>
      <c r="M292" s="688"/>
      <c r="N292" s="689">
        <v>43508</v>
      </c>
      <c r="O292" s="690" t="s">
        <v>2121</v>
      </c>
      <c r="P292" s="707"/>
      <c r="Q292" s="708"/>
      <c r="U292" s="345"/>
    </row>
    <row r="293" spans="3:21" ht="18" customHeight="1">
      <c r="C293" s="4"/>
      <c r="D293" s="50"/>
      <c r="E293" s="51" t="s">
        <v>60</v>
      </c>
      <c r="F293" s="52"/>
      <c r="G293" s="47"/>
      <c r="H293" s="46"/>
      <c r="I293" s="53"/>
      <c r="J293" s="46"/>
      <c r="K293" s="706" t="s">
        <v>8</v>
      </c>
      <c r="L293" s="688"/>
      <c r="M293" s="688"/>
      <c r="N293" s="689"/>
      <c r="O293" s="690"/>
      <c r="P293" s="701"/>
      <c r="Q293" s="50"/>
      <c r="R293"/>
      <c r="S293"/>
      <c r="T293" s="1304"/>
      <c r="U293" s="343"/>
    </row>
    <row r="294" spans="3:21" ht="18" customHeight="1">
      <c r="C294" s="54" t="s">
        <v>2122</v>
      </c>
      <c r="D294" s="50" t="s">
        <v>1850</v>
      </c>
      <c r="E294" s="47" t="s">
        <v>2034</v>
      </c>
      <c r="F294" s="682"/>
      <c r="G294" s="47" t="s">
        <v>1926</v>
      </c>
      <c r="H294" s="46">
        <v>13.7</v>
      </c>
      <c r="I294" s="53">
        <v>110</v>
      </c>
      <c r="J294" s="46">
        <f>H294*I294</f>
        <v>1507</v>
      </c>
      <c r="K294" s="695">
        <v>4.16</v>
      </c>
      <c r="L294" s="688">
        <v>43566</v>
      </c>
      <c r="M294" s="688"/>
      <c r="N294" s="689">
        <v>43566</v>
      </c>
      <c r="O294" s="690">
        <v>2074</v>
      </c>
      <c r="P294" s="701"/>
      <c r="Q294" s="50"/>
      <c r="R294" s="1">
        <v>399</v>
      </c>
      <c r="S294" s="1" t="s">
        <v>2108</v>
      </c>
      <c r="U294" s="4"/>
    </row>
    <row r="295" spans="3:21" ht="18" customHeight="1">
      <c r="C295" s="54" t="s">
        <v>2122</v>
      </c>
      <c r="D295" s="50" t="s">
        <v>1850</v>
      </c>
      <c r="E295" s="47" t="s">
        <v>2034</v>
      </c>
      <c r="F295" s="682"/>
      <c r="G295" s="47" t="s">
        <v>1927</v>
      </c>
      <c r="H295" s="46">
        <v>13.7</v>
      </c>
      <c r="I295" s="53">
        <v>73</v>
      </c>
      <c r="J295" s="46">
        <f>H295*I295</f>
        <v>1000.0999999999999</v>
      </c>
      <c r="K295" s="705">
        <v>4.16</v>
      </c>
      <c r="L295" s="688">
        <v>43566</v>
      </c>
      <c r="M295" s="688"/>
      <c r="N295" s="689">
        <v>43566</v>
      </c>
      <c r="O295" s="690">
        <v>2074</v>
      </c>
      <c r="P295" s="701"/>
      <c r="Q295" s="50"/>
      <c r="R295" s="1">
        <v>399</v>
      </c>
      <c r="S295" s="1" t="s">
        <v>2108</v>
      </c>
      <c r="U295" s="4"/>
    </row>
    <row r="296" spans="3:21" ht="18" customHeight="1">
      <c r="C296" s="4"/>
      <c r="D296" s="50"/>
      <c r="E296" s="51" t="s">
        <v>2123</v>
      </c>
      <c r="F296" s="52"/>
      <c r="G296" s="47"/>
      <c r="H296" s="46"/>
      <c r="I296" s="53"/>
      <c r="J296" s="46"/>
      <c r="K296" s="706" t="s">
        <v>47</v>
      </c>
      <c r="L296" s="688"/>
      <c r="M296" s="688"/>
      <c r="N296" s="689"/>
      <c r="O296" s="690"/>
      <c r="P296" s="701"/>
      <c r="Q296" s="50"/>
      <c r="R296"/>
      <c r="S296"/>
      <c r="T296" s="1304"/>
      <c r="U296" s="343"/>
    </row>
    <row r="297" spans="3:21" ht="18" customHeight="1">
      <c r="C297" s="54" t="s">
        <v>2124</v>
      </c>
      <c r="D297" s="50" t="s">
        <v>2074</v>
      </c>
      <c r="E297" s="61" t="s">
        <v>2125</v>
      </c>
      <c r="F297" s="682"/>
      <c r="G297" s="47" t="s">
        <v>2126</v>
      </c>
      <c r="H297" s="46">
        <v>6.5</v>
      </c>
      <c r="I297" s="46">
        <v>6.5</v>
      </c>
      <c r="J297" s="46">
        <v>6.5</v>
      </c>
      <c r="K297" s="695">
        <v>5.9</v>
      </c>
      <c r="L297" s="688">
        <v>43509</v>
      </c>
      <c r="M297" s="688"/>
      <c r="N297" s="689">
        <v>43509</v>
      </c>
      <c r="O297" s="690" t="s">
        <v>2127</v>
      </c>
      <c r="P297" s="701"/>
      <c r="Q297" s="131" t="s">
        <v>2128</v>
      </c>
      <c r="R297" s="1">
        <v>399</v>
      </c>
      <c r="S297" s="1" t="s">
        <v>2108</v>
      </c>
      <c r="U297" s="4"/>
    </row>
    <row r="298" spans="3:21" ht="18" customHeight="1">
      <c r="C298" s="54" t="s">
        <v>2124</v>
      </c>
      <c r="D298" s="50" t="s">
        <v>2074</v>
      </c>
      <c r="E298" s="61" t="s">
        <v>2125</v>
      </c>
      <c r="F298" s="682"/>
      <c r="G298" s="47" t="s">
        <v>2129</v>
      </c>
      <c r="H298" s="46">
        <v>6.5</v>
      </c>
      <c r="I298" s="46">
        <v>6.5</v>
      </c>
      <c r="J298" s="46">
        <v>6.5</v>
      </c>
      <c r="K298" s="695">
        <v>5.9</v>
      </c>
      <c r="L298" s="688">
        <v>43509</v>
      </c>
      <c r="M298" s="688"/>
      <c r="N298" s="689">
        <v>43509</v>
      </c>
      <c r="O298" s="690" t="s">
        <v>2127</v>
      </c>
      <c r="P298" s="701"/>
      <c r="Q298" s="131" t="s">
        <v>2128</v>
      </c>
      <c r="R298" s="1">
        <v>399</v>
      </c>
      <c r="S298" s="1" t="s">
        <v>2108</v>
      </c>
      <c r="U298" s="4"/>
    </row>
    <row r="299" spans="3:21" ht="18" customHeight="1">
      <c r="C299" s="54" t="s">
        <v>2124</v>
      </c>
      <c r="D299" s="50" t="s">
        <v>2074</v>
      </c>
      <c r="E299" s="61"/>
      <c r="F299" s="59"/>
      <c r="G299" s="59" t="s">
        <v>13</v>
      </c>
      <c r="H299" s="30" t="s">
        <v>28</v>
      </c>
      <c r="I299" s="53"/>
      <c r="J299" s="46"/>
      <c r="K299" s="705">
        <v>12</v>
      </c>
      <c r="L299" s="688">
        <v>43509</v>
      </c>
      <c r="M299" s="688"/>
      <c r="N299" s="689">
        <v>43509</v>
      </c>
      <c r="O299" s="690" t="s">
        <v>2127</v>
      </c>
      <c r="P299" s="707"/>
      <c r="Q299" s="708"/>
      <c r="U299" s="345"/>
    </row>
    <row r="300" spans="3:21" ht="18" customHeight="1">
      <c r="C300" s="4"/>
      <c r="D300" s="50"/>
      <c r="E300" s="51" t="s">
        <v>2123</v>
      </c>
      <c r="F300" s="52"/>
      <c r="G300" s="47"/>
      <c r="H300" s="46"/>
      <c r="I300" s="53"/>
      <c r="J300" s="46"/>
      <c r="K300" s="706" t="s">
        <v>47</v>
      </c>
      <c r="L300" s="688"/>
      <c r="M300" s="688"/>
      <c r="N300" s="689"/>
      <c r="O300" s="690"/>
      <c r="P300" s="701"/>
      <c r="Q300" s="50"/>
      <c r="R300"/>
      <c r="S300"/>
      <c r="T300" s="1304"/>
      <c r="U300" s="343"/>
    </row>
    <row r="301" spans="3:21" ht="18" customHeight="1">
      <c r="C301" s="54" t="s">
        <v>2130</v>
      </c>
      <c r="D301" s="50" t="s">
        <v>2074</v>
      </c>
      <c r="E301" s="47" t="s">
        <v>2125</v>
      </c>
      <c r="F301" s="682"/>
      <c r="G301" s="47" t="s">
        <v>2126</v>
      </c>
      <c r="H301" s="46">
        <v>13.7</v>
      </c>
      <c r="I301" s="53">
        <v>88</v>
      </c>
      <c r="J301" s="46">
        <v>1205.5999999999999</v>
      </c>
      <c r="K301" s="695">
        <v>4.16</v>
      </c>
      <c r="L301" s="688">
        <v>43530</v>
      </c>
      <c r="M301" s="688"/>
      <c r="N301" s="689">
        <v>43530</v>
      </c>
      <c r="O301" s="690">
        <v>2022</v>
      </c>
      <c r="P301" s="701"/>
      <c r="Q301" s="50"/>
      <c r="R301" s="1">
        <v>399</v>
      </c>
      <c r="S301" s="1" t="s">
        <v>2108</v>
      </c>
      <c r="U301" s="4"/>
    </row>
    <row r="302" spans="3:21" ht="18" customHeight="1">
      <c r="C302" s="54" t="s">
        <v>2130</v>
      </c>
      <c r="D302" s="50" t="s">
        <v>2074</v>
      </c>
      <c r="E302" s="47" t="s">
        <v>2125</v>
      </c>
      <c r="F302" s="682"/>
      <c r="G302" s="47" t="s">
        <v>2129</v>
      </c>
      <c r="H302" s="46">
        <v>13.7</v>
      </c>
      <c r="I302" s="53">
        <v>110</v>
      </c>
      <c r="J302" s="46">
        <v>1507</v>
      </c>
      <c r="K302" s="705">
        <v>4.16</v>
      </c>
      <c r="L302" s="688">
        <v>43525</v>
      </c>
      <c r="M302" s="688"/>
      <c r="N302" s="689">
        <v>43525</v>
      </c>
      <c r="O302" s="690">
        <v>2016</v>
      </c>
      <c r="P302" s="701"/>
      <c r="Q302" s="50"/>
      <c r="R302" s="1">
        <v>399</v>
      </c>
      <c r="S302" s="1" t="s">
        <v>2108</v>
      </c>
      <c r="U302" s="4"/>
    </row>
    <row r="303" spans="3:21" ht="18" customHeight="1">
      <c r="C303" s="4"/>
      <c r="D303" s="50"/>
      <c r="E303" s="51" t="s">
        <v>2123</v>
      </c>
      <c r="F303" s="52"/>
      <c r="G303" s="47"/>
      <c r="H303" s="46"/>
      <c r="I303" s="53"/>
      <c r="J303" s="46"/>
      <c r="K303" s="706" t="s">
        <v>47</v>
      </c>
      <c r="L303" s="688"/>
      <c r="M303" s="688"/>
      <c r="N303" s="689"/>
      <c r="O303" s="690"/>
      <c r="P303" s="701"/>
      <c r="Q303" s="50"/>
      <c r="R303"/>
      <c r="S303"/>
      <c r="T303" s="1304"/>
      <c r="U303" s="343"/>
    </row>
    <row r="304" spans="3:21" ht="18" customHeight="1">
      <c r="C304" s="54" t="s">
        <v>2131</v>
      </c>
      <c r="D304" s="50" t="s">
        <v>2074</v>
      </c>
      <c r="E304" s="47" t="s">
        <v>2132</v>
      </c>
      <c r="F304" s="682"/>
      <c r="G304" s="47" t="s">
        <v>25</v>
      </c>
      <c r="H304" s="46">
        <v>10</v>
      </c>
      <c r="I304" s="46">
        <v>10</v>
      </c>
      <c r="J304" s="46">
        <v>10</v>
      </c>
      <c r="K304" s="695">
        <v>3.3</v>
      </c>
      <c r="L304" s="688">
        <v>43482</v>
      </c>
      <c r="M304" s="688"/>
      <c r="N304" s="689">
        <v>43482</v>
      </c>
      <c r="O304" s="690" t="s">
        <v>2133</v>
      </c>
      <c r="P304" s="701"/>
      <c r="Q304" s="50">
        <v>265</v>
      </c>
      <c r="R304" s="1">
        <v>185</v>
      </c>
      <c r="S304" s="1" t="s">
        <v>31</v>
      </c>
      <c r="U304" s="4"/>
    </row>
    <row r="305" spans="3:21" ht="18" customHeight="1">
      <c r="C305" s="54" t="s">
        <v>2131</v>
      </c>
      <c r="D305" s="50" t="s">
        <v>1850</v>
      </c>
      <c r="E305" s="61"/>
      <c r="F305" s="59"/>
      <c r="G305" s="59" t="s">
        <v>13</v>
      </c>
      <c r="H305" s="30" t="s">
        <v>28</v>
      </c>
      <c r="I305" s="53"/>
      <c r="J305" s="46"/>
      <c r="K305" s="705">
        <v>12</v>
      </c>
      <c r="L305" s="688">
        <v>43482</v>
      </c>
      <c r="M305" s="688"/>
      <c r="N305" s="689">
        <v>43482</v>
      </c>
      <c r="O305" s="690" t="s">
        <v>2133</v>
      </c>
      <c r="P305" s="701"/>
      <c r="Q305" s="683"/>
      <c r="U305" s="4"/>
    </row>
    <row r="306" spans="3:21" ht="18" customHeight="1">
      <c r="C306" s="4"/>
      <c r="D306" s="50"/>
      <c r="E306" s="51" t="s">
        <v>27</v>
      </c>
      <c r="F306" s="52"/>
      <c r="G306" s="47"/>
      <c r="H306" s="46"/>
      <c r="I306" s="53"/>
      <c r="J306" s="46"/>
      <c r="K306" s="706" t="s">
        <v>47</v>
      </c>
      <c r="L306" s="688"/>
      <c r="M306" s="688"/>
      <c r="N306" s="689"/>
      <c r="O306" s="690"/>
      <c r="P306" s="701"/>
      <c r="Q306" s="50"/>
      <c r="R306"/>
      <c r="S306"/>
      <c r="T306" s="1304"/>
      <c r="U306" s="343"/>
    </row>
    <row r="307" spans="3:21" ht="18" customHeight="1">
      <c r="C307" s="54" t="s">
        <v>2134</v>
      </c>
      <c r="D307" s="50" t="s">
        <v>2074</v>
      </c>
      <c r="E307" s="47" t="s">
        <v>2135</v>
      </c>
      <c r="F307" s="682"/>
      <c r="G307" s="47" t="s">
        <v>25</v>
      </c>
      <c r="H307" s="46">
        <v>10</v>
      </c>
      <c r="I307" s="46">
        <v>10</v>
      </c>
      <c r="J307" s="46">
        <v>10</v>
      </c>
      <c r="K307" s="695">
        <v>0.85</v>
      </c>
      <c r="L307" s="688">
        <v>43486</v>
      </c>
      <c r="M307" s="688"/>
      <c r="N307" s="689">
        <v>43486</v>
      </c>
      <c r="O307" s="690" t="s">
        <v>2136</v>
      </c>
      <c r="P307" s="701"/>
      <c r="Q307" s="50">
        <v>55</v>
      </c>
      <c r="R307" s="1">
        <v>25</v>
      </c>
      <c r="S307" s="1" t="s">
        <v>44</v>
      </c>
      <c r="U307" s="4"/>
    </row>
    <row r="308" spans="3:21" ht="18" customHeight="1">
      <c r="C308" s="54" t="s">
        <v>2134</v>
      </c>
      <c r="D308" s="50" t="s">
        <v>2074</v>
      </c>
      <c r="E308" s="61"/>
      <c r="F308" s="59"/>
      <c r="G308" s="59" t="s">
        <v>13</v>
      </c>
      <c r="H308" s="30" t="s">
        <v>28</v>
      </c>
      <c r="I308" s="53"/>
      <c r="J308" s="46"/>
      <c r="K308" s="695">
        <v>12</v>
      </c>
      <c r="L308" s="688">
        <v>43486</v>
      </c>
      <c r="M308" s="688"/>
      <c r="N308" s="689">
        <v>43486</v>
      </c>
      <c r="O308" s="690" t="s">
        <v>2136</v>
      </c>
      <c r="P308" s="707"/>
      <c r="Q308" s="708"/>
      <c r="U308" s="345"/>
    </row>
    <row r="309" spans="3:21" ht="18" customHeight="1">
      <c r="C309" s="4"/>
      <c r="D309" s="50"/>
      <c r="E309" s="51" t="s">
        <v>60</v>
      </c>
      <c r="F309" s="52"/>
      <c r="G309" s="47"/>
      <c r="H309" s="46"/>
      <c r="I309" s="53"/>
      <c r="J309" s="46"/>
      <c r="K309" s="58" t="s">
        <v>8</v>
      </c>
      <c r="L309" s="688"/>
      <c r="M309" s="688"/>
      <c r="N309" s="689"/>
      <c r="O309" s="690"/>
      <c r="P309" s="34"/>
      <c r="Q309" s="50"/>
      <c r="R309"/>
      <c r="S309"/>
      <c r="T309" s="1304"/>
      <c r="U309" s="343"/>
    </row>
    <row r="310" spans="3:21" ht="18" customHeight="1">
      <c r="C310" s="54" t="s">
        <v>2137</v>
      </c>
      <c r="D310" s="50" t="s">
        <v>2038</v>
      </c>
      <c r="E310" s="47" t="s">
        <v>1947</v>
      </c>
      <c r="F310" s="682"/>
      <c r="G310" s="47" t="s">
        <v>25</v>
      </c>
      <c r="H310" s="46">
        <v>300</v>
      </c>
      <c r="I310" s="46">
        <v>300</v>
      </c>
      <c r="J310" s="46">
        <v>300</v>
      </c>
      <c r="K310" s="695">
        <v>2.31</v>
      </c>
      <c r="L310" s="688">
        <v>43516</v>
      </c>
      <c r="M310" s="688"/>
      <c r="N310" s="689">
        <v>43516</v>
      </c>
      <c r="O310" s="690">
        <v>1971</v>
      </c>
      <c r="P310" s="34"/>
      <c r="Q310" s="1">
        <v>194</v>
      </c>
      <c r="R310" s="1">
        <v>94</v>
      </c>
      <c r="S310" s="1" t="s">
        <v>2040</v>
      </c>
      <c r="U310" s="4"/>
    </row>
    <row r="311" spans="3:21" ht="18" customHeight="1">
      <c r="C311" s="54" t="s">
        <v>2137</v>
      </c>
      <c r="D311" s="50" t="s">
        <v>2038</v>
      </c>
      <c r="E311" s="47" t="s">
        <v>75</v>
      </c>
      <c r="F311" s="682"/>
      <c r="G311" s="47" t="s">
        <v>25</v>
      </c>
      <c r="H311" s="46">
        <v>300</v>
      </c>
      <c r="I311" s="46">
        <v>300</v>
      </c>
      <c r="J311" s="46">
        <v>300</v>
      </c>
      <c r="K311" s="695">
        <v>2.62</v>
      </c>
      <c r="L311" s="688">
        <v>43516</v>
      </c>
      <c r="M311" s="688"/>
      <c r="N311" s="689">
        <v>43516</v>
      </c>
      <c r="O311" s="690">
        <v>1971</v>
      </c>
      <c r="P311" s="34"/>
      <c r="Q311" s="1">
        <v>220</v>
      </c>
      <c r="R311" s="1">
        <v>130</v>
      </c>
      <c r="S311" s="1" t="s">
        <v>2044</v>
      </c>
      <c r="U311" s="4"/>
    </row>
    <row r="312" spans="3:21" ht="18" customHeight="1">
      <c r="C312" s="4"/>
      <c r="D312" s="50"/>
      <c r="E312" s="51" t="s">
        <v>60</v>
      </c>
      <c r="F312" s="52"/>
      <c r="G312" s="47"/>
      <c r="H312" s="46"/>
      <c r="I312" s="53"/>
      <c r="J312" s="46"/>
      <c r="K312" s="58" t="s">
        <v>8</v>
      </c>
      <c r="L312" s="688"/>
      <c r="M312" s="688"/>
      <c r="N312" s="689"/>
      <c r="O312" s="690"/>
      <c r="P312" s="34"/>
      <c r="Q312" s="50"/>
      <c r="R312"/>
      <c r="S312"/>
      <c r="T312" s="1304"/>
      <c r="U312" s="343"/>
    </row>
    <row r="313" spans="3:21" ht="18" customHeight="1">
      <c r="C313" s="54" t="s">
        <v>2138</v>
      </c>
      <c r="D313" s="50" t="s">
        <v>2038</v>
      </c>
      <c r="E313" s="47" t="s">
        <v>2051</v>
      </c>
      <c r="F313" s="682"/>
      <c r="G313" s="47" t="s">
        <v>25</v>
      </c>
      <c r="H313" s="46">
        <v>50</v>
      </c>
      <c r="I313" s="46">
        <v>50</v>
      </c>
      <c r="J313" s="46">
        <v>50</v>
      </c>
      <c r="K313" s="695">
        <v>4.53</v>
      </c>
      <c r="L313" s="688">
        <v>43516</v>
      </c>
      <c r="M313" s="688"/>
      <c r="N313" s="689">
        <v>43516</v>
      </c>
      <c r="O313" s="690" t="s">
        <v>2139</v>
      </c>
      <c r="P313" s="34"/>
      <c r="Q313" s="1">
        <v>380</v>
      </c>
      <c r="R313" s="1">
        <v>310</v>
      </c>
      <c r="S313" s="1" t="s">
        <v>106</v>
      </c>
      <c r="U313" s="4"/>
    </row>
    <row r="314" spans="3:21" s="117" customFormat="1" ht="18" customHeight="1">
      <c r="C314" s="709" t="s">
        <v>2138</v>
      </c>
      <c r="D314" s="710" t="s">
        <v>2038</v>
      </c>
      <c r="E314" s="60"/>
      <c r="F314" s="711"/>
      <c r="G314" s="711" t="s">
        <v>13</v>
      </c>
      <c r="H314" s="712" t="s">
        <v>28</v>
      </c>
      <c r="I314" s="713"/>
      <c r="J314" s="714"/>
      <c r="K314" s="715">
        <v>12</v>
      </c>
      <c r="L314" s="688">
        <v>43516</v>
      </c>
      <c r="M314" s="688"/>
      <c r="N314" s="689">
        <v>43516</v>
      </c>
      <c r="O314" s="690" t="s">
        <v>2139</v>
      </c>
      <c r="P314" s="716"/>
      <c r="Q314" s="717"/>
      <c r="T314" s="1306"/>
      <c r="U314" s="718"/>
    </row>
    <row r="315" spans="3:21" ht="18" customHeight="1">
      <c r="C315" s="4"/>
      <c r="D315" s="50"/>
      <c r="E315" s="51" t="s">
        <v>27</v>
      </c>
      <c r="F315" s="52"/>
      <c r="G315" s="47"/>
      <c r="H315" s="46"/>
      <c r="I315" s="53"/>
      <c r="J315" s="46"/>
      <c r="K315" s="706" t="s">
        <v>47</v>
      </c>
      <c r="L315" s="688"/>
      <c r="M315" s="688"/>
      <c r="N315" s="689"/>
      <c r="O315" s="690"/>
      <c r="P315" s="701"/>
      <c r="Q315" s="50"/>
      <c r="R315"/>
      <c r="S315"/>
      <c r="T315" s="1304"/>
      <c r="U315" s="343"/>
    </row>
    <row r="316" spans="3:21" ht="18" customHeight="1">
      <c r="C316" s="54" t="s">
        <v>2140</v>
      </c>
      <c r="D316" s="50" t="s">
        <v>2074</v>
      </c>
      <c r="E316" s="47" t="s">
        <v>2141</v>
      </c>
      <c r="F316" s="682"/>
      <c r="G316" s="47" t="s">
        <v>25</v>
      </c>
      <c r="H316" s="46">
        <v>5</v>
      </c>
      <c r="I316" s="46">
        <v>5</v>
      </c>
      <c r="J316" s="46">
        <v>5</v>
      </c>
      <c r="K316" s="695">
        <v>1.78</v>
      </c>
      <c r="L316" s="688">
        <v>43497</v>
      </c>
      <c r="M316" s="688"/>
      <c r="N316" s="689">
        <v>43497</v>
      </c>
      <c r="O316" s="690" t="s">
        <v>2142</v>
      </c>
      <c r="P316" s="701"/>
      <c r="Q316" s="50">
        <v>128</v>
      </c>
      <c r="R316" s="1">
        <v>58</v>
      </c>
      <c r="S316" s="1" t="s">
        <v>106</v>
      </c>
      <c r="U316" s="4"/>
    </row>
    <row r="317" spans="3:21" ht="18" customHeight="1">
      <c r="C317" s="54" t="s">
        <v>2140</v>
      </c>
      <c r="D317" s="50" t="s">
        <v>2074</v>
      </c>
      <c r="E317" s="47" t="s">
        <v>2143</v>
      </c>
      <c r="F317" s="682"/>
      <c r="G317" s="47" t="s">
        <v>25</v>
      </c>
      <c r="H317" s="46">
        <v>5</v>
      </c>
      <c r="I317" s="46">
        <v>5</v>
      </c>
      <c r="J317" s="46">
        <v>5</v>
      </c>
      <c r="K317" s="695">
        <v>1.74</v>
      </c>
      <c r="L317" s="688">
        <v>43497</v>
      </c>
      <c r="M317" s="688"/>
      <c r="N317" s="689">
        <v>43497</v>
      </c>
      <c r="O317" s="690" t="s">
        <v>2142</v>
      </c>
      <c r="P317" s="701"/>
      <c r="Q317" s="50">
        <v>125</v>
      </c>
      <c r="R317" s="1">
        <v>85</v>
      </c>
      <c r="S317" s="1" t="s">
        <v>2036</v>
      </c>
      <c r="U317" s="4"/>
    </row>
    <row r="318" spans="3:21" ht="18" customHeight="1">
      <c r="C318" s="54" t="s">
        <v>2140</v>
      </c>
      <c r="D318" s="50" t="s">
        <v>2074</v>
      </c>
      <c r="E318" s="47" t="s">
        <v>2144</v>
      </c>
      <c r="F318" s="682"/>
      <c r="G318" s="47" t="s">
        <v>25</v>
      </c>
      <c r="H318" s="46">
        <v>5</v>
      </c>
      <c r="I318" s="46">
        <v>5</v>
      </c>
      <c r="J318" s="46">
        <v>5</v>
      </c>
      <c r="K318" s="695">
        <v>3.16</v>
      </c>
      <c r="L318" s="688">
        <v>43497</v>
      </c>
      <c r="M318" s="688"/>
      <c r="N318" s="689">
        <v>43497</v>
      </c>
      <c r="O318" s="690" t="s">
        <v>2142</v>
      </c>
      <c r="P318" s="701"/>
      <c r="Q318" s="50">
        <v>227</v>
      </c>
      <c r="R318" s="1">
        <v>187</v>
      </c>
      <c r="S318" s="1" t="s">
        <v>2036</v>
      </c>
      <c r="U318" s="4"/>
    </row>
    <row r="319" spans="3:21" ht="18" customHeight="1">
      <c r="C319" s="54" t="s">
        <v>2140</v>
      </c>
      <c r="D319" s="50" t="s">
        <v>2074</v>
      </c>
      <c r="E319" s="47" t="s">
        <v>2135</v>
      </c>
      <c r="F319" s="682"/>
      <c r="G319" s="47" t="s">
        <v>25</v>
      </c>
      <c r="H319" s="46">
        <v>5</v>
      </c>
      <c r="I319" s="46">
        <v>5</v>
      </c>
      <c r="J319" s="46">
        <v>5</v>
      </c>
      <c r="K319" s="695">
        <v>0.85</v>
      </c>
      <c r="L319" s="688">
        <v>43497</v>
      </c>
      <c r="M319" s="688"/>
      <c r="N319" s="689">
        <v>43497</v>
      </c>
      <c r="O319" s="690" t="s">
        <v>2142</v>
      </c>
      <c r="P319" s="701"/>
      <c r="Q319" s="50">
        <v>55</v>
      </c>
      <c r="R319" s="1">
        <v>25</v>
      </c>
      <c r="S319" s="1" t="s">
        <v>44</v>
      </c>
      <c r="U319" s="4"/>
    </row>
    <row r="320" spans="3:21" ht="18" customHeight="1">
      <c r="C320" s="54" t="s">
        <v>2140</v>
      </c>
      <c r="D320" s="50" t="s">
        <v>2074</v>
      </c>
      <c r="E320" s="47" t="s">
        <v>2145</v>
      </c>
      <c r="F320" s="682"/>
      <c r="G320" s="47" t="s">
        <v>25</v>
      </c>
      <c r="H320" s="46">
        <v>5</v>
      </c>
      <c r="I320" s="46">
        <v>5</v>
      </c>
      <c r="J320" s="46">
        <v>5</v>
      </c>
      <c r="K320" s="695">
        <v>1.95</v>
      </c>
      <c r="L320" s="688">
        <v>43497</v>
      </c>
      <c r="M320" s="688"/>
      <c r="N320" s="689">
        <v>43497</v>
      </c>
      <c r="O320" s="690" t="s">
        <v>2142</v>
      </c>
      <c r="P320" s="701"/>
      <c r="Q320" s="50"/>
      <c r="R320" s="224" t="s">
        <v>2146</v>
      </c>
      <c r="S320" s="1" t="s">
        <v>2147</v>
      </c>
      <c r="U320" s="4"/>
    </row>
    <row r="321" spans="3:21" ht="18" customHeight="1">
      <c r="C321" s="54" t="s">
        <v>2140</v>
      </c>
      <c r="D321" s="50" t="s">
        <v>2074</v>
      </c>
      <c r="E321" s="61"/>
      <c r="F321" s="59"/>
      <c r="G321" s="59" t="s">
        <v>13</v>
      </c>
      <c r="H321" s="30" t="s">
        <v>28</v>
      </c>
      <c r="I321" s="53"/>
      <c r="J321" s="46"/>
      <c r="K321" s="695">
        <v>12</v>
      </c>
      <c r="L321" s="688">
        <v>43497</v>
      </c>
      <c r="M321" s="688"/>
      <c r="N321" s="689">
        <v>43497</v>
      </c>
      <c r="O321" s="690" t="s">
        <v>2142</v>
      </c>
      <c r="P321" s="707"/>
      <c r="Q321" s="708"/>
      <c r="U321" s="345"/>
    </row>
    <row r="322" spans="3:21" ht="18" customHeight="1">
      <c r="C322" s="4"/>
      <c r="D322" s="50"/>
      <c r="E322" s="51" t="s">
        <v>60</v>
      </c>
      <c r="F322" s="52"/>
      <c r="G322" s="47"/>
      <c r="H322" s="46"/>
      <c r="I322" s="53"/>
      <c r="J322" s="46"/>
      <c r="K322" s="58" t="s">
        <v>8</v>
      </c>
      <c r="L322" s="688"/>
      <c r="M322" s="688"/>
      <c r="N322" s="689"/>
      <c r="O322" s="690"/>
      <c r="P322" s="34"/>
      <c r="Q322" s="50"/>
      <c r="R322"/>
      <c r="S322"/>
      <c r="T322" s="1304"/>
      <c r="U322" s="343"/>
    </row>
    <row r="323" spans="3:21" ht="18" customHeight="1">
      <c r="C323" s="54" t="s">
        <v>2148</v>
      </c>
      <c r="D323" s="50" t="s">
        <v>2149</v>
      </c>
      <c r="E323" s="47" t="s">
        <v>76</v>
      </c>
      <c r="F323" s="682"/>
      <c r="G323" s="47" t="s">
        <v>25</v>
      </c>
      <c r="H323" s="46">
        <v>200</v>
      </c>
      <c r="I323" s="46">
        <v>200</v>
      </c>
      <c r="J323" s="46">
        <v>200</v>
      </c>
      <c r="K323" s="695">
        <v>3.03</v>
      </c>
      <c r="L323" s="688">
        <v>43550</v>
      </c>
      <c r="M323" s="688"/>
      <c r="N323" s="689">
        <v>43550</v>
      </c>
      <c r="O323" s="690" t="s">
        <v>2150</v>
      </c>
      <c r="P323" s="34"/>
      <c r="Q323" s="1">
        <v>254</v>
      </c>
      <c r="R323" s="25">
        <v>174</v>
      </c>
      <c r="S323" s="1" t="s">
        <v>31</v>
      </c>
      <c r="U323" s="4"/>
    </row>
    <row r="324" spans="3:21" ht="18" customHeight="1">
      <c r="C324" s="54" t="s">
        <v>2148</v>
      </c>
      <c r="D324" s="50" t="s">
        <v>2149</v>
      </c>
      <c r="E324" s="47" t="s">
        <v>2051</v>
      </c>
      <c r="F324" s="682"/>
      <c r="G324" s="47" t="s">
        <v>25</v>
      </c>
      <c r="H324" s="46">
        <v>200</v>
      </c>
      <c r="I324" s="46">
        <v>200</v>
      </c>
      <c r="J324" s="46">
        <v>200</v>
      </c>
      <c r="K324" s="695">
        <v>4.53</v>
      </c>
      <c r="L324" s="688">
        <v>43550</v>
      </c>
      <c r="M324" s="688"/>
      <c r="N324" s="689">
        <v>43550</v>
      </c>
      <c r="O324" s="690" t="s">
        <v>2150</v>
      </c>
      <c r="P324" s="34"/>
      <c r="Q324" s="1">
        <v>380</v>
      </c>
      <c r="R324" s="1">
        <v>310</v>
      </c>
      <c r="S324" s="1" t="s">
        <v>106</v>
      </c>
      <c r="U324" s="4"/>
    </row>
    <row r="325" spans="3:21" ht="18" customHeight="1">
      <c r="C325" s="54" t="s">
        <v>2148</v>
      </c>
      <c r="D325" s="50" t="s">
        <v>2149</v>
      </c>
      <c r="E325" s="47" t="s">
        <v>1947</v>
      </c>
      <c r="F325" s="682"/>
      <c r="G325" s="47" t="s">
        <v>25</v>
      </c>
      <c r="H325" s="46">
        <v>100</v>
      </c>
      <c r="I325" s="46">
        <v>100</v>
      </c>
      <c r="J325" s="46">
        <v>100</v>
      </c>
      <c r="K325" s="695">
        <v>2.31</v>
      </c>
      <c r="L325" s="688">
        <v>43550</v>
      </c>
      <c r="M325" s="688"/>
      <c r="N325" s="689">
        <v>43550</v>
      </c>
      <c r="O325" s="690" t="s">
        <v>2150</v>
      </c>
      <c r="P325" s="34"/>
      <c r="Q325" s="1">
        <v>194</v>
      </c>
      <c r="R325" s="1">
        <v>94</v>
      </c>
      <c r="S325" s="1" t="s">
        <v>2040</v>
      </c>
      <c r="U325" s="4"/>
    </row>
    <row r="326" spans="3:21" ht="18" customHeight="1">
      <c r="C326" s="54" t="s">
        <v>2148</v>
      </c>
      <c r="D326" s="50" t="s">
        <v>2149</v>
      </c>
      <c r="E326" s="47" t="s">
        <v>75</v>
      </c>
      <c r="F326" s="682"/>
      <c r="G326" s="47" t="s">
        <v>25</v>
      </c>
      <c r="H326" s="46">
        <v>100</v>
      </c>
      <c r="I326" s="46">
        <v>100</v>
      </c>
      <c r="J326" s="46">
        <v>100</v>
      </c>
      <c r="K326" s="695">
        <v>2.62</v>
      </c>
      <c r="L326" s="688">
        <v>43550</v>
      </c>
      <c r="M326" s="688"/>
      <c r="N326" s="689">
        <v>43550</v>
      </c>
      <c r="O326" s="690" t="s">
        <v>2150</v>
      </c>
      <c r="P326" s="34"/>
      <c r="Q326" s="1">
        <v>220</v>
      </c>
      <c r="R326" s="1">
        <v>130</v>
      </c>
      <c r="S326" s="1" t="s">
        <v>2044</v>
      </c>
      <c r="U326" s="4"/>
    </row>
    <row r="327" spans="3:21" s="7" customFormat="1" ht="15.75">
      <c r="C327" s="6"/>
      <c r="D327" s="13"/>
      <c r="E327" s="18" t="s">
        <v>264</v>
      </c>
      <c r="F327" s="23"/>
      <c r="G327" s="21"/>
      <c r="H327" s="55"/>
      <c r="I327" s="56"/>
      <c r="J327" s="55"/>
      <c r="K327" s="9" t="s">
        <v>8</v>
      </c>
      <c r="L327" s="10"/>
      <c r="M327" s="10"/>
      <c r="N327" s="12"/>
      <c r="O327" s="114"/>
      <c r="P327" s="100"/>
      <c r="Q327" s="100"/>
      <c r="T327" s="1301"/>
      <c r="U327" s="6" t="s">
        <v>3</v>
      </c>
    </row>
    <row r="328" spans="3:21" s="7" customFormat="1" ht="15">
      <c r="C328" s="6" t="s">
        <v>2151</v>
      </c>
      <c r="D328" s="50" t="s">
        <v>2003</v>
      </c>
      <c r="E328" s="21">
        <v>11700</v>
      </c>
      <c r="F328" s="23">
        <v>3</v>
      </c>
      <c r="G328" s="21" t="s">
        <v>58</v>
      </c>
      <c r="H328" s="55">
        <v>40</v>
      </c>
      <c r="I328" s="56">
        <v>1</v>
      </c>
      <c r="J328" s="55">
        <f>H328*I328</f>
        <v>40</v>
      </c>
      <c r="K328" s="695">
        <v>0.88</v>
      </c>
      <c r="L328" s="688">
        <v>43552</v>
      </c>
      <c r="M328" s="688"/>
      <c r="N328" s="689">
        <v>43552</v>
      </c>
      <c r="O328" s="690" t="s">
        <v>2152</v>
      </c>
      <c r="P328" s="22"/>
      <c r="Q328" s="100"/>
      <c r="R328" s="7">
        <v>62.95</v>
      </c>
      <c r="S328" s="7">
        <f>R328*H328</f>
        <v>2518</v>
      </c>
      <c r="T328" s="1301"/>
      <c r="U328" s="22"/>
    </row>
    <row r="329" spans="3:21" s="7" customFormat="1" ht="15">
      <c r="C329" s="6" t="s">
        <v>2151</v>
      </c>
      <c r="D329" s="50" t="s">
        <v>2003</v>
      </c>
      <c r="E329" s="21">
        <v>11700</v>
      </c>
      <c r="F329" s="23">
        <v>3</v>
      </c>
      <c r="G329" s="21" t="s">
        <v>2153</v>
      </c>
      <c r="H329" s="55">
        <v>40</v>
      </c>
      <c r="I329" s="56">
        <v>1</v>
      </c>
      <c r="J329" s="55">
        <f>H329*I329</f>
        <v>40</v>
      </c>
      <c r="K329" s="695">
        <v>0.88</v>
      </c>
      <c r="L329" s="688">
        <v>43552</v>
      </c>
      <c r="M329" s="688"/>
      <c r="N329" s="689">
        <v>43552</v>
      </c>
      <c r="O329" s="690" t="s">
        <v>2152</v>
      </c>
      <c r="P329" s="22"/>
      <c r="Q329" s="100"/>
      <c r="R329" s="7">
        <v>62.95</v>
      </c>
      <c r="S329" s="7">
        <f>R329*H329</f>
        <v>2518</v>
      </c>
      <c r="T329" s="1301"/>
      <c r="U329" s="22"/>
    </row>
    <row r="330" spans="3:21" s="7" customFormat="1" ht="15">
      <c r="C330" s="6" t="s">
        <v>2151</v>
      </c>
      <c r="D330" s="50" t="s">
        <v>2003</v>
      </c>
      <c r="E330" s="21">
        <v>11700</v>
      </c>
      <c r="F330" s="23">
        <v>6</v>
      </c>
      <c r="G330" s="21" t="s">
        <v>58</v>
      </c>
      <c r="H330" s="55">
        <v>10</v>
      </c>
      <c r="I330" s="56">
        <v>1</v>
      </c>
      <c r="J330" s="55">
        <f>H330*I330</f>
        <v>10</v>
      </c>
      <c r="K330" s="695">
        <v>0.92</v>
      </c>
      <c r="L330" s="688">
        <v>43552</v>
      </c>
      <c r="M330" s="688"/>
      <c r="N330" s="689">
        <v>43552</v>
      </c>
      <c r="O330" s="690" t="s">
        <v>2152</v>
      </c>
      <c r="P330" s="22"/>
      <c r="Q330" s="100"/>
      <c r="R330" s="7">
        <v>66</v>
      </c>
      <c r="S330" s="7">
        <f>R330*H330</f>
        <v>660</v>
      </c>
      <c r="T330" s="1301"/>
      <c r="U330" s="22"/>
    </row>
    <row r="331" spans="3:21" s="7" customFormat="1" ht="15">
      <c r="C331" s="6" t="s">
        <v>2151</v>
      </c>
      <c r="D331" s="50" t="s">
        <v>2003</v>
      </c>
      <c r="E331" s="21">
        <v>11700</v>
      </c>
      <c r="F331" s="23">
        <v>6</v>
      </c>
      <c r="G331" s="21" t="s">
        <v>2153</v>
      </c>
      <c r="H331" s="55">
        <v>10</v>
      </c>
      <c r="I331" s="56">
        <v>1</v>
      </c>
      <c r="J331" s="55">
        <f>H331*I331</f>
        <v>10</v>
      </c>
      <c r="K331" s="695">
        <v>0.92</v>
      </c>
      <c r="L331" s="688">
        <v>43552</v>
      </c>
      <c r="M331" s="688"/>
      <c r="N331" s="689">
        <v>43552</v>
      </c>
      <c r="O331" s="690" t="s">
        <v>2152</v>
      </c>
      <c r="P331" s="22"/>
      <c r="Q331" s="100"/>
      <c r="R331" s="7">
        <v>66</v>
      </c>
      <c r="S331" s="7">
        <f>R331*H331</f>
        <v>660</v>
      </c>
      <c r="T331" s="1301"/>
      <c r="U331" s="22"/>
    </row>
    <row r="332" spans="3:21" ht="18" customHeight="1">
      <c r="C332" s="6" t="s">
        <v>2151</v>
      </c>
      <c r="D332" s="50" t="s">
        <v>2003</v>
      </c>
      <c r="E332" s="61"/>
      <c r="F332" s="59"/>
      <c r="G332" s="59" t="s">
        <v>13</v>
      </c>
      <c r="H332" s="30" t="s">
        <v>28</v>
      </c>
      <c r="I332" s="53"/>
      <c r="J332" s="46"/>
      <c r="K332" s="695">
        <v>12</v>
      </c>
      <c r="L332" s="688">
        <v>43552</v>
      </c>
      <c r="M332" s="688"/>
      <c r="N332" s="689">
        <v>43552</v>
      </c>
      <c r="O332" s="690" t="s">
        <v>2152</v>
      </c>
      <c r="P332" s="707"/>
      <c r="Q332" s="708"/>
      <c r="U332" s="345"/>
    </row>
    <row r="333" spans="3:21" s="7" customFormat="1" ht="15.75">
      <c r="C333" s="6"/>
      <c r="D333" s="13"/>
      <c r="E333" s="18" t="s">
        <v>264</v>
      </c>
      <c r="F333" s="23"/>
      <c r="G333" s="21"/>
      <c r="H333" s="55"/>
      <c r="I333" s="56"/>
      <c r="J333" s="55"/>
      <c r="K333" s="9" t="s">
        <v>8</v>
      </c>
      <c r="L333" s="10"/>
      <c r="M333" s="10"/>
      <c r="N333" s="12"/>
      <c r="O333" s="114"/>
      <c r="P333" s="100"/>
      <c r="Q333" s="100"/>
      <c r="T333" s="1301"/>
      <c r="U333" s="6" t="s">
        <v>3</v>
      </c>
    </row>
    <row r="334" spans="3:21" s="7" customFormat="1" ht="15">
      <c r="C334" s="6" t="s">
        <v>2154</v>
      </c>
      <c r="D334" s="50" t="s">
        <v>2155</v>
      </c>
      <c r="E334" s="21">
        <v>11700</v>
      </c>
      <c r="F334" s="23">
        <v>24</v>
      </c>
      <c r="G334" s="21" t="s">
        <v>58</v>
      </c>
      <c r="H334" s="55">
        <v>10</v>
      </c>
      <c r="I334" s="56">
        <v>3</v>
      </c>
      <c r="J334" s="55">
        <f t="shared" ref="J334:J343" si="2">H334*I334</f>
        <v>30</v>
      </c>
      <c r="K334" s="695">
        <v>1.76</v>
      </c>
      <c r="L334" s="688">
        <v>43566</v>
      </c>
      <c r="M334" s="688"/>
      <c r="N334" s="689">
        <v>43566</v>
      </c>
      <c r="O334" s="690" t="s">
        <v>2156</v>
      </c>
      <c r="P334" s="22"/>
      <c r="Q334" s="100"/>
      <c r="R334" s="7">
        <v>126.7</v>
      </c>
      <c r="S334" s="7">
        <f t="shared" ref="S334:S343" si="3">R334*H334</f>
        <v>1267</v>
      </c>
      <c r="T334" s="1301"/>
      <c r="U334" s="22"/>
    </row>
    <row r="335" spans="3:21" s="7" customFormat="1" ht="15">
      <c r="C335" s="6" t="s">
        <v>2154</v>
      </c>
      <c r="D335" s="50" t="s">
        <v>2155</v>
      </c>
      <c r="E335" s="21">
        <v>11700</v>
      </c>
      <c r="F335" s="23">
        <v>24</v>
      </c>
      <c r="G335" s="21" t="s">
        <v>2157</v>
      </c>
      <c r="H335" s="55">
        <v>10</v>
      </c>
      <c r="I335" s="56">
        <v>1</v>
      </c>
      <c r="J335" s="55">
        <f t="shared" si="2"/>
        <v>10</v>
      </c>
      <c r="K335" s="695">
        <v>1.76</v>
      </c>
      <c r="L335" s="688">
        <v>43566</v>
      </c>
      <c r="M335" s="688"/>
      <c r="N335" s="689">
        <v>43566</v>
      </c>
      <c r="O335" s="690" t="s">
        <v>2156</v>
      </c>
      <c r="P335" s="22"/>
      <c r="Q335" s="100"/>
      <c r="R335" s="7">
        <v>126.7</v>
      </c>
      <c r="S335" s="7">
        <f t="shared" si="3"/>
        <v>1267</v>
      </c>
      <c r="T335" s="1301"/>
      <c r="U335" s="22"/>
    </row>
    <row r="336" spans="3:21" s="7" customFormat="1" ht="15">
      <c r="C336" s="6" t="s">
        <v>2154</v>
      </c>
      <c r="D336" s="50" t="s">
        <v>2155</v>
      </c>
      <c r="E336" s="21">
        <v>11700</v>
      </c>
      <c r="F336" s="23">
        <v>24</v>
      </c>
      <c r="G336" s="21" t="s">
        <v>2158</v>
      </c>
      <c r="H336" s="55">
        <v>10</v>
      </c>
      <c r="I336" s="56">
        <v>1</v>
      </c>
      <c r="J336" s="55">
        <f t="shared" si="2"/>
        <v>10</v>
      </c>
      <c r="K336" s="695">
        <v>1.76</v>
      </c>
      <c r="L336" s="688">
        <v>43566</v>
      </c>
      <c r="M336" s="688"/>
      <c r="N336" s="689">
        <v>43566</v>
      </c>
      <c r="O336" s="690" t="s">
        <v>2156</v>
      </c>
      <c r="P336" s="22"/>
      <c r="Q336" s="100"/>
      <c r="R336" s="7">
        <v>126.7</v>
      </c>
      <c r="S336" s="7">
        <f t="shared" si="3"/>
        <v>1267</v>
      </c>
      <c r="T336" s="1301"/>
      <c r="U336" s="22"/>
    </row>
    <row r="337" spans="3:21" s="7" customFormat="1" ht="15">
      <c r="C337" s="6" t="s">
        <v>2154</v>
      </c>
      <c r="D337" s="50" t="s">
        <v>2155</v>
      </c>
      <c r="E337" s="21">
        <v>11700</v>
      </c>
      <c r="F337" s="23">
        <v>24</v>
      </c>
      <c r="G337" s="21" t="s">
        <v>2159</v>
      </c>
      <c r="H337" s="55">
        <v>10</v>
      </c>
      <c r="I337" s="56">
        <v>2</v>
      </c>
      <c r="J337" s="55">
        <f t="shared" si="2"/>
        <v>20</v>
      </c>
      <c r="K337" s="695">
        <v>1.76</v>
      </c>
      <c r="L337" s="688">
        <v>43566</v>
      </c>
      <c r="M337" s="688"/>
      <c r="N337" s="689">
        <v>43566</v>
      </c>
      <c r="O337" s="690" t="s">
        <v>2156</v>
      </c>
      <c r="P337" s="22"/>
      <c r="Q337" s="100"/>
      <c r="R337" s="7">
        <v>126.7</v>
      </c>
      <c r="S337" s="7">
        <f t="shared" si="3"/>
        <v>1267</v>
      </c>
      <c r="T337" s="1301"/>
      <c r="U337" s="22"/>
    </row>
    <row r="338" spans="3:21" s="7" customFormat="1" ht="15">
      <c r="C338" s="6" t="s">
        <v>2154</v>
      </c>
      <c r="D338" s="50" t="s">
        <v>2155</v>
      </c>
      <c r="E338" s="21">
        <v>11700</v>
      </c>
      <c r="F338" s="23">
        <v>24</v>
      </c>
      <c r="G338" s="21" t="s">
        <v>2160</v>
      </c>
      <c r="H338" s="55">
        <v>10</v>
      </c>
      <c r="I338" s="56">
        <v>1</v>
      </c>
      <c r="J338" s="55">
        <f t="shared" si="2"/>
        <v>10</v>
      </c>
      <c r="K338" s="695">
        <v>1.76</v>
      </c>
      <c r="L338" s="688">
        <v>43566</v>
      </c>
      <c r="M338" s="688"/>
      <c r="N338" s="689">
        <v>43566</v>
      </c>
      <c r="O338" s="690" t="s">
        <v>2156</v>
      </c>
      <c r="P338" s="22"/>
      <c r="Q338" s="100"/>
      <c r="R338" s="7">
        <v>126.7</v>
      </c>
      <c r="S338" s="7">
        <f t="shared" si="3"/>
        <v>1267</v>
      </c>
      <c r="T338" s="1301"/>
      <c r="U338" s="22"/>
    </row>
    <row r="339" spans="3:21" s="7" customFormat="1" ht="15">
      <c r="C339" s="6" t="s">
        <v>2154</v>
      </c>
      <c r="D339" s="50" t="s">
        <v>2155</v>
      </c>
      <c r="E339" s="21">
        <v>11700</v>
      </c>
      <c r="F339" s="23">
        <v>24</v>
      </c>
      <c r="G339" s="21" t="s">
        <v>2161</v>
      </c>
      <c r="H339" s="55">
        <v>10</v>
      </c>
      <c r="I339" s="56">
        <v>2</v>
      </c>
      <c r="J339" s="55">
        <f t="shared" si="2"/>
        <v>20</v>
      </c>
      <c r="K339" s="695">
        <v>1.76</v>
      </c>
      <c r="L339" s="688">
        <v>43566</v>
      </c>
      <c r="M339" s="688"/>
      <c r="N339" s="689">
        <v>43566</v>
      </c>
      <c r="O339" s="690" t="s">
        <v>2156</v>
      </c>
      <c r="P339" s="22"/>
      <c r="Q339" s="100"/>
      <c r="R339" s="7">
        <v>126.7</v>
      </c>
      <c r="S339" s="7">
        <f t="shared" si="3"/>
        <v>1267</v>
      </c>
      <c r="T339" s="1301"/>
      <c r="U339" s="22"/>
    </row>
    <row r="340" spans="3:21" s="7" customFormat="1" ht="15">
      <c r="C340" s="6" t="s">
        <v>2154</v>
      </c>
      <c r="D340" s="50" t="s">
        <v>2155</v>
      </c>
      <c r="E340" s="21">
        <v>11700</v>
      </c>
      <c r="F340" s="23">
        <v>24</v>
      </c>
      <c r="G340" s="21" t="s">
        <v>2162</v>
      </c>
      <c r="H340" s="55">
        <v>10</v>
      </c>
      <c r="I340" s="56">
        <v>1</v>
      </c>
      <c r="J340" s="55">
        <f t="shared" si="2"/>
        <v>10</v>
      </c>
      <c r="K340" s="695">
        <v>1.76</v>
      </c>
      <c r="L340" s="688">
        <v>43566</v>
      </c>
      <c r="M340" s="688"/>
      <c r="N340" s="689">
        <v>43566</v>
      </c>
      <c r="O340" s="690" t="s">
        <v>2156</v>
      </c>
      <c r="P340" s="22"/>
      <c r="Q340" s="100"/>
      <c r="R340" s="7">
        <v>126.7</v>
      </c>
      <c r="S340" s="7">
        <f t="shared" si="3"/>
        <v>1267</v>
      </c>
      <c r="T340" s="1301"/>
      <c r="U340" s="22"/>
    </row>
    <row r="341" spans="3:21" s="7" customFormat="1" ht="15">
      <c r="C341" s="6" t="s">
        <v>2154</v>
      </c>
      <c r="D341" s="50" t="s">
        <v>2155</v>
      </c>
      <c r="E341" s="21">
        <v>11700</v>
      </c>
      <c r="F341" s="23">
        <v>24</v>
      </c>
      <c r="G341" s="21" t="s">
        <v>2163</v>
      </c>
      <c r="H341" s="55">
        <v>10</v>
      </c>
      <c r="I341" s="56">
        <v>1</v>
      </c>
      <c r="J341" s="55">
        <f t="shared" si="2"/>
        <v>10</v>
      </c>
      <c r="K341" s="695">
        <v>1.76</v>
      </c>
      <c r="L341" s="688">
        <v>43566</v>
      </c>
      <c r="M341" s="688"/>
      <c r="N341" s="689">
        <v>43566</v>
      </c>
      <c r="O341" s="690" t="s">
        <v>2156</v>
      </c>
      <c r="P341" s="22"/>
      <c r="Q341" s="100"/>
      <c r="R341" s="7">
        <v>126.7</v>
      </c>
      <c r="S341" s="7">
        <f t="shared" si="3"/>
        <v>1267</v>
      </c>
      <c r="T341" s="1301"/>
      <c r="U341" s="22"/>
    </row>
    <row r="342" spans="3:21" s="7" customFormat="1" ht="15">
      <c r="C342" s="6" t="s">
        <v>2154</v>
      </c>
      <c r="D342" s="50" t="s">
        <v>2155</v>
      </c>
      <c r="E342" s="21">
        <v>11700</v>
      </c>
      <c r="F342" s="23">
        <v>24</v>
      </c>
      <c r="G342" s="21" t="s">
        <v>2164</v>
      </c>
      <c r="H342" s="55">
        <v>10</v>
      </c>
      <c r="I342" s="56">
        <v>1</v>
      </c>
      <c r="J342" s="55">
        <f t="shared" si="2"/>
        <v>10</v>
      </c>
      <c r="K342" s="695">
        <v>1.76</v>
      </c>
      <c r="L342" s="688">
        <v>43566</v>
      </c>
      <c r="M342" s="688"/>
      <c r="N342" s="689">
        <v>43566</v>
      </c>
      <c r="O342" s="690" t="s">
        <v>2156</v>
      </c>
      <c r="P342" s="22"/>
      <c r="Q342" s="100"/>
      <c r="R342" s="7">
        <v>126.7</v>
      </c>
      <c r="S342" s="7">
        <f t="shared" si="3"/>
        <v>1267</v>
      </c>
      <c r="T342" s="1301"/>
      <c r="U342" s="22"/>
    </row>
    <row r="343" spans="3:21" s="7" customFormat="1" ht="15">
      <c r="C343" s="6" t="s">
        <v>2154</v>
      </c>
      <c r="D343" s="50" t="s">
        <v>2155</v>
      </c>
      <c r="E343" s="21">
        <v>11700</v>
      </c>
      <c r="F343" s="23">
        <v>36</v>
      </c>
      <c r="G343" s="21" t="s">
        <v>81</v>
      </c>
      <c r="H343" s="55">
        <v>10</v>
      </c>
      <c r="I343" s="56">
        <v>1</v>
      </c>
      <c r="J343" s="55">
        <f t="shared" si="2"/>
        <v>10</v>
      </c>
      <c r="K343" s="695">
        <v>2.93</v>
      </c>
      <c r="L343" s="688">
        <v>43566</v>
      </c>
      <c r="M343" s="688"/>
      <c r="N343" s="689">
        <v>43566</v>
      </c>
      <c r="O343" s="690" t="s">
        <v>2156</v>
      </c>
      <c r="P343" s="22"/>
      <c r="Q343" s="100"/>
      <c r="R343" s="7">
        <v>210.8</v>
      </c>
      <c r="S343" s="7">
        <f t="shared" si="3"/>
        <v>2108</v>
      </c>
      <c r="T343" s="1301"/>
      <c r="U343" s="22"/>
    </row>
    <row r="344" spans="3:21" s="7" customFormat="1" ht="15">
      <c r="C344" s="6"/>
      <c r="D344" s="13"/>
      <c r="E344" s="18" t="s">
        <v>83</v>
      </c>
      <c r="F344" s="23"/>
      <c r="G344" s="21"/>
      <c r="H344" s="30"/>
      <c r="I344" s="56"/>
      <c r="J344" s="55"/>
      <c r="K344" s="15" t="s">
        <v>8</v>
      </c>
      <c r="L344" s="10"/>
      <c r="M344" s="10"/>
      <c r="N344" s="73"/>
      <c r="O344" s="695"/>
      <c r="P344" s="22"/>
      <c r="Q344" s="100"/>
      <c r="T344" s="1301"/>
      <c r="U344" s="6"/>
    </row>
    <row r="345" spans="3:21" s="7" customFormat="1" ht="15">
      <c r="C345" s="6" t="s">
        <v>2154</v>
      </c>
      <c r="D345" s="50" t="s">
        <v>2155</v>
      </c>
      <c r="E345" s="21">
        <v>3705</v>
      </c>
      <c r="F345" s="23">
        <v>15</v>
      </c>
      <c r="G345" s="21" t="s">
        <v>94</v>
      </c>
      <c r="H345" s="55">
        <v>30</v>
      </c>
      <c r="I345" s="56">
        <v>1</v>
      </c>
      <c r="J345" s="55">
        <f t="shared" ref="J345:J352" si="4">H345*I345</f>
        <v>30</v>
      </c>
      <c r="K345" s="695">
        <v>0.3</v>
      </c>
      <c r="L345" s="688">
        <v>43566</v>
      </c>
      <c r="M345" s="688"/>
      <c r="N345" s="689">
        <v>43566</v>
      </c>
      <c r="O345" s="690" t="s">
        <v>2156</v>
      </c>
      <c r="P345" s="22"/>
      <c r="Q345" s="22"/>
      <c r="R345" s="7">
        <v>21.37</v>
      </c>
      <c r="S345" s="7">
        <f t="shared" ref="S345:S352" si="5">R345*H345</f>
        <v>641.1</v>
      </c>
      <c r="T345" s="1301"/>
      <c r="U345" s="6"/>
    </row>
    <row r="346" spans="3:21" s="7" customFormat="1" ht="15">
      <c r="C346" s="6" t="s">
        <v>2154</v>
      </c>
      <c r="D346" s="50" t="s">
        <v>2155</v>
      </c>
      <c r="E346" s="21">
        <v>3705</v>
      </c>
      <c r="F346" s="23">
        <v>15</v>
      </c>
      <c r="G346" s="21" t="s">
        <v>2165</v>
      </c>
      <c r="H346" s="55">
        <v>30</v>
      </c>
      <c r="I346" s="56">
        <v>1</v>
      </c>
      <c r="J346" s="55">
        <f t="shared" si="4"/>
        <v>30</v>
      </c>
      <c r="K346" s="695">
        <v>0.3</v>
      </c>
      <c r="L346" s="688">
        <v>43566</v>
      </c>
      <c r="M346" s="688"/>
      <c r="N346" s="689">
        <v>43566</v>
      </c>
      <c r="O346" s="690" t="s">
        <v>2156</v>
      </c>
      <c r="P346" s="22"/>
      <c r="Q346" s="22"/>
      <c r="R346" s="7">
        <v>21.37</v>
      </c>
      <c r="S346" s="7">
        <f t="shared" si="5"/>
        <v>641.1</v>
      </c>
      <c r="T346" s="1301"/>
      <c r="U346" s="6"/>
    </row>
    <row r="347" spans="3:21" s="7" customFormat="1" ht="15">
      <c r="C347" s="6" t="s">
        <v>2154</v>
      </c>
      <c r="D347" s="50" t="s">
        <v>2155</v>
      </c>
      <c r="E347" s="21">
        <v>3705</v>
      </c>
      <c r="F347" s="23">
        <v>15</v>
      </c>
      <c r="G347" s="21" t="s">
        <v>2166</v>
      </c>
      <c r="H347" s="55">
        <v>30</v>
      </c>
      <c r="I347" s="56">
        <v>1</v>
      </c>
      <c r="J347" s="55">
        <f t="shared" si="4"/>
        <v>30</v>
      </c>
      <c r="K347" s="695">
        <v>0.3</v>
      </c>
      <c r="L347" s="688">
        <v>43566</v>
      </c>
      <c r="M347" s="688"/>
      <c r="N347" s="689">
        <v>43566</v>
      </c>
      <c r="O347" s="690" t="s">
        <v>2156</v>
      </c>
      <c r="P347" s="22"/>
      <c r="Q347" s="22"/>
      <c r="R347" s="7">
        <v>21.37</v>
      </c>
      <c r="S347" s="7">
        <f t="shared" si="5"/>
        <v>641.1</v>
      </c>
      <c r="T347" s="1301"/>
      <c r="U347" s="6"/>
    </row>
    <row r="348" spans="3:21" s="7" customFormat="1" ht="15">
      <c r="C348" s="6" t="s">
        <v>2154</v>
      </c>
      <c r="D348" s="50" t="s">
        <v>2155</v>
      </c>
      <c r="E348" s="21">
        <v>3705</v>
      </c>
      <c r="F348" s="23">
        <v>15</v>
      </c>
      <c r="G348" s="21" t="s">
        <v>2167</v>
      </c>
      <c r="H348" s="55">
        <v>30</v>
      </c>
      <c r="I348" s="56">
        <v>1</v>
      </c>
      <c r="J348" s="55">
        <f t="shared" si="4"/>
        <v>30</v>
      </c>
      <c r="K348" s="695">
        <v>0.3</v>
      </c>
      <c r="L348" s="688">
        <v>43566</v>
      </c>
      <c r="M348" s="688"/>
      <c r="N348" s="689">
        <v>43566</v>
      </c>
      <c r="O348" s="690" t="s">
        <v>2156</v>
      </c>
      <c r="P348" s="22"/>
      <c r="Q348" s="22"/>
      <c r="R348" s="7">
        <v>21.37</v>
      </c>
      <c r="S348" s="7">
        <f t="shared" si="5"/>
        <v>641.1</v>
      </c>
      <c r="T348" s="1301"/>
      <c r="U348" s="6"/>
    </row>
    <row r="349" spans="3:21" s="7" customFormat="1" ht="15">
      <c r="C349" s="6" t="s">
        <v>2154</v>
      </c>
      <c r="D349" s="50" t="s">
        <v>2155</v>
      </c>
      <c r="E349" s="21">
        <v>3705</v>
      </c>
      <c r="F349" s="23">
        <v>15</v>
      </c>
      <c r="G349" s="21" t="s">
        <v>2168</v>
      </c>
      <c r="H349" s="55">
        <v>30</v>
      </c>
      <c r="I349" s="56">
        <v>1</v>
      </c>
      <c r="J349" s="55">
        <f t="shared" si="4"/>
        <v>30</v>
      </c>
      <c r="K349" s="695">
        <v>0.3</v>
      </c>
      <c r="L349" s="688">
        <v>43566</v>
      </c>
      <c r="M349" s="688"/>
      <c r="N349" s="689">
        <v>43566</v>
      </c>
      <c r="O349" s="690" t="s">
        <v>2156</v>
      </c>
      <c r="P349" s="22"/>
      <c r="Q349" s="22"/>
      <c r="R349" s="7">
        <v>21.37</v>
      </c>
      <c r="S349" s="7">
        <f t="shared" si="5"/>
        <v>641.1</v>
      </c>
      <c r="T349" s="1301"/>
      <c r="U349" s="6"/>
    </row>
    <row r="350" spans="3:21" s="7" customFormat="1" ht="15">
      <c r="C350" s="6" t="s">
        <v>2154</v>
      </c>
      <c r="D350" s="50" t="s">
        <v>2155</v>
      </c>
      <c r="E350" s="21">
        <v>3705</v>
      </c>
      <c r="F350" s="23">
        <v>15</v>
      </c>
      <c r="G350" s="21" t="s">
        <v>220</v>
      </c>
      <c r="H350" s="55">
        <v>30</v>
      </c>
      <c r="I350" s="56">
        <v>1</v>
      </c>
      <c r="J350" s="55">
        <f t="shared" si="4"/>
        <v>30</v>
      </c>
      <c r="K350" s="695">
        <v>0.3</v>
      </c>
      <c r="L350" s="688">
        <v>43566</v>
      </c>
      <c r="M350" s="688"/>
      <c r="N350" s="689">
        <v>43566</v>
      </c>
      <c r="O350" s="690" t="s">
        <v>2156</v>
      </c>
      <c r="P350" s="22"/>
      <c r="Q350" s="22"/>
      <c r="R350" s="7">
        <v>21.37</v>
      </c>
      <c r="S350" s="7">
        <f t="shared" si="5"/>
        <v>641.1</v>
      </c>
      <c r="T350" s="1301"/>
      <c r="U350" s="6"/>
    </row>
    <row r="351" spans="3:21" s="7" customFormat="1" ht="15">
      <c r="C351" s="6" t="s">
        <v>2154</v>
      </c>
      <c r="D351" s="50" t="s">
        <v>2155</v>
      </c>
      <c r="E351" s="21">
        <v>3705</v>
      </c>
      <c r="F351" s="23">
        <v>15</v>
      </c>
      <c r="G351" s="21" t="s">
        <v>36</v>
      </c>
      <c r="H351" s="55">
        <v>30</v>
      </c>
      <c r="I351" s="56">
        <v>1</v>
      </c>
      <c r="J351" s="55">
        <f t="shared" si="4"/>
        <v>30</v>
      </c>
      <c r="K351" s="695">
        <v>0.3</v>
      </c>
      <c r="L351" s="688">
        <v>43566</v>
      </c>
      <c r="M351" s="688"/>
      <c r="N351" s="689">
        <v>43566</v>
      </c>
      <c r="O351" s="690" t="s">
        <v>2156</v>
      </c>
      <c r="P351" s="22"/>
      <c r="Q351" s="22"/>
      <c r="R351" s="7">
        <v>21.37</v>
      </c>
      <c r="S351" s="7">
        <f t="shared" si="5"/>
        <v>641.1</v>
      </c>
      <c r="T351" s="1301"/>
      <c r="U351" s="6"/>
    </row>
    <row r="352" spans="3:21" s="7" customFormat="1" ht="15">
      <c r="C352" s="6" t="s">
        <v>2154</v>
      </c>
      <c r="D352" s="50" t="s">
        <v>2155</v>
      </c>
      <c r="E352" s="21">
        <v>3705</v>
      </c>
      <c r="F352" s="23">
        <v>15</v>
      </c>
      <c r="G352" s="21" t="s">
        <v>65</v>
      </c>
      <c r="H352" s="55">
        <v>30</v>
      </c>
      <c r="I352" s="56">
        <v>1</v>
      </c>
      <c r="J352" s="55">
        <f t="shared" si="4"/>
        <v>30</v>
      </c>
      <c r="K352" s="695">
        <v>0.3</v>
      </c>
      <c r="L352" s="688">
        <v>43566</v>
      </c>
      <c r="M352" s="688"/>
      <c r="N352" s="689">
        <v>43566</v>
      </c>
      <c r="O352" s="690" t="s">
        <v>2156</v>
      </c>
      <c r="P352" s="22"/>
      <c r="Q352" s="22"/>
      <c r="R352" s="7">
        <v>21.37</v>
      </c>
      <c r="S352" s="7">
        <f t="shared" si="5"/>
        <v>641.1</v>
      </c>
      <c r="T352" s="1301"/>
      <c r="U352" s="6"/>
    </row>
    <row r="353" spans="3:21" ht="18" customHeight="1">
      <c r="C353" s="6" t="s">
        <v>2154</v>
      </c>
      <c r="D353" s="50" t="s">
        <v>2155</v>
      </c>
      <c r="E353" s="61"/>
      <c r="F353" s="59"/>
      <c r="G353" s="59" t="s">
        <v>13</v>
      </c>
      <c r="H353" s="30" t="s">
        <v>28</v>
      </c>
      <c r="I353" s="53"/>
      <c r="J353" s="46"/>
      <c r="K353" s="695">
        <v>12</v>
      </c>
      <c r="L353" s="688">
        <v>43566</v>
      </c>
      <c r="M353" s="688"/>
      <c r="N353" s="689">
        <v>43566</v>
      </c>
      <c r="O353" s="690" t="s">
        <v>2169</v>
      </c>
      <c r="P353" s="22"/>
      <c r="Q353" s="22"/>
      <c r="R353" s="7">
        <v>21.37</v>
      </c>
      <c r="U353" s="6"/>
    </row>
    <row r="354" spans="3:21" ht="18" customHeight="1">
      <c r="C354" s="6" t="s">
        <v>2154</v>
      </c>
      <c r="D354" s="50" t="s">
        <v>2155</v>
      </c>
      <c r="E354" s="61"/>
      <c r="F354" s="59"/>
      <c r="G354" s="59" t="s">
        <v>2170</v>
      </c>
      <c r="H354" s="30" t="s">
        <v>28</v>
      </c>
      <c r="I354" s="53"/>
      <c r="J354" s="46"/>
      <c r="K354" s="695">
        <v>66</v>
      </c>
      <c r="L354" s="688">
        <v>43566</v>
      </c>
      <c r="M354" s="688"/>
      <c r="N354" s="689">
        <v>43566</v>
      </c>
      <c r="O354" s="690" t="s">
        <v>2169</v>
      </c>
      <c r="P354" s="22"/>
      <c r="Q354" s="22"/>
      <c r="R354" s="7"/>
      <c r="U354" s="6"/>
    </row>
    <row r="355" spans="3:21" ht="18" customHeight="1">
      <c r="C355" s="6" t="s">
        <v>2154</v>
      </c>
      <c r="D355" s="50" t="s">
        <v>2155</v>
      </c>
      <c r="E355" s="61"/>
      <c r="F355" s="59"/>
      <c r="G355" s="59" t="s">
        <v>2171</v>
      </c>
      <c r="H355" s="30" t="s">
        <v>28</v>
      </c>
      <c r="I355" s="53"/>
      <c r="J355" s="46"/>
      <c r="K355" s="695">
        <v>14.24</v>
      </c>
      <c r="L355" s="688">
        <v>43566</v>
      </c>
      <c r="M355" s="688"/>
      <c r="N355" s="689">
        <v>43566</v>
      </c>
      <c r="O355" s="690" t="s">
        <v>2169</v>
      </c>
      <c r="P355" s="22"/>
      <c r="Q355" s="22"/>
      <c r="R355" s="7"/>
      <c r="U355" s="6"/>
    </row>
    <row r="356" spans="3:21" ht="18" customHeight="1">
      <c r="C356" s="4"/>
      <c r="D356" s="50"/>
      <c r="E356" s="51" t="s">
        <v>27</v>
      </c>
      <c r="F356" s="52"/>
      <c r="G356" s="47"/>
      <c r="H356" s="46"/>
      <c r="I356" s="53"/>
      <c r="J356" s="46"/>
      <c r="K356" s="58" t="s">
        <v>8</v>
      </c>
      <c r="L356" s="688"/>
      <c r="M356" s="688"/>
      <c r="N356" s="689"/>
      <c r="O356" s="690"/>
      <c r="P356" s="34"/>
      <c r="Q356" s="50"/>
      <c r="R356"/>
      <c r="S356"/>
      <c r="T356" s="1304"/>
      <c r="U356" s="343"/>
    </row>
    <row r="357" spans="3:21" ht="18" customHeight="1">
      <c r="C357" s="54" t="s">
        <v>2172</v>
      </c>
      <c r="D357" s="50" t="s">
        <v>2173</v>
      </c>
      <c r="E357" s="47" t="s">
        <v>2174</v>
      </c>
      <c r="F357" s="682"/>
      <c r="G357" s="47" t="s">
        <v>25</v>
      </c>
      <c r="H357" s="46">
        <v>13.7</v>
      </c>
      <c r="I357" s="53">
        <v>1</v>
      </c>
      <c r="J357" s="17">
        <f>H357*I357</f>
        <v>13.7</v>
      </c>
      <c r="K357" s="695">
        <v>4.46</v>
      </c>
      <c r="L357" s="688">
        <v>43566</v>
      </c>
      <c r="M357" s="688"/>
      <c r="N357" s="689">
        <v>43566</v>
      </c>
      <c r="O357" s="690" t="s">
        <v>2175</v>
      </c>
      <c r="P357" s="34"/>
      <c r="Q357" s="1">
        <v>359</v>
      </c>
      <c r="R357" s="25">
        <v>319</v>
      </c>
      <c r="S357" s="1" t="s">
        <v>2036</v>
      </c>
      <c r="U357" s="4"/>
    </row>
    <row r="358" spans="3:21" ht="18" customHeight="1">
      <c r="C358" s="54" t="s">
        <v>2172</v>
      </c>
      <c r="D358" s="50" t="s">
        <v>2173</v>
      </c>
      <c r="E358" s="47" t="s">
        <v>2176</v>
      </c>
      <c r="F358" s="682"/>
      <c r="G358" s="47" t="s">
        <v>25</v>
      </c>
      <c r="H358" s="17">
        <v>7</v>
      </c>
      <c r="I358" s="53">
        <v>1</v>
      </c>
      <c r="J358" s="17">
        <f>H358*I358</f>
        <v>7</v>
      </c>
      <c r="K358" s="695">
        <v>2.59</v>
      </c>
      <c r="L358" s="688">
        <v>43566</v>
      </c>
      <c r="M358" s="688"/>
      <c r="N358" s="689">
        <v>43566</v>
      </c>
      <c r="O358" s="690" t="s">
        <v>2175</v>
      </c>
      <c r="P358" s="34"/>
      <c r="Q358" s="1">
        <v>208</v>
      </c>
      <c r="R358" s="25">
        <v>168</v>
      </c>
      <c r="S358" s="1" t="s">
        <v>2036</v>
      </c>
      <c r="U358" s="4"/>
    </row>
    <row r="359" spans="3:21" ht="18" customHeight="1">
      <c r="C359" s="54" t="s">
        <v>2172</v>
      </c>
      <c r="D359" s="50" t="s">
        <v>2173</v>
      </c>
      <c r="E359" s="47"/>
      <c r="F359" s="59"/>
      <c r="G359" s="59" t="s">
        <v>13</v>
      </c>
      <c r="H359" s="30" t="s">
        <v>28</v>
      </c>
      <c r="I359" s="53"/>
      <c r="J359" s="46"/>
      <c r="K359" s="695">
        <v>12</v>
      </c>
      <c r="L359" s="688">
        <v>43566</v>
      </c>
      <c r="M359" s="688"/>
      <c r="N359" s="689">
        <v>43566</v>
      </c>
      <c r="O359" s="690" t="s">
        <v>2175</v>
      </c>
      <c r="P359" s="22"/>
      <c r="Q359" s="22"/>
      <c r="R359" s="7">
        <v>21.37</v>
      </c>
      <c r="U359" s="6"/>
    </row>
    <row r="360" spans="3:21" ht="18" customHeight="1">
      <c r="C360" s="4"/>
      <c r="D360" s="50"/>
      <c r="E360" s="51" t="s">
        <v>60</v>
      </c>
      <c r="F360" s="52"/>
      <c r="G360" s="47"/>
      <c r="H360" s="46"/>
      <c r="I360" s="53"/>
      <c r="J360" s="46"/>
      <c r="K360" s="58" t="s">
        <v>8</v>
      </c>
      <c r="L360" s="688"/>
      <c r="M360" s="688"/>
      <c r="N360" s="689"/>
      <c r="O360" s="690"/>
      <c r="P360" s="34"/>
      <c r="Q360" s="50"/>
      <c r="R360"/>
      <c r="S360"/>
      <c r="T360" s="1304"/>
      <c r="U360" s="343"/>
    </row>
    <row r="361" spans="3:21" ht="18" customHeight="1">
      <c r="C361" s="54" t="s">
        <v>2177</v>
      </c>
      <c r="D361" s="50" t="s">
        <v>2038</v>
      </c>
      <c r="E361" s="47" t="s">
        <v>2048</v>
      </c>
      <c r="F361" s="682"/>
      <c r="G361" s="47" t="s">
        <v>25</v>
      </c>
      <c r="H361" s="46">
        <v>13.7</v>
      </c>
      <c r="I361" s="53">
        <v>8</v>
      </c>
      <c r="J361" s="17">
        <f>H361*I361</f>
        <v>109.6</v>
      </c>
      <c r="K361" s="695">
        <v>6.2</v>
      </c>
      <c r="L361" s="688">
        <v>43579</v>
      </c>
      <c r="M361" s="688"/>
      <c r="N361" s="689">
        <v>43579</v>
      </c>
      <c r="O361" s="690">
        <v>2089</v>
      </c>
      <c r="P361" s="34"/>
      <c r="Q361" s="1">
        <v>520</v>
      </c>
      <c r="R361" s="25">
        <v>480</v>
      </c>
      <c r="S361" s="1" t="s">
        <v>2036</v>
      </c>
      <c r="U361" s="4"/>
    </row>
    <row r="362" spans="3:21" ht="18" customHeight="1">
      <c r="C362" s="54" t="s">
        <v>2177</v>
      </c>
      <c r="D362" s="50" t="s">
        <v>2038</v>
      </c>
      <c r="E362" s="47" t="s">
        <v>2039</v>
      </c>
      <c r="F362" s="682"/>
      <c r="G362" s="47" t="s">
        <v>25</v>
      </c>
      <c r="H362" s="46">
        <v>13.7</v>
      </c>
      <c r="I362" s="53">
        <v>8</v>
      </c>
      <c r="J362" s="17">
        <f>H362*I362</f>
        <v>109.6</v>
      </c>
      <c r="K362" s="695">
        <v>14.65</v>
      </c>
      <c r="L362" s="688">
        <v>43579</v>
      </c>
      <c r="M362" s="688"/>
      <c r="N362" s="689">
        <v>43579</v>
      </c>
      <c r="O362" s="690">
        <v>2089</v>
      </c>
      <c r="P362" s="34"/>
      <c r="Q362" s="1">
        <v>1230</v>
      </c>
      <c r="R362" s="25">
        <v>1130</v>
      </c>
      <c r="S362" s="1" t="s">
        <v>2040</v>
      </c>
      <c r="U362" s="4"/>
    </row>
    <row r="363" spans="3:21" ht="18" customHeight="1">
      <c r="C363" s="4"/>
      <c r="D363" s="50"/>
      <c r="E363" s="51" t="s">
        <v>60</v>
      </c>
      <c r="F363" s="52"/>
      <c r="G363" s="47"/>
      <c r="H363" s="46"/>
      <c r="I363" s="53"/>
      <c r="J363" s="46"/>
      <c r="K363" s="58" t="s">
        <v>8</v>
      </c>
      <c r="L363" s="688"/>
      <c r="M363" s="688"/>
      <c r="N363" s="689"/>
      <c r="O363" s="690"/>
      <c r="P363" s="34"/>
      <c r="Q363" s="50"/>
      <c r="R363"/>
      <c r="S363"/>
      <c r="T363" s="1304"/>
      <c r="U363" s="343"/>
    </row>
    <row r="364" spans="3:21" ht="18" customHeight="1">
      <c r="C364" s="54" t="s">
        <v>2178</v>
      </c>
      <c r="D364" s="50" t="s">
        <v>1850</v>
      </c>
      <c r="E364" s="47" t="s">
        <v>2179</v>
      </c>
      <c r="F364" s="682"/>
      <c r="G364" s="47" t="s">
        <v>25</v>
      </c>
      <c r="H364" s="55">
        <v>10</v>
      </c>
      <c r="I364" s="55">
        <v>10</v>
      </c>
      <c r="J364" s="55">
        <v>10</v>
      </c>
      <c r="K364" s="695">
        <v>2.5</v>
      </c>
      <c r="L364" s="688">
        <v>43571</v>
      </c>
      <c r="M364" s="688"/>
      <c r="N364" s="689">
        <v>43571</v>
      </c>
      <c r="O364" s="690" t="s">
        <v>2180</v>
      </c>
      <c r="P364" s="34"/>
      <c r="Q364" s="1">
        <v>201</v>
      </c>
      <c r="R364" s="25">
        <v>111</v>
      </c>
      <c r="S364" s="1" t="s">
        <v>2044</v>
      </c>
      <c r="U364" s="4"/>
    </row>
    <row r="365" spans="3:21" ht="18" customHeight="1">
      <c r="C365" s="54" t="s">
        <v>2178</v>
      </c>
      <c r="D365" s="50" t="s">
        <v>1850</v>
      </c>
      <c r="E365" s="61"/>
      <c r="F365" s="59"/>
      <c r="G365" s="59" t="s">
        <v>13</v>
      </c>
      <c r="H365" s="30" t="s">
        <v>28</v>
      </c>
      <c r="I365" s="53"/>
      <c r="J365" s="46"/>
      <c r="K365" s="695">
        <v>12</v>
      </c>
      <c r="L365" s="688">
        <v>43571</v>
      </c>
      <c r="M365" s="688"/>
      <c r="N365" s="689">
        <v>43571</v>
      </c>
      <c r="O365" s="690" t="s">
        <v>2180</v>
      </c>
      <c r="P365" s="22"/>
      <c r="Q365" s="22"/>
      <c r="R365" s="7"/>
      <c r="U365" s="6"/>
    </row>
    <row r="366" spans="3:21" ht="18" customHeight="1">
      <c r="C366" s="4"/>
      <c r="D366" s="50"/>
      <c r="E366" s="51" t="s">
        <v>2181</v>
      </c>
      <c r="F366" s="52"/>
      <c r="G366" s="47"/>
      <c r="H366" s="46"/>
      <c r="I366" s="53"/>
      <c r="J366" s="46"/>
      <c r="K366" s="58" t="s">
        <v>8</v>
      </c>
      <c r="L366" s="688"/>
      <c r="M366" s="688"/>
      <c r="N366" s="689"/>
      <c r="O366" s="690"/>
      <c r="P366" s="34"/>
      <c r="Q366" s="50"/>
      <c r="R366"/>
      <c r="S366"/>
      <c r="T366" s="1304"/>
      <c r="U366" s="343"/>
    </row>
    <row r="367" spans="3:21" ht="18" customHeight="1">
      <c r="C367" s="54" t="s">
        <v>2182</v>
      </c>
      <c r="D367" s="50" t="s">
        <v>2173</v>
      </c>
      <c r="E367" s="47" t="s">
        <v>2176</v>
      </c>
      <c r="F367" s="682"/>
      <c r="G367" s="47" t="s">
        <v>25</v>
      </c>
      <c r="H367" s="46">
        <v>14</v>
      </c>
      <c r="I367" s="53">
        <v>7</v>
      </c>
      <c r="J367" s="55">
        <f>H367*I367</f>
        <v>98</v>
      </c>
      <c r="K367" s="695">
        <v>2.59</v>
      </c>
      <c r="L367" s="688">
        <v>43606</v>
      </c>
      <c r="M367" s="688"/>
      <c r="N367" s="689">
        <v>43606</v>
      </c>
      <c r="O367" s="690" t="s">
        <v>2183</v>
      </c>
      <c r="P367" s="34"/>
      <c r="Q367" s="1">
        <v>208</v>
      </c>
      <c r="R367" s="25">
        <v>168</v>
      </c>
      <c r="S367" s="1" t="s">
        <v>2036</v>
      </c>
      <c r="U367" s="4"/>
    </row>
    <row r="368" spans="3:21" ht="18" customHeight="1">
      <c r="C368" s="54" t="s">
        <v>2182</v>
      </c>
      <c r="D368" s="50" t="s">
        <v>2173</v>
      </c>
      <c r="E368" s="47" t="s">
        <v>2176</v>
      </c>
      <c r="F368" s="682"/>
      <c r="G368" s="47" t="s">
        <v>2184</v>
      </c>
      <c r="H368" s="46">
        <v>14</v>
      </c>
      <c r="I368" s="53">
        <v>13</v>
      </c>
      <c r="J368" s="55">
        <f>H368*I368</f>
        <v>182</v>
      </c>
      <c r="K368" s="695">
        <v>2.59</v>
      </c>
      <c r="L368" s="688">
        <v>43613</v>
      </c>
      <c r="M368" s="688"/>
      <c r="N368" s="689">
        <v>43613</v>
      </c>
      <c r="O368" s="690">
        <v>2139</v>
      </c>
      <c r="P368" s="34"/>
      <c r="Q368" s="1">
        <v>208</v>
      </c>
      <c r="R368" s="25">
        <v>168</v>
      </c>
      <c r="S368" s="1" t="s">
        <v>2036</v>
      </c>
      <c r="U368" s="4"/>
    </row>
    <row r="369" spans="3:22" ht="18" customHeight="1">
      <c r="C369" s="54" t="s">
        <v>2182</v>
      </c>
      <c r="D369" s="50" t="s">
        <v>2173</v>
      </c>
      <c r="E369" s="47" t="s">
        <v>2176</v>
      </c>
      <c r="F369" s="682"/>
      <c r="G369" s="47" t="s">
        <v>25</v>
      </c>
      <c r="H369" s="46">
        <v>14</v>
      </c>
      <c r="I369" s="53">
        <v>136</v>
      </c>
      <c r="J369" s="55">
        <f>H369*I369</f>
        <v>1904</v>
      </c>
      <c r="K369" s="695">
        <v>2.59</v>
      </c>
      <c r="L369" s="688">
        <v>43613</v>
      </c>
      <c r="M369" s="688"/>
      <c r="N369" s="689">
        <v>43613</v>
      </c>
      <c r="O369" s="690">
        <v>2139</v>
      </c>
      <c r="P369" s="34"/>
      <c r="Q369" s="1">
        <v>208</v>
      </c>
      <c r="R369" s="25">
        <v>168</v>
      </c>
      <c r="S369" s="1" t="s">
        <v>2036</v>
      </c>
      <c r="U369" s="4"/>
    </row>
    <row r="370" spans="3:22" ht="18" customHeight="1">
      <c r="C370" s="54" t="s">
        <v>2182</v>
      </c>
      <c r="D370" s="50" t="s">
        <v>2173</v>
      </c>
      <c r="E370" s="47" t="s">
        <v>2176</v>
      </c>
      <c r="F370" s="682"/>
      <c r="G370" s="47" t="s">
        <v>2184</v>
      </c>
      <c r="H370" s="46">
        <v>14</v>
      </c>
      <c r="I370" s="53">
        <v>59</v>
      </c>
      <c r="J370" s="55">
        <f>H370*I370</f>
        <v>826</v>
      </c>
      <c r="K370" s="695">
        <v>2.59</v>
      </c>
      <c r="L370" s="688">
        <v>43616</v>
      </c>
      <c r="M370" s="688"/>
      <c r="N370" s="689">
        <v>43616</v>
      </c>
      <c r="O370" s="690">
        <v>2120</v>
      </c>
      <c r="P370" s="34"/>
      <c r="Q370" s="1">
        <v>208</v>
      </c>
      <c r="R370" s="25">
        <v>168</v>
      </c>
      <c r="S370" s="1" t="s">
        <v>2036</v>
      </c>
      <c r="U370" s="4"/>
    </row>
    <row r="371" spans="3:22" s="7" customFormat="1" ht="15.75">
      <c r="C371" s="6"/>
      <c r="D371" s="13"/>
      <c r="E371" s="18" t="s">
        <v>2185</v>
      </c>
      <c r="F371" s="23"/>
      <c r="G371" s="21"/>
      <c r="H371" s="55"/>
      <c r="I371" s="56"/>
      <c r="J371" s="55"/>
      <c r="K371" s="9" t="s">
        <v>8</v>
      </c>
      <c r="L371" s="10"/>
      <c r="M371" s="10"/>
      <c r="N371" s="12"/>
      <c r="O371" s="114"/>
      <c r="P371" s="100"/>
      <c r="Q371" s="100"/>
      <c r="T371" s="1301"/>
      <c r="U371" s="6" t="s">
        <v>3</v>
      </c>
    </row>
    <row r="372" spans="3:22" s="7" customFormat="1" ht="15">
      <c r="C372" s="6" t="s">
        <v>2186</v>
      </c>
      <c r="D372" s="13" t="s">
        <v>2003</v>
      </c>
      <c r="E372" s="21" t="s">
        <v>1884</v>
      </c>
      <c r="F372" s="23"/>
      <c r="G372" s="21" t="s">
        <v>46</v>
      </c>
      <c r="H372" s="55">
        <v>3</v>
      </c>
      <c r="I372" s="55">
        <v>3</v>
      </c>
      <c r="J372" s="55">
        <v>3</v>
      </c>
      <c r="K372" s="611">
        <v>4.8499999999999996</v>
      </c>
      <c r="L372" s="688">
        <v>43608</v>
      </c>
      <c r="M372" s="688"/>
      <c r="N372" s="689">
        <v>43608</v>
      </c>
      <c r="O372" s="690" t="s">
        <v>2187</v>
      </c>
      <c r="P372" s="22"/>
      <c r="Q372" s="13">
        <v>390</v>
      </c>
      <c r="R372" s="7">
        <v>340</v>
      </c>
      <c r="S372" s="7" t="s">
        <v>2019</v>
      </c>
      <c r="T372" s="1301"/>
      <c r="U372" s="22"/>
    </row>
    <row r="373" spans="3:22" s="7" customFormat="1" ht="15">
      <c r="C373" s="6" t="s">
        <v>2186</v>
      </c>
      <c r="D373" s="13" t="s">
        <v>2003</v>
      </c>
      <c r="E373" s="21" t="s">
        <v>2188</v>
      </c>
      <c r="F373" s="23"/>
      <c r="G373" s="21" t="s">
        <v>46</v>
      </c>
      <c r="H373" s="55">
        <v>3</v>
      </c>
      <c r="I373" s="55">
        <v>3</v>
      </c>
      <c r="J373" s="55">
        <v>3</v>
      </c>
      <c r="K373" s="611">
        <v>4.17</v>
      </c>
      <c r="L373" s="688">
        <v>43608</v>
      </c>
      <c r="M373" s="688"/>
      <c r="N373" s="689">
        <v>43608</v>
      </c>
      <c r="O373" s="690" t="s">
        <v>2187</v>
      </c>
      <c r="P373" s="22"/>
      <c r="Q373" s="13">
        <v>335</v>
      </c>
      <c r="R373" s="7">
        <v>275</v>
      </c>
      <c r="S373" s="7" t="s">
        <v>2056</v>
      </c>
      <c r="T373" s="1301"/>
      <c r="U373" s="22"/>
    </row>
    <row r="374" spans="3:22" s="7" customFormat="1" ht="15">
      <c r="C374" s="6" t="s">
        <v>2186</v>
      </c>
      <c r="D374" s="13" t="s">
        <v>2003</v>
      </c>
      <c r="E374" s="21" t="s">
        <v>134</v>
      </c>
      <c r="F374" s="23"/>
      <c r="G374" s="21" t="s">
        <v>46</v>
      </c>
      <c r="H374" s="55">
        <v>3</v>
      </c>
      <c r="I374" s="55">
        <v>3</v>
      </c>
      <c r="J374" s="55">
        <v>3</v>
      </c>
      <c r="K374" s="611">
        <v>4.84</v>
      </c>
      <c r="L374" s="688">
        <v>43608</v>
      </c>
      <c r="M374" s="688"/>
      <c r="N374" s="689">
        <v>43608</v>
      </c>
      <c r="O374" s="690" t="s">
        <v>2187</v>
      </c>
      <c r="P374" s="22"/>
      <c r="Q374" s="13">
        <v>389</v>
      </c>
      <c r="R374" s="7">
        <v>279</v>
      </c>
      <c r="S374" s="7" t="s">
        <v>2189</v>
      </c>
      <c r="T374" s="1301"/>
      <c r="U374" s="22"/>
    </row>
    <row r="375" spans="3:22" s="7" customFormat="1" ht="15">
      <c r="C375" s="6" t="s">
        <v>2186</v>
      </c>
      <c r="D375" s="13" t="s">
        <v>2003</v>
      </c>
      <c r="E375" s="21" t="s">
        <v>2190</v>
      </c>
      <c r="F375" s="23"/>
      <c r="G375" s="21" t="s">
        <v>46</v>
      </c>
      <c r="H375" s="55">
        <v>3</v>
      </c>
      <c r="I375" s="55">
        <v>3</v>
      </c>
      <c r="J375" s="55">
        <v>3</v>
      </c>
      <c r="K375" s="611">
        <v>3.42</v>
      </c>
      <c r="L375" s="688">
        <v>43608</v>
      </c>
      <c r="M375" s="688"/>
      <c r="N375" s="689">
        <v>43608</v>
      </c>
      <c r="O375" s="690" t="s">
        <v>2187</v>
      </c>
      <c r="P375" s="22"/>
      <c r="Q375" s="13">
        <v>275</v>
      </c>
      <c r="R375" s="7">
        <v>175</v>
      </c>
      <c r="S375" s="7" t="s">
        <v>2040</v>
      </c>
      <c r="T375" s="1301"/>
      <c r="U375" s="22"/>
    </row>
    <row r="376" spans="3:22" s="7" customFormat="1" ht="18" customHeight="1">
      <c r="C376" s="6" t="s">
        <v>2186</v>
      </c>
      <c r="D376" s="13" t="s">
        <v>2003</v>
      </c>
      <c r="E376" s="48"/>
      <c r="F376" s="38"/>
      <c r="G376" s="38" t="s">
        <v>13</v>
      </c>
      <c r="H376" s="39" t="s">
        <v>28</v>
      </c>
      <c r="I376" s="94"/>
      <c r="J376" s="93"/>
      <c r="K376" s="611">
        <v>12</v>
      </c>
      <c r="L376" s="688">
        <v>43608</v>
      </c>
      <c r="M376" s="688"/>
      <c r="N376" s="689">
        <v>43608</v>
      </c>
      <c r="O376" s="690" t="s">
        <v>2187</v>
      </c>
      <c r="P376" s="22"/>
      <c r="Q376" s="22"/>
      <c r="T376" s="1301"/>
      <c r="U376" s="6"/>
    </row>
    <row r="377" spans="3:22" s="7" customFormat="1" ht="15">
      <c r="C377" s="6"/>
      <c r="D377" s="13"/>
      <c r="E377" s="18" t="s">
        <v>19</v>
      </c>
      <c r="F377" s="23"/>
      <c r="G377" s="21"/>
      <c r="H377" s="55"/>
      <c r="I377" s="56"/>
      <c r="J377" s="55"/>
      <c r="K377" s="15" t="s">
        <v>8</v>
      </c>
      <c r="L377" s="10"/>
      <c r="M377" s="10"/>
      <c r="N377" s="13"/>
      <c r="O377" s="13"/>
      <c r="P377" s="100"/>
      <c r="Q377" s="100"/>
      <c r="T377" s="1301"/>
      <c r="U377" s="6" t="s">
        <v>3</v>
      </c>
    </row>
    <row r="378" spans="3:22" s="7" customFormat="1" ht="15.75" customHeight="1">
      <c r="C378" s="6" t="s">
        <v>2191</v>
      </c>
      <c r="D378" s="13" t="s">
        <v>1850</v>
      </c>
      <c r="E378" s="21" t="s">
        <v>232</v>
      </c>
      <c r="F378" s="23"/>
      <c r="G378" s="21" t="s">
        <v>25</v>
      </c>
      <c r="H378" s="46">
        <v>14</v>
      </c>
      <c r="I378" s="31">
        <v>1</v>
      </c>
      <c r="J378" s="62">
        <f>H378*I378</f>
        <v>14</v>
      </c>
      <c r="K378" s="611">
        <v>1.83</v>
      </c>
      <c r="L378" s="688">
        <v>43608</v>
      </c>
      <c r="M378" s="688"/>
      <c r="N378" s="689">
        <v>43608</v>
      </c>
      <c r="O378" s="690" t="s">
        <v>2192</v>
      </c>
      <c r="P378" s="40"/>
      <c r="Q378" s="719"/>
      <c r="R378" s="11">
        <v>100</v>
      </c>
      <c r="S378" s="63" t="s">
        <v>44</v>
      </c>
      <c r="T378" s="1307"/>
      <c r="U378" s="6" t="s">
        <v>3</v>
      </c>
      <c r="V378" s="7" t="s">
        <v>2193</v>
      </c>
    </row>
    <row r="379" spans="3:22" s="7" customFormat="1" ht="15">
      <c r="C379" s="6" t="s">
        <v>2191</v>
      </c>
      <c r="D379" s="13" t="s">
        <v>1850</v>
      </c>
      <c r="E379" s="21" t="s">
        <v>2194</v>
      </c>
      <c r="F379" s="23"/>
      <c r="G379" s="21" t="s">
        <v>46</v>
      </c>
      <c r="H379" s="46">
        <v>13.7</v>
      </c>
      <c r="I379" s="31">
        <v>1</v>
      </c>
      <c r="J379" s="57">
        <f>H379*I379</f>
        <v>13.7</v>
      </c>
      <c r="K379" s="611">
        <v>1.61</v>
      </c>
      <c r="L379" s="688">
        <v>43608</v>
      </c>
      <c r="M379" s="688"/>
      <c r="N379" s="689">
        <v>43608</v>
      </c>
      <c r="O379" s="690" t="s">
        <v>2192</v>
      </c>
      <c r="P379" s="22"/>
      <c r="Q379" s="13">
        <v>129</v>
      </c>
      <c r="R379" s="11">
        <v>99</v>
      </c>
      <c r="S379" s="63" t="s">
        <v>44</v>
      </c>
      <c r="T379" s="1307"/>
      <c r="U379" s="22"/>
    </row>
    <row r="380" spans="3:22" s="7" customFormat="1" ht="15">
      <c r="C380" s="6" t="s">
        <v>2191</v>
      </c>
      <c r="D380" s="13" t="s">
        <v>1850</v>
      </c>
      <c r="E380" s="21" t="s">
        <v>1883</v>
      </c>
      <c r="F380" s="23"/>
      <c r="G380" s="21" t="s">
        <v>46</v>
      </c>
      <c r="H380" s="46">
        <v>13.7</v>
      </c>
      <c r="I380" s="31">
        <v>1</v>
      </c>
      <c r="J380" s="57">
        <f>H380*I380</f>
        <v>13.7</v>
      </c>
      <c r="K380" s="611">
        <v>1.56</v>
      </c>
      <c r="L380" s="688">
        <v>43608</v>
      </c>
      <c r="M380" s="688"/>
      <c r="N380" s="689">
        <v>43608</v>
      </c>
      <c r="O380" s="690" t="s">
        <v>2192</v>
      </c>
      <c r="P380" s="22"/>
      <c r="Q380" s="13">
        <v>125</v>
      </c>
      <c r="R380" s="11">
        <v>95</v>
      </c>
      <c r="S380" s="63" t="s">
        <v>44</v>
      </c>
      <c r="T380" s="1307"/>
      <c r="U380" s="22"/>
    </row>
    <row r="381" spans="3:22" s="7" customFormat="1" ht="18" customHeight="1">
      <c r="C381" s="6" t="s">
        <v>2191</v>
      </c>
      <c r="D381" s="13" t="s">
        <v>1850</v>
      </c>
      <c r="E381" s="48"/>
      <c r="F381" s="38"/>
      <c r="G381" s="38" t="s">
        <v>13</v>
      </c>
      <c r="H381" s="39" t="s">
        <v>28</v>
      </c>
      <c r="I381" s="94"/>
      <c r="J381" s="93"/>
      <c r="K381" s="611">
        <v>12</v>
      </c>
      <c r="L381" s="688">
        <v>43608</v>
      </c>
      <c r="M381" s="688"/>
      <c r="N381" s="689">
        <v>43608</v>
      </c>
      <c r="O381" s="690" t="s">
        <v>2192</v>
      </c>
      <c r="P381" s="22"/>
      <c r="Q381" s="22"/>
      <c r="T381" s="1301"/>
      <c r="U381" s="6"/>
    </row>
    <row r="382" spans="3:22" s="7" customFormat="1" ht="15.75">
      <c r="C382" s="6"/>
      <c r="D382" s="13"/>
      <c r="E382" s="18" t="s">
        <v>2185</v>
      </c>
      <c r="F382" s="23"/>
      <c r="G382" s="21"/>
      <c r="H382" s="55"/>
      <c r="I382" s="56"/>
      <c r="J382" s="55"/>
      <c r="K382" s="9" t="s">
        <v>8</v>
      </c>
      <c r="L382" s="10"/>
      <c r="M382" s="10"/>
      <c r="N382" s="12"/>
      <c r="O382" s="114"/>
      <c r="P382" s="100"/>
      <c r="Q382" s="100"/>
      <c r="T382" s="1301"/>
      <c r="U382" s="6" t="s">
        <v>3</v>
      </c>
    </row>
    <row r="383" spans="3:22" s="7" customFormat="1" ht="15">
      <c r="C383" s="6" t="s">
        <v>2195</v>
      </c>
      <c r="D383" s="13" t="s">
        <v>2003</v>
      </c>
      <c r="E383" s="21" t="s">
        <v>2188</v>
      </c>
      <c r="F383" s="23"/>
      <c r="G383" s="21" t="s">
        <v>46</v>
      </c>
      <c r="H383" s="55">
        <v>5</v>
      </c>
      <c r="I383" s="55">
        <v>5</v>
      </c>
      <c r="J383" s="55">
        <v>5</v>
      </c>
      <c r="K383" s="611">
        <v>4.17</v>
      </c>
      <c r="L383" s="688">
        <v>43616</v>
      </c>
      <c r="M383" s="688"/>
      <c r="N383" s="689">
        <v>43616</v>
      </c>
      <c r="O383" s="690" t="s">
        <v>2196</v>
      </c>
      <c r="P383" s="22"/>
      <c r="Q383" s="13">
        <v>335</v>
      </c>
      <c r="R383" s="7">
        <v>275</v>
      </c>
      <c r="S383" s="7" t="s">
        <v>2056</v>
      </c>
      <c r="T383" s="1301"/>
      <c r="U383" s="22"/>
    </row>
    <row r="384" spans="3:22" s="7" customFormat="1" ht="18" customHeight="1">
      <c r="C384" s="6" t="s">
        <v>2195</v>
      </c>
      <c r="D384" s="13" t="s">
        <v>2003</v>
      </c>
      <c r="E384" s="48"/>
      <c r="F384" s="38"/>
      <c r="G384" s="38" t="s">
        <v>13</v>
      </c>
      <c r="H384" s="39" t="s">
        <v>28</v>
      </c>
      <c r="I384" s="94"/>
      <c r="J384" s="93"/>
      <c r="K384" s="611">
        <v>12</v>
      </c>
      <c r="L384" s="688">
        <v>43616</v>
      </c>
      <c r="M384" s="688"/>
      <c r="N384" s="689">
        <v>43616</v>
      </c>
      <c r="O384" s="690" t="s">
        <v>2196</v>
      </c>
      <c r="P384" s="22"/>
      <c r="Q384" s="22"/>
      <c r="T384" s="1301"/>
      <c r="U384" s="6"/>
    </row>
    <row r="385" spans="3:21" s="7" customFormat="1" ht="15">
      <c r="C385" s="6"/>
      <c r="D385" s="13"/>
      <c r="E385" s="18" t="s">
        <v>19</v>
      </c>
      <c r="F385" s="23"/>
      <c r="G385" s="21"/>
      <c r="H385" s="55"/>
      <c r="I385" s="56"/>
      <c r="J385" s="55"/>
      <c r="K385" s="15" t="s">
        <v>8</v>
      </c>
      <c r="L385" s="10"/>
      <c r="M385" s="10"/>
      <c r="N385" s="13"/>
      <c r="O385" s="13"/>
      <c r="P385" s="100"/>
      <c r="Q385" s="100"/>
      <c r="T385" s="1301"/>
      <c r="U385" s="6" t="s">
        <v>3</v>
      </c>
    </row>
    <row r="386" spans="3:21" s="7" customFormat="1" ht="15">
      <c r="C386" s="6" t="s">
        <v>2197</v>
      </c>
      <c r="D386" s="13" t="s">
        <v>1850</v>
      </c>
      <c r="E386" s="21" t="s">
        <v>2198</v>
      </c>
      <c r="F386" s="23"/>
      <c r="G386" s="21" t="s">
        <v>46</v>
      </c>
      <c r="H386" s="55">
        <v>5</v>
      </c>
      <c r="I386" s="55">
        <v>5</v>
      </c>
      <c r="J386" s="55">
        <v>5</v>
      </c>
      <c r="K386" s="611">
        <v>1.53</v>
      </c>
      <c r="L386" s="688">
        <v>43620</v>
      </c>
      <c r="M386" s="688"/>
      <c r="N386" s="689">
        <v>43620</v>
      </c>
      <c r="O386" s="690" t="s">
        <v>2199</v>
      </c>
      <c r="P386" s="22"/>
      <c r="Q386" s="13">
        <v>123</v>
      </c>
      <c r="R386" s="11">
        <v>53</v>
      </c>
      <c r="S386" s="63" t="s">
        <v>106</v>
      </c>
      <c r="T386" s="1307"/>
      <c r="U386" s="22"/>
    </row>
    <row r="387" spans="3:21" s="7" customFormat="1" ht="15">
      <c r="C387" s="6" t="s">
        <v>2197</v>
      </c>
      <c r="D387" s="13" t="s">
        <v>1850</v>
      </c>
      <c r="E387" s="21" t="s">
        <v>2200</v>
      </c>
      <c r="F387" s="23"/>
      <c r="G387" s="21" t="s">
        <v>46</v>
      </c>
      <c r="H387" s="55">
        <v>5</v>
      </c>
      <c r="I387" s="55">
        <v>5</v>
      </c>
      <c r="J387" s="55">
        <v>5</v>
      </c>
      <c r="K387" s="611">
        <v>1.57</v>
      </c>
      <c r="L387" s="688">
        <v>43620</v>
      </c>
      <c r="M387" s="688"/>
      <c r="N387" s="689">
        <v>43620</v>
      </c>
      <c r="O387" s="690" t="s">
        <v>2199</v>
      </c>
      <c r="P387" s="22"/>
      <c r="Q387" s="13">
        <v>126</v>
      </c>
      <c r="R387" s="11">
        <v>56</v>
      </c>
      <c r="S387" s="63" t="s">
        <v>106</v>
      </c>
      <c r="T387" s="1307"/>
      <c r="U387" s="22"/>
    </row>
    <row r="388" spans="3:21" s="7" customFormat="1" ht="15">
      <c r="C388" s="6" t="s">
        <v>2197</v>
      </c>
      <c r="D388" s="13" t="s">
        <v>1850</v>
      </c>
      <c r="E388" s="21" t="s">
        <v>2201</v>
      </c>
      <c r="F388" s="23"/>
      <c r="G388" s="21" t="s">
        <v>46</v>
      </c>
      <c r="H388" s="55">
        <v>5</v>
      </c>
      <c r="I388" s="55">
        <v>5</v>
      </c>
      <c r="J388" s="55">
        <v>5</v>
      </c>
      <c r="K388" s="611">
        <v>2.4900000000000002</v>
      </c>
      <c r="L388" s="688">
        <v>43620</v>
      </c>
      <c r="M388" s="688"/>
      <c r="N388" s="689">
        <v>43620</v>
      </c>
      <c r="O388" s="690" t="s">
        <v>2199</v>
      </c>
      <c r="P388" s="22"/>
      <c r="Q388" s="70" t="s">
        <v>2202</v>
      </c>
      <c r="R388" s="11">
        <v>150</v>
      </c>
      <c r="S388" s="63" t="s">
        <v>2203</v>
      </c>
      <c r="T388" s="1307"/>
      <c r="U388" s="22"/>
    </row>
    <row r="389" spans="3:21" s="7" customFormat="1" ht="15">
      <c r="C389" s="6" t="s">
        <v>2197</v>
      </c>
      <c r="D389" s="13" t="s">
        <v>1850</v>
      </c>
      <c r="E389" s="48"/>
      <c r="F389" s="38"/>
      <c r="G389" s="38" t="s">
        <v>13</v>
      </c>
      <c r="H389" s="39" t="s">
        <v>28</v>
      </c>
      <c r="I389" s="94"/>
      <c r="J389" s="93"/>
      <c r="K389" s="611">
        <v>12</v>
      </c>
      <c r="L389" s="688">
        <v>43620</v>
      </c>
      <c r="M389" s="688"/>
      <c r="N389" s="689">
        <v>43620</v>
      </c>
      <c r="O389" s="690" t="s">
        <v>2199</v>
      </c>
      <c r="P389" s="22"/>
      <c r="Q389" s="22"/>
      <c r="T389" s="1301"/>
      <c r="U389" s="6"/>
    </row>
    <row r="390" spans="3:21" s="7" customFormat="1" ht="15">
      <c r="C390" s="6"/>
      <c r="D390" s="13"/>
      <c r="E390" s="18" t="s">
        <v>19</v>
      </c>
      <c r="F390" s="23"/>
      <c r="G390" s="21"/>
      <c r="H390" s="55"/>
      <c r="I390" s="56"/>
      <c r="J390" s="55"/>
      <c r="K390" s="15" t="s">
        <v>8</v>
      </c>
      <c r="L390" s="10"/>
      <c r="M390" s="10"/>
      <c r="N390" s="13"/>
      <c r="O390" s="13"/>
      <c r="P390" s="100"/>
      <c r="Q390" s="100"/>
      <c r="T390" s="1301"/>
      <c r="U390" s="6" t="s">
        <v>3</v>
      </c>
    </row>
    <row r="391" spans="3:21" s="7" customFormat="1" ht="15">
      <c r="C391" s="6" t="s">
        <v>2197</v>
      </c>
      <c r="D391" s="13" t="s">
        <v>1850</v>
      </c>
      <c r="E391" s="21" t="s">
        <v>2204</v>
      </c>
      <c r="F391" s="23"/>
      <c r="G391" s="21" t="s">
        <v>46</v>
      </c>
      <c r="H391" s="8">
        <v>13</v>
      </c>
      <c r="I391" s="8">
        <v>13</v>
      </c>
      <c r="J391" s="8">
        <v>13</v>
      </c>
      <c r="K391" s="611">
        <v>2.82</v>
      </c>
      <c r="L391" s="688">
        <v>43634</v>
      </c>
      <c r="M391" s="688"/>
      <c r="N391" s="689">
        <v>43634</v>
      </c>
      <c r="O391" s="690" t="s">
        <v>2205</v>
      </c>
      <c r="P391" s="22"/>
      <c r="Q391" s="13">
        <v>227</v>
      </c>
      <c r="R391" s="11">
        <v>187</v>
      </c>
      <c r="S391" s="63" t="s">
        <v>2036</v>
      </c>
      <c r="T391" s="1307"/>
      <c r="U391" s="22"/>
    </row>
    <row r="392" spans="3:21" s="7" customFormat="1" ht="15">
      <c r="C392" s="6" t="s">
        <v>2197</v>
      </c>
      <c r="D392" s="13" t="s">
        <v>1850</v>
      </c>
      <c r="E392" s="48"/>
      <c r="F392" s="38"/>
      <c r="G392" s="38" t="s">
        <v>13</v>
      </c>
      <c r="H392" s="39" t="s">
        <v>28</v>
      </c>
      <c r="I392" s="94"/>
      <c r="J392" s="93"/>
      <c r="K392" s="611">
        <v>12</v>
      </c>
      <c r="L392" s="688">
        <v>43634</v>
      </c>
      <c r="M392" s="688"/>
      <c r="N392" s="689">
        <v>43634</v>
      </c>
      <c r="O392" s="690" t="s">
        <v>2205</v>
      </c>
      <c r="P392" s="22"/>
      <c r="Q392" s="22"/>
      <c r="T392" s="1301"/>
      <c r="U392" s="6"/>
    </row>
    <row r="393" spans="3:21" s="7" customFormat="1" ht="18" customHeight="1">
      <c r="C393" s="6"/>
      <c r="D393" s="13"/>
      <c r="E393" s="18" t="s">
        <v>60</v>
      </c>
      <c r="F393" s="92"/>
      <c r="G393" s="21"/>
      <c r="H393" s="93"/>
      <c r="I393" s="94"/>
      <c r="J393" s="93"/>
      <c r="K393" s="95" t="s">
        <v>8</v>
      </c>
      <c r="L393" s="720"/>
      <c r="M393" s="720"/>
      <c r="N393" s="721"/>
      <c r="O393" s="722"/>
      <c r="P393" s="40"/>
      <c r="Q393" s="13"/>
      <c r="R393" s="247"/>
      <c r="S393" s="247"/>
      <c r="T393" s="1308"/>
      <c r="U393" s="13"/>
    </row>
    <row r="394" spans="3:21" s="7" customFormat="1" ht="18" customHeight="1">
      <c r="C394" s="6" t="s">
        <v>2206</v>
      </c>
      <c r="D394" s="13" t="s">
        <v>2149</v>
      </c>
      <c r="E394" s="21" t="s">
        <v>2051</v>
      </c>
      <c r="F394" s="596"/>
      <c r="G394" s="21" t="s">
        <v>25</v>
      </c>
      <c r="H394" s="93">
        <v>100</v>
      </c>
      <c r="I394" s="93">
        <v>100</v>
      </c>
      <c r="J394" s="93">
        <v>100</v>
      </c>
      <c r="K394" s="611">
        <v>4.53</v>
      </c>
      <c r="L394" s="688">
        <v>43637</v>
      </c>
      <c r="M394" s="688"/>
      <c r="N394" s="689">
        <v>43637</v>
      </c>
      <c r="O394" s="690">
        <v>2158</v>
      </c>
      <c r="P394" s="40"/>
      <c r="Q394" s="7">
        <v>380</v>
      </c>
      <c r="R394" s="7">
        <v>310</v>
      </c>
      <c r="S394" s="7" t="s">
        <v>106</v>
      </c>
      <c r="T394" s="1301"/>
      <c r="U394" s="6"/>
    </row>
    <row r="395" spans="3:21" s="7" customFormat="1" ht="18" customHeight="1">
      <c r="C395" s="6" t="s">
        <v>2206</v>
      </c>
      <c r="D395" s="13" t="s">
        <v>2149</v>
      </c>
      <c r="E395" s="21" t="s">
        <v>1947</v>
      </c>
      <c r="F395" s="596"/>
      <c r="G395" s="21" t="s">
        <v>25</v>
      </c>
      <c r="H395" s="93">
        <v>200</v>
      </c>
      <c r="I395" s="93">
        <v>200</v>
      </c>
      <c r="J395" s="93">
        <v>200</v>
      </c>
      <c r="K395" s="611">
        <v>2.31</v>
      </c>
      <c r="L395" s="688">
        <v>43637</v>
      </c>
      <c r="M395" s="688"/>
      <c r="N395" s="689">
        <v>43637</v>
      </c>
      <c r="O395" s="690">
        <v>2158</v>
      </c>
      <c r="P395" s="40"/>
      <c r="Q395" s="7">
        <v>194</v>
      </c>
      <c r="R395" s="7">
        <v>94</v>
      </c>
      <c r="S395" s="7" t="s">
        <v>2040</v>
      </c>
      <c r="T395" s="1301"/>
      <c r="U395" s="6"/>
    </row>
    <row r="396" spans="3:21" s="7" customFormat="1" ht="18" customHeight="1">
      <c r="C396" s="6" t="s">
        <v>2206</v>
      </c>
      <c r="D396" s="13" t="s">
        <v>2149</v>
      </c>
      <c r="E396" s="21" t="s">
        <v>75</v>
      </c>
      <c r="F396" s="596"/>
      <c r="G396" s="21" t="s">
        <v>25</v>
      </c>
      <c r="H396" s="93">
        <v>100</v>
      </c>
      <c r="I396" s="93">
        <v>100</v>
      </c>
      <c r="J396" s="93">
        <v>100</v>
      </c>
      <c r="K396" s="611">
        <v>2.62</v>
      </c>
      <c r="L396" s="688">
        <v>43637</v>
      </c>
      <c r="M396" s="688"/>
      <c r="N396" s="689">
        <v>43637</v>
      </c>
      <c r="O396" s="690">
        <v>2158</v>
      </c>
      <c r="P396" s="40"/>
      <c r="Q396" s="7">
        <v>220</v>
      </c>
      <c r="R396" s="7">
        <v>130</v>
      </c>
      <c r="S396" s="7" t="s">
        <v>2044</v>
      </c>
      <c r="T396" s="1301"/>
      <c r="U396" s="6"/>
    </row>
    <row r="397" spans="3:21" s="7" customFormat="1" ht="18" customHeight="1">
      <c r="C397" s="6" t="s">
        <v>2206</v>
      </c>
      <c r="D397" s="13" t="s">
        <v>2149</v>
      </c>
      <c r="E397" s="21" t="s">
        <v>2048</v>
      </c>
      <c r="F397" s="596"/>
      <c r="G397" s="21" t="s">
        <v>25</v>
      </c>
      <c r="H397" s="93">
        <v>13.7</v>
      </c>
      <c r="I397" s="94">
        <v>4</v>
      </c>
      <c r="J397" s="17">
        <f>H397*I397</f>
        <v>54.8</v>
      </c>
      <c r="K397" s="611">
        <v>6.2</v>
      </c>
      <c r="L397" s="688">
        <v>43637</v>
      </c>
      <c r="M397" s="688"/>
      <c r="N397" s="689">
        <v>43637</v>
      </c>
      <c r="O397" s="690">
        <v>2158</v>
      </c>
      <c r="P397" s="40"/>
      <c r="Q397" s="7">
        <v>520</v>
      </c>
      <c r="R397" s="11">
        <v>480</v>
      </c>
      <c r="S397" s="7" t="s">
        <v>2036</v>
      </c>
      <c r="T397" s="1301"/>
      <c r="U397" s="6"/>
    </row>
    <row r="398" spans="3:21" s="118" customFormat="1" ht="15">
      <c r="C398" s="116" t="s">
        <v>2206</v>
      </c>
      <c r="D398" s="81" t="s">
        <v>2149</v>
      </c>
      <c r="E398" s="126"/>
      <c r="F398" s="36"/>
      <c r="G398" s="36" t="s">
        <v>13</v>
      </c>
      <c r="H398" s="37" t="s">
        <v>66</v>
      </c>
      <c r="I398" s="166"/>
      <c r="J398" s="723"/>
      <c r="K398" s="724">
        <v>25</v>
      </c>
      <c r="L398" s="688">
        <v>43637</v>
      </c>
      <c r="M398" s="688"/>
      <c r="N398" s="689">
        <v>43637</v>
      </c>
      <c r="O398" s="690">
        <v>2158</v>
      </c>
      <c r="P398" s="127"/>
      <c r="Q398" s="127"/>
      <c r="T398" s="1309"/>
      <c r="U398" s="116"/>
    </row>
    <row r="399" spans="3:21" s="7" customFormat="1" ht="18" customHeight="1">
      <c r="C399" s="6" t="s">
        <v>2206</v>
      </c>
      <c r="D399" s="13" t="s">
        <v>2149</v>
      </c>
      <c r="E399" s="21" t="s">
        <v>2048</v>
      </c>
      <c r="F399" s="596"/>
      <c r="G399" s="21" t="s">
        <v>25</v>
      </c>
      <c r="H399" s="93">
        <v>13.7</v>
      </c>
      <c r="I399" s="94">
        <v>4</v>
      </c>
      <c r="J399" s="17">
        <f>H399*I399</f>
        <v>54.8</v>
      </c>
      <c r="K399" s="611">
        <v>6.2</v>
      </c>
      <c r="L399" s="688">
        <v>43656</v>
      </c>
      <c r="M399" s="688"/>
      <c r="N399" s="689">
        <v>43656</v>
      </c>
      <c r="O399" s="690" t="s">
        <v>2207</v>
      </c>
      <c r="P399" s="40"/>
      <c r="Q399" s="7">
        <v>520</v>
      </c>
      <c r="R399" s="11">
        <v>480</v>
      </c>
      <c r="S399" s="7" t="s">
        <v>2036</v>
      </c>
      <c r="T399" s="1301"/>
      <c r="U399" s="6"/>
    </row>
    <row r="400" spans="3:21" s="7" customFormat="1" ht="18" customHeight="1">
      <c r="C400" s="6"/>
      <c r="D400" s="13"/>
      <c r="E400" s="18" t="s">
        <v>60</v>
      </c>
      <c r="F400" s="92"/>
      <c r="G400" s="21"/>
      <c r="H400" s="93"/>
      <c r="I400" s="94"/>
      <c r="J400" s="93"/>
      <c r="K400" s="95" t="s">
        <v>8</v>
      </c>
      <c r="L400" s="720"/>
      <c r="M400" s="720"/>
      <c r="N400" s="721"/>
      <c r="O400" s="722"/>
      <c r="P400" s="40"/>
      <c r="Q400" s="13"/>
      <c r="R400" s="247"/>
      <c r="S400" s="247"/>
      <c r="T400" s="1308"/>
      <c r="U400" s="13"/>
    </row>
    <row r="401" spans="3:22" s="725" customFormat="1" ht="18" customHeight="1">
      <c r="C401" s="726" t="s">
        <v>2208</v>
      </c>
      <c r="D401" s="727" t="s">
        <v>2209</v>
      </c>
      <c r="E401" s="728" t="s">
        <v>2210</v>
      </c>
      <c r="F401" s="729"/>
      <c r="G401" s="730" t="s">
        <v>25</v>
      </c>
      <c r="H401" s="731">
        <v>10</v>
      </c>
      <c r="I401" s="731">
        <v>10</v>
      </c>
      <c r="J401" s="731">
        <v>10</v>
      </c>
      <c r="K401" s="732">
        <v>3.43</v>
      </c>
      <c r="L401" s="733" t="s">
        <v>2211</v>
      </c>
      <c r="M401" s="733"/>
      <c r="N401" s="734"/>
      <c r="O401" s="735"/>
      <c r="P401" s="736"/>
      <c r="Q401" s="727">
        <v>276</v>
      </c>
      <c r="R401" s="725">
        <v>230</v>
      </c>
      <c r="S401" s="725" t="s">
        <v>2212</v>
      </c>
      <c r="T401" s="1310"/>
      <c r="U401" s="727"/>
    </row>
    <row r="402" spans="3:22" s="7" customFormat="1" ht="18" customHeight="1">
      <c r="C402" s="6" t="s">
        <v>2213</v>
      </c>
      <c r="D402" s="13" t="s">
        <v>2209</v>
      </c>
      <c r="E402" s="18" t="s">
        <v>2214</v>
      </c>
      <c r="F402" s="92">
        <v>24</v>
      </c>
      <c r="G402" s="21" t="s">
        <v>25</v>
      </c>
      <c r="H402" s="93">
        <v>6</v>
      </c>
      <c r="I402" s="93">
        <v>6</v>
      </c>
      <c r="J402" s="93">
        <v>6</v>
      </c>
      <c r="K402" s="611">
        <v>12.73</v>
      </c>
      <c r="L402" s="688">
        <v>43727</v>
      </c>
      <c r="M402" s="688"/>
      <c r="N402" s="689">
        <v>43727</v>
      </c>
      <c r="O402" s="690" t="s">
        <v>2215</v>
      </c>
      <c r="P402" s="40"/>
      <c r="Q402" s="13">
        <v>980</v>
      </c>
      <c r="R402" s="7">
        <v>800</v>
      </c>
      <c r="S402" s="7" t="s">
        <v>2216</v>
      </c>
      <c r="T402" s="1301"/>
      <c r="U402" s="13"/>
    </row>
    <row r="403" spans="3:22" s="7" customFormat="1" ht="18" customHeight="1">
      <c r="C403" s="6" t="s">
        <v>2213</v>
      </c>
      <c r="D403" s="13" t="s">
        <v>2209</v>
      </c>
      <c r="E403" s="18" t="s">
        <v>88</v>
      </c>
      <c r="F403" s="92"/>
      <c r="G403" s="21" t="s">
        <v>25</v>
      </c>
      <c r="H403" s="93">
        <v>6</v>
      </c>
      <c r="I403" s="93">
        <v>6</v>
      </c>
      <c r="J403" s="93">
        <v>6</v>
      </c>
      <c r="K403" s="611">
        <v>5.08</v>
      </c>
      <c r="L403" s="688">
        <v>43727</v>
      </c>
      <c r="M403" s="688"/>
      <c r="N403" s="689">
        <v>43727</v>
      </c>
      <c r="O403" s="690" t="s">
        <v>2215</v>
      </c>
      <c r="P403" s="40"/>
      <c r="Q403" s="13">
        <v>391</v>
      </c>
      <c r="R403" s="7">
        <v>341</v>
      </c>
      <c r="S403" s="7" t="s">
        <v>2019</v>
      </c>
      <c r="T403" s="1301"/>
      <c r="U403" s="13"/>
    </row>
    <row r="404" spans="3:22" s="7" customFormat="1" ht="15">
      <c r="C404" s="6" t="s">
        <v>2213</v>
      </c>
      <c r="D404" s="13" t="s">
        <v>2209</v>
      </c>
      <c r="E404" s="48"/>
      <c r="F404" s="38"/>
      <c r="G404" s="38" t="s">
        <v>13</v>
      </c>
      <c r="H404" s="39" t="s">
        <v>28</v>
      </c>
      <c r="I404" s="94"/>
      <c r="J404" s="93"/>
      <c r="K404" s="611">
        <v>15</v>
      </c>
      <c r="L404" s="688">
        <v>43727</v>
      </c>
      <c r="M404" s="688"/>
      <c r="N404" s="689">
        <v>43727</v>
      </c>
      <c r="O404" s="690" t="s">
        <v>2215</v>
      </c>
      <c r="P404" s="22"/>
      <c r="Q404" s="22"/>
      <c r="T404" s="1301"/>
      <c r="U404" s="6"/>
    </row>
    <row r="405" spans="3:22" s="7" customFormat="1" ht="15">
      <c r="C405" s="6"/>
      <c r="D405" s="13"/>
      <c r="E405" s="18" t="s">
        <v>19</v>
      </c>
      <c r="F405" s="23"/>
      <c r="G405" s="21"/>
      <c r="H405" s="55"/>
      <c r="I405" s="56"/>
      <c r="J405" s="55"/>
      <c r="K405" s="15" t="s">
        <v>8</v>
      </c>
      <c r="L405" s="10"/>
      <c r="M405" s="10"/>
      <c r="N405" s="13"/>
      <c r="O405" s="13"/>
      <c r="P405" s="100"/>
      <c r="Q405" s="100"/>
      <c r="T405" s="1301"/>
      <c r="U405" s="6" t="s">
        <v>3</v>
      </c>
    </row>
    <row r="406" spans="3:22" s="7" customFormat="1" ht="15.75" customHeight="1">
      <c r="C406" s="6" t="s">
        <v>2217</v>
      </c>
      <c r="D406" s="13" t="s">
        <v>1850</v>
      </c>
      <c r="E406" s="21" t="s">
        <v>140</v>
      </c>
      <c r="F406" s="23"/>
      <c r="G406" s="21" t="s">
        <v>62</v>
      </c>
      <c r="H406" s="46">
        <v>14</v>
      </c>
      <c r="I406" s="31">
        <v>1</v>
      </c>
      <c r="J406" s="62">
        <f>H406*I406</f>
        <v>14</v>
      </c>
      <c r="K406" s="611">
        <v>1.83</v>
      </c>
      <c r="L406" s="688">
        <v>43678</v>
      </c>
      <c r="M406" s="688"/>
      <c r="N406" s="689">
        <v>43678</v>
      </c>
      <c r="O406" s="690" t="s">
        <v>2218</v>
      </c>
      <c r="P406" s="40"/>
      <c r="Q406" s="719"/>
      <c r="R406" s="11">
        <v>100</v>
      </c>
      <c r="S406" s="63" t="s">
        <v>44</v>
      </c>
      <c r="T406" s="1307"/>
      <c r="U406" s="6" t="s">
        <v>3</v>
      </c>
      <c r="V406" s="7" t="s">
        <v>2193</v>
      </c>
    </row>
    <row r="407" spans="3:22" s="7" customFormat="1" ht="15">
      <c r="C407" s="6" t="s">
        <v>2217</v>
      </c>
      <c r="D407" s="13" t="s">
        <v>1850</v>
      </c>
      <c r="E407" s="21" t="s">
        <v>2219</v>
      </c>
      <c r="F407" s="23"/>
      <c r="G407" s="21" t="s">
        <v>62</v>
      </c>
      <c r="H407" s="46">
        <v>13.7</v>
      </c>
      <c r="I407" s="31">
        <v>1</v>
      </c>
      <c r="J407" s="57">
        <f>H407*I407</f>
        <v>13.7</v>
      </c>
      <c r="K407" s="611">
        <v>1.61</v>
      </c>
      <c r="L407" s="688">
        <v>43678</v>
      </c>
      <c r="M407" s="688"/>
      <c r="N407" s="689">
        <v>43678</v>
      </c>
      <c r="O407" s="690" t="s">
        <v>2218</v>
      </c>
      <c r="P407" s="22"/>
      <c r="Q407" s="13">
        <v>129</v>
      </c>
      <c r="R407" s="11">
        <v>99</v>
      </c>
      <c r="S407" s="63" t="s">
        <v>44</v>
      </c>
      <c r="T407" s="1307"/>
      <c r="U407" s="22"/>
      <c r="V407" s="7" t="s">
        <v>2220</v>
      </c>
    </row>
    <row r="408" spans="3:22" s="7" customFormat="1" ht="15">
      <c r="C408" s="6" t="s">
        <v>2217</v>
      </c>
      <c r="D408" s="13" t="s">
        <v>1850</v>
      </c>
      <c r="E408" s="21"/>
      <c r="F408" s="38"/>
      <c r="G408" s="38" t="s">
        <v>13</v>
      </c>
      <c r="H408" s="39" t="s">
        <v>28</v>
      </c>
      <c r="I408" s="94"/>
      <c r="J408" s="93"/>
      <c r="K408" s="611">
        <v>12</v>
      </c>
      <c r="L408" s="688">
        <v>43678</v>
      </c>
      <c r="M408" s="688"/>
      <c r="N408" s="689">
        <v>43678</v>
      </c>
      <c r="O408" s="690" t="s">
        <v>2218</v>
      </c>
      <c r="P408" s="22"/>
      <c r="Q408" s="22"/>
      <c r="T408" s="1301"/>
      <c r="U408" s="6"/>
    </row>
    <row r="409" spans="3:22" s="7" customFormat="1" ht="15">
      <c r="C409" s="6"/>
      <c r="D409" s="13"/>
      <c r="E409" s="18" t="s">
        <v>2221</v>
      </c>
      <c r="F409" s="23"/>
      <c r="G409" s="21"/>
      <c r="H409" s="55"/>
      <c r="I409" s="56"/>
      <c r="J409" s="55"/>
      <c r="K409" s="15" t="s">
        <v>8</v>
      </c>
      <c r="L409" s="10"/>
      <c r="M409" s="10"/>
      <c r="N409" s="13"/>
      <c r="O409" s="13"/>
      <c r="P409" s="100"/>
      <c r="Q409" s="100"/>
      <c r="T409" s="1301"/>
      <c r="U409" s="6" t="s">
        <v>3</v>
      </c>
    </row>
    <row r="410" spans="3:22" s="7" customFormat="1" ht="15.75" customHeight="1">
      <c r="C410" s="6" t="s">
        <v>2222</v>
      </c>
      <c r="D410" s="13" t="s">
        <v>1850</v>
      </c>
      <c r="E410" s="21" t="s">
        <v>2223</v>
      </c>
      <c r="F410" s="13"/>
      <c r="G410" s="21" t="s">
        <v>272</v>
      </c>
      <c r="H410" s="93">
        <v>13.7</v>
      </c>
      <c r="I410" s="94">
        <v>1</v>
      </c>
      <c r="J410" s="107">
        <f>H410*I410</f>
        <v>13.7</v>
      </c>
      <c r="K410" s="611">
        <v>1.74</v>
      </c>
      <c r="L410" s="688">
        <v>43703</v>
      </c>
      <c r="M410" s="688"/>
      <c r="N410" s="689">
        <v>43703</v>
      </c>
      <c r="O410" s="690" t="s">
        <v>2224</v>
      </c>
      <c r="P410" s="40"/>
      <c r="Q410" s="13"/>
      <c r="R410" s="7" t="s">
        <v>2225</v>
      </c>
      <c r="S410" s="11" t="s">
        <v>1943</v>
      </c>
      <c r="T410" s="1311"/>
      <c r="U410" s="6"/>
    </row>
    <row r="411" spans="3:22" s="7" customFormat="1" ht="15.75" customHeight="1">
      <c r="C411" s="6" t="s">
        <v>2222</v>
      </c>
      <c r="D411" s="13" t="s">
        <v>1850</v>
      </c>
      <c r="E411" s="21" t="s">
        <v>2226</v>
      </c>
      <c r="F411" s="13"/>
      <c r="G411" s="21" t="s">
        <v>62</v>
      </c>
      <c r="H411" s="107">
        <v>5</v>
      </c>
      <c r="I411" s="107">
        <v>5</v>
      </c>
      <c r="J411" s="107">
        <v>5</v>
      </c>
      <c r="K411" s="611">
        <v>1.74</v>
      </c>
      <c r="L411" s="688">
        <v>43703</v>
      </c>
      <c r="M411" s="688"/>
      <c r="N411" s="689">
        <v>43703</v>
      </c>
      <c r="O411" s="690" t="s">
        <v>2224</v>
      </c>
      <c r="P411" s="40"/>
      <c r="Q411" s="13"/>
      <c r="R411" s="11" t="s">
        <v>1943</v>
      </c>
      <c r="S411" s="11"/>
      <c r="T411" s="1311"/>
      <c r="U411" s="6"/>
    </row>
    <row r="412" spans="3:22" s="7" customFormat="1" ht="15">
      <c r="C412" s="6" t="s">
        <v>2222</v>
      </c>
      <c r="D412" s="13" t="s">
        <v>1850</v>
      </c>
      <c r="E412" s="21"/>
      <c r="F412" s="38"/>
      <c r="G412" s="38" t="s">
        <v>13</v>
      </c>
      <c r="H412" s="39" t="s">
        <v>28</v>
      </c>
      <c r="I412" s="94"/>
      <c r="J412" s="93"/>
      <c r="K412" s="611">
        <v>12</v>
      </c>
      <c r="L412" s="688">
        <v>43703</v>
      </c>
      <c r="M412" s="688"/>
      <c r="N412" s="689">
        <v>43703</v>
      </c>
      <c r="O412" s="690" t="s">
        <v>2224</v>
      </c>
      <c r="P412" s="22"/>
      <c r="Q412" s="22"/>
      <c r="T412" s="1301"/>
      <c r="U412" s="6"/>
    </row>
    <row r="413" spans="3:22" s="7" customFormat="1" ht="15">
      <c r="C413" s="6"/>
      <c r="D413" s="13"/>
      <c r="E413" s="18" t="s">
        <v>19</v>
      </c>
      <c r="F413" s="23"/>
      <c r="G413" s="21"/>
      <c r="H413" s="55"/>
      <c r="I413" s="56"/>
      <c r="J413" s="55"/>
      <c r="K413" s="15" t="s">
        <v>8</v>
      </c>
      <c r="L413" s="10"/>
      <c r="M413" s="10"/>
      <c r="N413" s="13"/>
      <c r="O413" s="13"/>
      <c r="P413" s="100"/>
      <c r="Q413" s="100"/>
      <c r="T413" s="1301"/>
      <c r="U413" s="6" t="s">
        <v>3</v>
      </c>
    </row>
    <row r="414" spans="3:22" s="7" customFormat="1" ht="15">
      <c r="C414" s="6" t="s">
        <v>2227</v>
      </c>
      <c r="D414" s="13" t="s">
        <v>1850</v>
      </c>
      <c r="E414" s="21" t="s">
        <v>2194</v>
      </c>
      <c r="F414" s="23"/>
      <c r="G414" s="21" t="s">
        <v>2228</v>
      </c>
      <c r="H414" s="46">
        <v>13.7</v>
      </c>
      <c r="I414" s="31">
        <v>143</v>
      </c>
      <c r="J414" s="57">
        <f t="shared" ref="J414:J423" si="6">H414*I414</f>
        <v>1959.1</v>
      </c>
      <c r="K414" s="611">
        <v>1.45</v>
      </c>
      <c r="L414" s="688">
        <v>43767</v>
      </c>
      <c r="M414" s="688"/>
      <c r="N414" s="689">
        <v>43767</v>
      </c>
      <c r="O414" s="690">
        <v>2322</v>
      </c>
      <c r="P414" s="22"/>
      <c r="Q414" s="13"/>
      <c r="R414" s="11" t="s">
        <v>2229</v>
      </c>
      <c r="S414" s="63" t="s">
        <v>44</v>
      </c>
      <c r="T414" s="1307"/>
      <c r="U414" s="22"/>
      <c r="V414" s="7" t="s">
        <v>2230</v>
      </c>
    </row>
    <row r="415" spans="3:22" s="7" customFormat="1" ht="15">
      <c r="C415" s="6" t="s">
        <v>2227</v>
      </c>
      <c r="D415" s="13" t="s">
        <v>1850</v>
      </c>
      <c r="E415" s="21" t="s">
        <v>2194</v>
      </c>
      <c r="F415" s="23"/>
      <c r="G415" s="21" t="s">
        <v>1927</v>
      </c>
      <c r="H415" s="46">
        <v>13.7</v>
      </c>
      <c r="I415" s="31">
        <v>708</v>
      </c>
      <c r="J415" s="57">
        <f t="shared" si="6"/>
        <v>9699.6</v>
      </c>
      <c r="K415" s="611">
        <v>1.45</v>
      </c>
      <c r="L415" s="688">
        <v>43767</v>
      </c>
      <c r="M415" s="688"/>
      <c r="N415" s="689">
        <v>43767</v>
      </c>
      <c r="O415" s="690">
        <v>2322</v>
      </c>
      <c r="P415" s="22"/>
      <c r="Q415" s="13"/>
      <c r="R415" s="11" t="s">
        <v>2229</v>
      </c>
      <c r="S415" s="63" t="s">
        <v>44</v>
      </c>
      <c r="T415" s="1307"/>
      <c r="U415" s="22"/>
      <c r="V415" s="7" t="s">
        <v>2230</v>
      </c>
    </row>
    <row r="416" spans="3:22" s="7" customFormat="1" ht="15">
      <c r="C416" s="6" t="s">
        <v>2227</v>
      </c>
      <c r="D416" s="13" t="s">
        <v>1850</v>
      </c>
      <c r="E416" s="21" t="s">
        <v>2194</v>
      </c>
      <c r="F416" s="23"/>
      <c r="G416" s="21" t="s">
        <v>1926</v>
      </c>
      <c r="H416" s="46">
        <v>13.7</v>
      </c>
      <c r="I416" s="31">
        <v>512</v>
      </c>
      <c r="J416" s="57">
        <f t="shared" si="6"/>
        <v>7014.4</v>
      </c>
      <c r="K416" s="611">
        <v>1.45</v>
      </c>
      <c r="L416" s="688">
        <v>43767</v>
      </c>
      <c r="M416" s="688"/>
      <c r="N416" s="689">
        <v>43767</v>
      </c>
      <c r="O416" s="690">
        <v>2322</v>
      </c>
      <c r="P416" s="22"/>
      <c r="Q416" s="13"/>
      <c r="R416" s="11" t="s">
        <v>2229</v>
      </c>
      <c r="S416" s="63" t="s">
        <v>44</v>
      </c>
      <c r="T416" s="1307"/>
      <c r="U416" s="22"/>
      <c r="V416" s="7" t="s">
        <v>2230</v>
      </c>
    </row>
    <row r="417" spans="3:22" s="7" customFormat="1" ht="15">
      <c r="C417" s="6" t="s">
        <v>2227</v>
      </c>
      <c r="D417" s="13" t="s">
        <v>1850</v>
      </c>
      <c r="E417" s="21" t="s">
        <v>2194</v>
      </c>
      <c r="F417" s="23"/>
      <c r="G417" s="21" t="s">
        <v>2231</v>
      </c>
      <c r="H417" s="46">
        <v>13.7</v>
      </c>
      <c r="I417" s="31">
        <v>185</v>
      </c>
      <c r="J417" s="57">
        <f t="shared" si="6"/>
        <v>2534.5</v>
      </c>
      <c r="K417" s="611">
        <v>1.45</v>
      </c>
      <c r="L417" s="688">
        <v>43767</v>
      </c>
      <c r="M417" s="688"/>
      <c r="N417" s="689">
        <v>43767</v>
      </c>
      <c r="O417" s="690">
        <v>2322</v>
      </c>
      <c r="P417" s="22"/>
      <c r="Q417" s="13"/>
      <c r="R417" s="11" t="s">
        <v>2229</v>
      </c>
      <c r="S417" s="63" t="s">
        <v>44</v>
      </c>
      <c r="T417" s="1307"/>
      <c r="U417" s="22"/>
      <c r="V417" s="7" t="s">
        <v>2230</v>
      </c>
    </row>
    <row r="418" spans="3:22" s="7" customFormat="1" ht="15">
      <c r="C418" s="6" t="s">
        <v>2227</v>
      </c>
      <c r="D418" s="13" t="s">
        <v>1850</v>
      </c>
      <c r="E418" s="21" t="s">
        <v>232</v>
      </c>
      <c r="F418" s="23"/>
      <c r="G418" s="21" t="s">
        <v>2232</v>
      </c>
      <c r="H418" s="46">
        <v>14</v>
      </c>
      <c r="I418" s="31">
        <v>430</v>
      </c>
      <c r="J418" s="62">
        <f t="shared" si="6"/>
        <v>6020</v>
      </c>
      <c r="K418" s="611">
        <v>1.57</v>
      </c>
      <c r="L418" s="688">
        <v>43787</v>
      </c>
      <c r="M418" s="688"/>
      <c r="N418" s="689">
        <v>43787</v>
      </c>
      <c r="O418" s="690">
        <v>2360</v>
      </c>
      <c r="P418" s="22"/>
      <c r="Q418" s="13"/>
      <c r="R418" s="591" t="s">
        <v>2233</v>
      </c>
      <c r="S418" s="63" t="s">
        <v>44</v>
      </c>
      <c r="T418" s="1307"/>
      <c r="U418" s="22"/>
      <c r="V418" s="7" t="s">
        <v>2234</v>
      </c>
    </row>
    <row r="419" spans="3:22" s="7" customFormat="1" ht="15">
      <c r="C419" s="6" t="s">
        <v>2227</v>
      </c>
      <c r="D419" s="13" t="s">
        <v>1850</v>
      </c>
      <c r="E419" s="21" t="s">
        <v>232</v>
      </c>
      <c r="F419" s="23"/>
      <c r="G419" s="21" t="s">
        <v>2235</v>
      </c>
      <c r="H419" s="46">
        <v>14</v>
      </c>
      <c r="I419" s="31">
        <v>669</v>
      </c>
      <c r="J419" s="62">
        <f t="shared" si="6"/>
        <v>9366</v>
      </c>
      <c r="K419" s="611">
        <v>1.57</v>
      </c>
      <c r="L419" s="688">
        <v>43787</v>
      </c>
      <c r="M419" s="688"/>
      <c r="N419" s="689">
        <v>43787</v>
      </c>
      <c r="O419" s="690">
        <v>2360</v>
      </c>
      <c r="P419" s="22"/>
      <c r="Q419" s="13"/>
      <c r="R419" s="591" t="s">
        <v>2233</v>
      </c>
      <c r="S419" s="63" t="s">
        <v>44</v>
      </c>
      <c r="T419" s="1307"/>
      <c r="U419" s="22"/>
      <c r="V419" s="7" t="s">
        <v>2234</v>
      </c>
    </row>
    <row r="420" spans="3:22" s="7" customFormat="1" ht="15.75" customHeight="1">
      <c r="C420" s="6" t="s">
        <v>2227</v>
      </c>
      <c r="D420" s="13" t="s">
        <v>1850</v>
      </c>
      <c r="E420" s="21" t="s">
        <v>232</v>
      </c>
      <c r="F420" s="23"/>
      <c r="G420" s="21" t="s">
        <v>2228</v>
      </c>
      <c r="H420" s="46">
        <v>14</v>
      </c>
      <c r="I420" s="31">
        <v>259</v>
      </c>
      <c r="J420" s="62">
        <f t="shared" si="6"/>
        <v>3626</v>
      </c>
      <c r="K420" s="611">
        <v>1.57</v>
      </c>
      <c r="L420" s="688">
        <v>43767</v>
      </c>
      <c r="M420" s="688"/>
      <c r="N420" s="689">
        <v>43767</v>
      </c>
      <c r="O420" s="690">
        <v>2322</v>
      </c>
      <c r="P420" s="22"/>
      <c r="Q420" s="13"/>
      <c r="R420" s="591" t="s">
        <v>2233</v>
      </c>
      <c r="S420" s="63" t="s">
        <v>44</v>
      </c>
      <c r="T420" s="1307"/>
      <c r="U420" s="22"/>
      <c r="V420" s="7" t="s">
        <v>2234</v>
      </c>
    </row>
    <row r="421" spans="3:22" s="7" customFormat="1" ht="15">
      <c r="C421" s="6" t="s">
        <v>2227</v>
      </c>
      <c r="D421" s="13" t="s">
        <v>1850</v>
      </c>
      <c r="E421" s="21" t="s">
        <v>232</v>
      </c>
      <c r="F421" s="23"/>
      <c r="G421" s="21" t="s">
        <v>2231</v>
      </c>
      <c r="H421" s="46">
        <v>14</v>
      </c>
      <c r="I421" s="31">
        <v>238</v>
      </c>
      <c r="J421" s="62">
        <f t="shared" si="6"/>
        <v>3332</v>
      </c>
      <c r="K421" s="611">
        <v>1.57</v>
      </c>
      <c r="L421" s="688">
        <v>43787</v>
      </c>
      <c r="M421" s="688"/>
      <c r="N421" s="689">
        <v>43787</v>
      </c>
      <c r="O421" s="690">
        <v>2360</v>
      </c>
      <c r="P421" s="22"/>
      <c r="Q421" s="13"/>
      <c r="R421" s="591" t="s">
        <v>2233</v>
      </c>
      <c r="S421" s="63" t="s">
        <v>44</v>
      </c>
      <c r="T421" s="1307"/>
      <c r="U421" s="22"/>
      <c r="V421" s="7" t="s">
        <v>2234</v>
      </c>
    </row>
    <row r="422" spans="3:22" s="7" customFormat="1" ht="15">
      <c r="C422" s="6" t="s">
        <v>2227</v>
      </c>
      <c r="D422" s="13" t="s">
        <v>1850</v>
      </c>
      <c r="E422" s="21" t="s">
        <v>232</v>
      </c>
      <c r="F422" s="23"/>
      <c r="G422" s="21" t="s">
        <v>2236</v>
      </c>
      <c r="H422" s="46">
        <v>14</v>
      </c>
      <c r="I422" s="31">
        <v>353</v>
      </c>
      <c r="J422" s="62">
        <f t="shared" si="6"/>
        <v>4942</v>
      </c>
      <c r="K422" s="611">
        <v>1.57</v>
      </c>
      <c r="L422" s="688">
        <v>43767</v>
      </c>
      <c r="M422" s="688"/>
      <c r="N422" s="689">
        <v>43767</v>
      </c>
      <c r="O422" s="690">
        <v>2322</v>
      </c>
      <c r="P422" s="22"/>
      <c r="Q422" s="13"/>
      <c r="R422" s="591" t="s">
        <v>2233</v>
      </c>
      <c r="S422" s="63" t="s">
        <v>44</v>
      </c>
      <c r="T422" s="1307"/>
      <c r="U422" s="22"/>
      <c r="V422" s="7" t="s">
        <v>2234</v>
      </c>
    </row>
    <row r="423" spans="3:22" s="7" customFormat="1" ht="15">
      <c r="C423" s="6" t="s">
        <v>2227</v>
      </c>
      <c r="D423" s="13" t="s">
        <v>1850</v>
      </c>
      <c r="E423" s="21" t="s">
        <v>232</v>
      </c>
      <c r="F423" s="23"/>
      <c r="G423" s="21" t="s">
        <v>2237</v>
      </c>
      <c r="H423" s="46">
        <v>14</v>
      </c>
      <c r="I423" s="31">
        <v>305</v>
      </c>
      <c r="J423" s="62">
        <f t="shared" si="6"/>
        <v>4270</v>
      </c>
      <c r="K423" s="611">
        <v>1.57</v>
      </c>
      <c r="L423" s="688">
        <v>43767</v>
      </c>
      <c r="M423" s="688"/>
      <c r="N423" s="689">
        <v>43767</v>
      </c>
      <c r="O423" s="690">
        <v>2322</v>
      </c>
      <c r="P423" s="22"/>
      <c r="Q423" s="13"/>
      <c r="R423" s="591" t="s">
        <v>2233</v>
      </c>
      <c r="S423" s="63" t="s">
        <v>44</v>
      </c>
      <c r="T423" s="1307"/>
      <c r="U423" s="22"/>
      <c r="V423" s="7" t="s">
        <v>2234</v>
      </c>
    </row>
    <row r="424" spans="3:22" s="7" customFormat="1" ht="15">
      <c r="C424" s="6"/>
      <c r="D424" s="13"/>
      <c r="E424" s="18" t="s">
        <v>19</v>
      </c>
      <c r="F424" s="23"/>
      <c r="G424" s="21"/>
      <c r="H424" s="55"/>
      <c r="I424" s="56"/>
      <c r="J424" s="55"/>
      <c r="K424" s="15" t="s">
        <v>8</v>
      </c>
      <c r="L424" s="10"/>
      <c r="M424" s="10"/>
      <c r="N424" s="13"/>
      <c r="O424" s="13"/>
      <c r="P424" s="100"/>
      <c r="Q424" s="100"/>
      <c r="T424" s="1301"/>
      <c r="U424" s="6" t="s">
        <v>3</v>
      </c>
    </row>
    <row r="425" spans="3:22" s="7" customFormat="1" ht="15">
      <c r="C425" s="6" t="s">
        <v>2227</v>
      </c>
      <c r="D425" s="13" t="s">
        <v>1850</v>
      </c>
      <c r="E425" s="21" t="s">
        <v>2194</v>
      </c>
      <c r="F425" s="23"/>
      <c r="G425" s="21" t="s">
        <v>2228</v>
      </c>
      <c r="H425" s="46">
        <v>13.7</v>
      </c>
      <c r="I425" s="31">
        <v>2</v>
      </c>
      <c r="J425" s="57">
        <f t="shared" ref="J425:J432" si="7">H425*I425</f>
        <v>27.4</v>
      </c>
      <c r="K425" s="611">
        <v>1.45</v>
      </c>
      <c r="L425" s="688">
        <v>43756</v>
      </c>
      <c r="M425" s="688"/>
      <c r="N425" s="689">
        <v>43756</v>
      </c>
      <c r="O425" s="690" t="s">
        <v>2238</v>
      </c>
      <c r="P425" s="22"/>
      <c r="Q425" s="13"/>
      <c r="R425" s="11" t="s">
        <v>2229</v>
      </c>
      <c r="S425" s="63" t="s">
        <v>44</v>
      </c>
      <c r="T425" s="1307"/>
      <c r="U425" s="22"/>
      <c r="V425" s="7" t="s">
        <v>2230</v>
      </c>
    </row>
    <row r="426" spans="3:22" s="7" customFormat="1" ht="15">
      <c r="C426" s="6" t="s">
        <v>2227</v>
      </c>
      <c r="D426" s="13" t="s">
        <v>1850</v>
      </c>
      <c r="E426" s="21" t="s">
        <v>2194</v>
      </c>
      <c r="F426" s="23"/>
      <c r="G426" s="21" t="s">
        <v>1926</v>
      </c>
      <c r="H426" s="46">
        <v>13.7</v>
      </c>
      <c r="I426" s="31">
        <v>2</v>
      </c>
      <c r="J426" s="57">
        <f t="shared" si="7"/>
        <v>27.4</v>
      </c>
      <c r="K426" s="611">
        <v>1.45</v>
      </c>
      <c r="L426" s="688">
        <v>43756</v>
      </c>
      <c r="M426" s="688"/>
      <c r="N426" s="689">
        <v>43756</v>
      </c>
      <c r="O426" s="690" t="s">
        <v>2238</v>
      </c>
      <c r="P426" s="22"/>
      <c r="Q426" s="13"/>
      <c r="R426" s="11" t="s">
        <v>2229</v>
      </c>
      <c r="S426" s="63" t="s">
        <v>44</v>
      </c>
      <c r="T426" s="1307"/>
      <c r="U426" s="22"/>
      <c r="V426" s="7" t="s">
        <v>2230</v>
      </c>
    </row>
    <row r="427" spans="3:22" s="7" customFormat="1" ht="15">
      <c r="C427" s="6" t="s">
        <v>2227</v>
      </c>
      <c r="D427" s="13" t="s">
        <v>1850</v>
      </c>
      <c r="E427" s="21" t="s">
        <v>2194</v>
      </c>
      <c r="F427" s="23"/>
      <c r="G427" s="21" t="s">
        <v>2231</v>
      </c>
      <c r="H427" s="46">
        <v>13.7</v>
      </c>
      <c r="I427" s="31">
        <v>2</v>
      </c>
      <c r="J427" s="57">
        <f t="shared" si="7"/>
        <v>27.4</v>
      </c>
      <c r="K427" s="611">
        <v>1.45</v>
      </c>
      <c r="L427" s="688">
        <v>43756</v>
      </c>
      <c r="M427" s="688"/>
      <c r="N427" s="689">
        <v>43756</v>
      </c>
      <c r="O427" s="690" t="s">
        <v>2238</v>
      </c>
      <c r="P427" s="22"/>
      <c r="Q427" s="13"/>
      <c r="R427" s="11" t="s">
        <v>2229</v>
      </c>
      <c r="S427" s="63" t="s">
        <v>44</v>
      </c>
      <c r="T427" s="1307"/>
      <c r="U427" s="22"/>
      <c r="V427" s="7" t="s">
        <v>2230</v>
      </c>
    </row>
    <row r="428" spans="3:22" s="7" customFormat="1" ht="15">
      <c r="C428" s="6" t="s">
        <v>2227</v>
      </c>
      <c r="D428" s="13" t="s">
        <v>1850</v>
      </c>
      <c r="E428" s="21" t="s">
        <v>232</v>
      </c>
      <c r="F428" s="23"/>
      <c r="G428" s="21" t="s">
        <v>2228</v>
      </c>
      <c r="H428" s="46">
        <v>14</v>
      </c>
      <c r="I428" s="31">
        <v>3</v>
      </c>
      <c r="J428" s="62">
        <f t="shared" si="7"/>
        <v>42</v>
      </c>
      <c r="K428" s="611">
        <v>1.57</v>
      </c>
      <c r="L428" s="688">
        <v>43756</v>
      </c>
      <c r="M428" s="688"/>
      <c r="N428" s="689">
        <v>43756</v>
      </c>
      <c r="O428" s="690" t="s">
        <v>2238</v>
      </c>
      <c r="P428" s="22"/>
      <c r="Q428" s="13"/>
      <c r="R428" s="591" t="s">
        <v>2233</v>
      </c>
      <c r="S428" s="63" t="s">
        <v>44</v>
      </c>
      <c r="T428" s="1307"/>
      <c r="U428" s="22"/>
      <c r="V428" s="7" t="s">
        <v>2234</v>
      </c>
    </row>
    <row r="429" spans="3:22" s="7" customFormat="1" ht="15">
      <c r="C429" s="6" t="s">
        <v>2227</v>
      </c>
      <c r="D429" s="13" t="s">
        <v>1850</v>
      </c>
      <c r="E429" s="21" t="s">
        <v>232</v>
      </c>
      <c r="F429" s="23"/>
      <c r="G429" s="21" t="s">
        <v>2236</v>
      </c>
      <c r="H429" s="46">
        <v>14</v>
      </c>
      <c r="I429" s="31">
        <v>2</v>
      </c>
      <c r="J429" s="62">
        <f t="shared" si="7"/>
        <v>28</v>
      </c>
      <c r="K429" s="611">
        <v>1.57</v>
      </c>
      <c r="L429" s="688">
        <v>43756</v>
      </c>
      <c r="M429" s="688"/>
      <c r="N429" s="689">
        <v>43756</v>
      </c>
      <c r="O429" s="690" t="s">
        <v>2238</v>
      </c>
      <c r="P429" s="22"/>
      <c r="Q429" s="13"/>
      <c r="R429" s="591" t="s">
        <v>2233</v>
      </c>
      <c r="S429" s="63" t="s">
        <v>44</v>
      </c>
      <c r="T429" s="1307"/>
      <c r="U429" s="22"/>
      <c r="V429" s="7" t="s">
        <v>2234</v>
      </c>
    </row>
    <row r="430" spans="3:22" s="7" customFormat="1" ht="15">
      <c r="C430" s="6" t="s">
        <v>2227</v>
      </c>
      <c r="D430" s="13" t="s">
        <v>1850</v>
      </c>
      <c r="E430" s="21" t="s">
        <v>2194</v>
      </c>
      <c r="F430" s="23"/>
      <c r="G430" s="21" t="s">
        <v>1927</v>
      </c>
      <c r="H430" s="46">
        <v>13.7</v>
      </c>
      <c r="I430" s="31">
        <v>4</v>
      </c>
      <c r="J430" s="57">
        <f t="shared" si="7"/>
        <v>54.8</v>
      </c>
      <c r="K430" s="611">
        <v>1.45</v>
      </c>
      <c r="L430" s="688">
        <v>43766</v>
      </c>
      <c r="M430" s="688"/>
      <c r="N430" s="689">
        <v>43766</v>
      </c>
      <c r="O430" s="690" t="s">
        <v>2239</v>
      </c>
      <c r="P430" s="22"/>
      <c r="Q430" s="13"/>
      <c r="R430" s="11" t="s">
        <v>2229</v>
      </c>
      <c r="S430" s="63" t="s">
        <v>44</v>
      </c>
      <c r="T430" s="1307"/>
      <c r="U430" s="22"/>
      <c r="V430" s="7" t="s">
        <v>2230</v>
      </c>
    </row>
    <row r="431" spans="3:22" s="7" customFormat="1" ht="15">
      <c r="C431" s="6" t="s">
        <v>2227</v>
      </c>
      <c r="D431" s="13" t="s">
        <v>1850</v>
      </c>
      <c r="E431" s="21" t="s">
        <v>232</v>
      </c>
      <c r="F431" s="23"/>
      <c r="G431" s="21" t="s">
        <v>2235</v>
      </c>
      <c r="H431" s="46">
        <v>14</v>
      </c>
      <c r="I431" s="31">
        <v>5</v>
      </c>
      <c r="J431" s="62">
        <f t="shared" si="7"/>
        <v>70</v>
      </c>
      <c r="K431" s="611">
        <v>1.57</v>
      </c>
      <c r="L431" s="688">
        <v>43775</v>
      </c>
      <c r="M431" s="688"/>
      <c r="N431" s="689">
        <v>43775</v>
      </c>
      <c r="O431" s="690" t="s">
        <v>2240</v>
      </c>
      <c r="P431" s="22"/>
      <c r="Q431" s="13"/>
      <c r="R431" s="591" t="s">
        <v>2233</v>
      </c>
      <c r="S431" s="63" t="s">
        <v>44</v>
      </c>
      <c r="T431" s="1307"/>
      <c r="U431" s="22"/>
      <c r="V431" s="7" t="s">
        <v>2234</v>
      </c>
    </row>
    <row r="432" spans="3:22" s="7" customFormat="1" ht="15">
      <c r="C432" s="6" t="s">
        <v>2227</v>
      </c>
      <c r="D432" s="13" t="s">
        <v>1850</v>
      </c>
      <c r="E432" s="21" t="s">
        <v>232</v>
      </c>
      <c r="F432" s="23"/>
      <c r="G432" s="21" t="s">
        <v>2231</v>
      </c>
      <c r="H432" s="46">
        <v>14</v>
      </c>
      <c r="I432" s="31">
        <v>2</v>
      </c>
      <c r="J432" s="62">
        <f t="shared" si="7"/>
        <v>28</v>
      </c>
      <c r="K432" s="611">
        <v>1.57</v>
      </c>
      <c r="L432" s="688">
        <v>43775</v>
      </c>
      <c r="M432" s="688"/>
      <c r="N432" s="689">
        <v>43775</v>
      </c>
      <c r="O432" s="690" t="s">
        <v>2240</v>
      </c>
      <c r="P432" s="22"/>
      <c r="Q432" s="13"/>
      <c r="R432" s="591" t="s">
        <v>2233</v>
      </c>
      <c r="S432" s="63" t="s">
        <v>44</v>
      </c>
      <c r="T432" s="1307"/>
      <c r="U432" s="22"/>
      <c r="V432" s="7" t="s">
        <v>2234</v>
      </c>
    </row>
    <row r="433" spans="3:22" s="7" customFormat="1" ht="15">
      <c r="C433" s="6"/>
      <c r="D433" s="13"/>
      <c r="E433" s="18" t="s">
        <v>19</v>
      </c>
      <c r="F433" s="23"/>
      <c r="G433" s="21"/>
      <c r="H433" s="55"/>
      <c r="I433" s="56"/>
      <c r="J433" s="55"/>
      <c r="K433" s="15" t="s">
        <v>8</v>
      </c>
      <c r="L433" s="10"/>
      <c r="M433" s="10"/>
      <c r="N433" s="13"/>
      <c r="O433" s="13"/>
      <c r="P433" s="100"/>
      <c r="Q433" s="100"/>
      <c r="T433" s="1301"/>
      <c r="U433" s="6" t="s">
        <v>3</v>
      </c>
    </row>
    <row r="434" spans="3:22" s="7" customFormat="1" ht="15">
      <c r="C434" s="6" t="s">
        <v>2241</v>
      </c>
      <c r="D434" s="13" t="s">
        <v>1850</v>
      </c>
      <c r="E434" s="21" t="s">
        <v>2194</v>
      </c>
      <c r="F434" s="23"/>
      <c r="G434" s="21" t="s">
        <v>25</v>
      </c>
      <c r="H434" s="62">
        <v>4</v>
      </c>
      <c r="I434" s="62">
        <v>4</v>
      </c>
      <c r="J434" s="62">
        <v>4</v>
      </c>
      <c r="K434" s="611">
        <v>1.61</v>
      </c>
      <c r="L434" s="688">
        <v>43706</v>
      </c>
      <c r="M434" s="688"/>
      <c r="N434" s="689">
        <v>43706</v>
      </c>
      <c r="O434" s="690" t="s">
        <v>2242</v>
      </c>
      <c r="P434" s="22"/>
      <c r="Q434" s="13">
        <v>129</v>
      </c>
      <c r="R434" s="11">
        <v>99</v>
      </c>
      <c r="S434" s="63" t="s">
        <v>44</v>
      </c>
      <c r="T434" s="1307"/>
      <c r="U434" s="22"/>
      <c r="V434" s="7" t="s">
        <v>2220</v>
      </c>
    </row>
    <row r="435" spans="3:22" s="7" customFormat="1" ht="15.75" customHeight="1">
      <c r="C435" s="6" t="s">
        <v>2241</v>
      </c>
      <c r="D435" s="13" t="s">
        <v>1850</v>
      </c>
      <c r="E435" s="21" t="s">
        <v>232</v>
      </c>
      <c r="F435" s="23"/>
      <c r="G435" s="21" t="s">
        <v>25</v>
      </c>
      <c r="H435" s="62">
        <v>5</v>
      </c>
      <c r="I435" s="62">
        <v>5</v>
      </c>
      <c r="J435" s="62">
        <v>5</v>
      </c>
      <c r="K435" s="611">
        <v>1.83</v>
      </c>
      <c r="L435" s="688">
        <v>43706</v>
      </c>
      <c r="M435" s="688"/>
      <c r="N435" s="689">
        <v>43706</v>
      </c>
      <c r="O435" s="690" t="s">
        <v>2242</v>
      </c>
      <c r="P435" s="40"/>
      <c r="Q435" s="719"/>
      <c r="R435" s="11">
        <v>100</v>
      </c>
      <c r="S435" s="63" t="s">
        <v>44</v>
      </c>
      <c r="T435" s="1307"/>
      <c r="U435" s="6" t="s">
        <v>3</v>
      </c>
      <c r="V435" s="7" t="s">
        <v>2193</v>
      </c>
    </row>
    <row r="436" spans="3:22" s="7" customFormat="1" ht="15">
      <c r="C436" s="6" t="s">
        <v>2241</v>
      </c>
      <c r="D436" s="13" t="s">
        <v>1850</v>
      </c>
      <c r="E436" s="21"/>
      <c r="F436" s="38"/>
      <c r="G436" s="38" t="s">
        <v>13</v>
      </c>
      <c r="H436" s="39" t="s">
        <v>28</v>
      </c>
      <c r="I436" s="94"/>
      <c r="J436" s="93"/>
      <c r="K436" s="611">
        <v>12</v>
      </c>
      <c r="L436" s="688">
        <v>43706</v>
      </c>
      <c r="M436" s="688"/>
      <c r="N436" s="689">
        <v>43706</v>
      </c>
      <c r="O436" s="690" t="s">
        <v>2242</v>
      </c>
      <c r="P436" s="22"/>
      <c r="Q436" s="22"/>
      <c r="T436" s="1301"/>
      <c r="U436" s="6"/>
    </row>
    <row r="437" spans="3:22" s="7" customFormat="1" ht="15">
      <c r="C437" s="6"/>
      <c r="D437" s="13"/>
      <c r="E437" s="18" t="s">
        <v>147</v>
      </c>
      <c r="F437" s="23"/>
      <c r="G437" s="21"/>
      <c r="H437" s="55"/>
      <c r="I437" s="56"/>
      <c r="J437" s="55"/>
      <c r="K437" s="15" t="s">
        <v>8</v>
      </c>
      <c r="L437" s="10"/>
      <c r="M437" s="10"/>
      <c r="N437" s="13"/>
      <c r="O437" s="13"/>
      <c r="P437" s="100"/>
      <c r="Q437" s="100"/>
      <c r="T437" s="1301"/>
      <c r="U437" s="6" t="s">
        <v>3</v>
      </c>
    </row>
    <row r="438" spans="3:22" s="7" customFormat="1" ht="15">
      <c r="C438" s="6" t="s">
        <v>2243</v>
      </c>
      <c r="D438" s="50" t="s">
        <v>2244</v>
      </c>
      <c r="E438" s="21">
        <v>1962</v>
      </c>
      <c r="F438" s="23" t="s">
        <v>215</v>
      </c>
      <c r="G438" s="21" t="s">
        <v>33</v>
      </c>
      <c r="H438" s="55">
        <v>30</v>
      </c>
      <c r="I438" s="56">
        <v>1</v>
      </c>
      <c r="J438" s="55">
        <f>H438*I438</f>
        <v>30</v>
      </c>
      <c r="K438" s="695">
        <v>0.7</v>
      </c>
      <c r="L438" s="688">
        <v>43710</v>
      </c>
      <c r="M438" s="688"/>
      <c r="N438" s="689">
        <v>43710</v>
      </c>
      <c r="O438" s="690" t="s">
        <v>2245</v>
      </c>
      <c r="P438" s="22"/>
      <c r="Q438" s="22"/>
      <c r="R438" s="7">
        <v>48</v>
      </c>
      <c r="S438" s="7">
        <f>R438*H438</f>
        <v>1440</v>
      </c>
      <c r="T438" s="1301"/>
      <c r="U438" s="6"/>
    </row>
    <row r="439" spans="3:22" s="7" customFormat="1" ht="15">
      <c r="C439" s="6" t="s">
        <v>2243</v>
      </c>
      <c r="D439" s="50" t="s">
        <v>2244</v>
      </c>
      <c r="E439" s="21">
        <v>1962</v>
      </c>
      <c r="F439" s="23" t="s">
        <v>215</v>
      </c>
      <c r="G439" s="21" t="s">
        <v>219</v>
      </c>
      <c r="H439" s="55">
        <v>30</v>
      </c>
      <c r="I439" s="56">
        <v>1</v>
      </c>
      <c r="J439" s="55">
        <f>H439*I439</f>
        <v>30</v>
      </c>
      <c r="K439" s="695">
        <v>0.7</v>
      </c>
      <c r="L439" s="688">
        <v>43710</v>
      </c>
      <c r="M439" s="688"/>
      <c r="N439" s="689">
        <v>43710</v>
      </c>
      <c r="O439" s="690" t="s">
        <v>2245</v>
      </c>
      <c r="P439" s="22"/>
      <c r="Q439" s="22"/>
      <c r="R439" s="7">
        <v>48</v>
      </c>
      <c r="S439" s="7">
        <f>R439*H439</f>
        <v>1440</v>
      </c>
      <c r="T439" s="1301"/>
      <c r="U439" s="6"/>
    </row>
    <row r="440" spans="3:22" s="7" customFormat="1" ht="15">
      <c r="C440" s="6" t="s">
        <v>2243</v>
      </c>
      <c r="D440" s="50" t="s">
        <v>2244</v>
      </c>
      <c r="E440" s="21"/>
      <c r="F440" s="38"/>
      <c r="G440" s="38" t="s">
        <v>13</v>
      </c>
      <c r="H440" s="39" t="s">
        <v>28</v>
      </c>
      <c r="I440" s="94"/>
      <c r="J440" s="93"/>
      <c r="K440" s="611">
        <v>12</v>
      </c>
      <c r="L440" s="688">
        <v>43710</v>
      </c>
      <c r="M440" s="688"/>
      <c r="N440" s="689">
        <v>43710</v>
      </c>
      <c r="O440" s="690" t="s">
        <v>2245</v>
      </c>
      <c r="P440" s="22"/>
      <c r="Q440" s="22"/>
      <c r="T440" s="1301"/>
      <c r="U440" s="6"/>
    </row>
    <row r="441" spans="3:22" s="7" customFormat="1" ht="15">
      <c r="C441" s="6"/>
      <c r="D441" s="13"/>
      <c r="E441" s="18" t="s">
        <v>19</v>
      </c>
      <c r="F441" s="23"/>
      <c r="G441" s="21"/>
      <c r="H441" s="55"/>
      <c r="I441" s="56"/>
      <c r="J441" s="55"/>
      <c r="K441" s="15" t="s">
        <v>8</v>
      </c>
      <c r="L441" s="10"/>
      <c r="M441" s="10"/>
      <c r="N441" s="13"/>
      <c r="O441" s="13"/>
      <c r="P441" s="100"/>
      <c r="Q441" s="100"/>
      <c r="T441" s="1301"/>
      <c r="U441" s="6" t="s">
        <v>3</v>
      </c>
    </row>
    <row r="442" spans="3:22" s="7" customFormat="1" ht="15">
      <c r="C442" s="6" t="s">
        <v>2246</v>
      </c>
      <c r="D442" s="13" t="s">
        <v>1850</v>
      </c>
      <c r="E442" s="21" t="s">
        <v>2219</v>
      </c>
      <c r="F442" s="23"/>
      <c r="G442" s="21" t="s">
        <v>62</v>
      </c>
      <c r="H442" s="62">
        <v>4</v>
      </c>
      <c r="I442" s="62">
        <v>4</v>
      </c>
      <c r="J442" s="62">
        <v>4</v>
      </c>
      <c r="K442" s="611">
        <v>1.61</v>
      </c>
      <c r="L442" s="688">
        <v>43710</v>
      </c>
      <c r="M442" s="688"/>
      <c r="N442" s="689">
        <v>43710</v>
      </c>
      <c r="O442" s="690" t="s">
        <v>2247</v>
      </c>
      <c r="P442" s="22"/>
      <c r="Q442" s="13">
        <v>129</v>
      </c>
      <c r="R442" s="11">
        <v>99</v>
      </c>
      <c r="S442" s="63" t="s">
        <v>44</v>
      </c>
      <c r="T442" s="1307"/>
      <c r="U442" s="22"/>
      <c r="V442" s="7" t="s">
        <v>2220</v>
      </c>
    </row>
    <row r="443" spans="3:22" s="7" customFormat="1" ht="15">
      <c r="C443" s="6" t="s">
        <v>2246</v>
      </c>
      <c r="D443" s="13" t="s">
        <v>1850</v>
      </c>
      <c r="E443" s="21"/>
      <c r="F443" s="38"/>
      <c r="G443" s="38" t="s">
        <v>13</v>
      </c>
      <c r="H443" s="39" t="s">
        <v>28</v>
      </c>
      <c r="I443" s="94"/>
      <c r="J443" s="93"/>
      <c r="K443" s="611">
        <v>12</v>
      </c>
      <c r="L443" s="688">
        <v>43710</v>
      </c>
      <c r="M443" s="688"/>
      <c r="N443" s="689">
        <v>43710</v>
      </c>
      <c r="O443" s="690" t="s">
        <v>2247</v>
      </c>
      <c r="P443" s="22"/>
      <c r="Q443" s="22"/>
      <c r="T443" s="1301"/>
      <c r="U443" s="6"/>
    </row>
    <row r="444" spans="3:22" s="7" customFormat="1" ht="18" customHeight="1">
      <c r="C444" s="6"/>
      <c r="D444" s="13"/>
      <c r="E444" s="18" t="s">
        <v>2248</v>
      </c>
      <c r="F444" s="92"/>
      <c r="G444" s="21"/>
      <c r="H444" s="93"/>
      <c r="I444" s="94"/>
      <c r="J444" s="93"/>
      <c r="K444" s="95" t="s">
        <v>8</v>
      </c>
      <c r="L444" s="720"/>
      <c r="M444" s="720"/>
      <c r="N444" s="721"/>
      <c r="O444" s="722"/>
      <c r="P444" s="40"/>
      <c r="Q444" s="13"/>
      <c r="R444" s="247"/>
      <c r="S444" s="247"/>
      <c r="T444" s="1308"/>
      <c r="U444" s="13"/>
    </row>
    <row r="445" spans="3:22" s="7" customFormat="1" ht="18" customHeight="1">
      <c r="C445" s="6"/>
      <c r="D445" s="13" t="s">
        <v>2149</v>
      </c>
      <c r="E445" s="71" t="s">
        <v>2249</v>
      </c>
      <c r="F445" s="596"/>
      <c r="G445" s="21" t="s">
        <v>25</v>
      </c>
      <c r="H445" s="93">
        <v>13.7</v>
      </c>
      <c r="I445" s="94">
        <v>1</v>
      </c>
      <c r="J445" s="17">
        <v>54.8</v>
      </c>
      <c r="K445" s="737">
        <v>11.69</v>
      </c>
      <c r="L445" s="688"/>
      <c r="M445" s="688"/>
      <c r="N445" s="689"/>
      <c r="O445" s="690"/>
      <c r="P445" s="40"/>
      <c r="Q445" s="7">
        <v>900</v>
      </c>
      <c r="R445" s="11">
        <v>850</v>
      </c>
      <c r="S445" s="7" t="s">
        <v>2250</v>
      </c>
      <c r="T445" s="1301"/>
      <c r="U445" s="6"/>
    </row>
    <row r="446" spans="3:22" s="7" customFormat="1" ht="15">
      <c r="C446" s="6"/>
      <c r="D446" s="13"/>
      <c r="E446" s="18" t="s">
        <v>19</v>
      </c>
      <c r="F446" s="23"/>
      <c r="G446" s="21"/>
      <c r="H446" s="55"/>
      <c r="I446" s="56"/>
      <c r="J446" s="55"/>
      <c r="K446" s="15" t="s">
        <v>8</v>
      </c>
      <c r="L446" s="10"/>
      <c r="M446" s="10"/>
      <c r="N446" s="13"/>
      <c r="O446" s="13"/>
      <c r="P446" s="100"/>
      <c r="Q446" s="100"/>
      <c r="T446" s="1301"/>
      <c r="U446" s="6" t="s">
        <v>3</v>
      </c>
    </row>
    <row r="447" spans="3:22" s="7" customFormat="1" ht="15">
      <c r="C447" s="6" t="s">
        <v>2251</v>
      </c>
      <c r="D447" s="13" t="s">
        <v>1880</v>
      </c>
      <c r="E447" s="21" t="s">
        <v>2252</v>
      </c>
      <c r="F447" s="23"/>
      <c r="G447" s="21" t="s">
        <v>25</v>
      </c>
      <c r="H447" s="62">
        <v>5</v>
      </c>
      <c r="I447" s="62">
        <v>5</v>
      </c>
      <c r="J447" s="62">
        <v>5</v>
      </c>
      <c r="K447" s="611">
        <v>3.58</v>
      </c>
      <c r="L447" s="688">
        <v>43742</v>
      </c>
      <c r="M447" s="688"/>
      <c r="N447" s="689">
        <v>43742</v>
      </c>
      <c r="O447" s="690" t="s">
        <v>2253</v>
      </c>
      <c r="P447" s="22"/>
      <c r="Q447" s="13">
        <v>275</v>
      </c>
      <c r="R447" s="11">
        <v>240</v>
      </c>
      <c r="S447" s="63" t="s">
        <v>2254</v>
      </c>
      <c r="T447" s="1307"/>
      <c r="U447" s="22"/>
    </row>
    <row r="448" spans="3:22" s="7" customFormat="1" ht="15">
      <c r="C448" s="6" t="s">
        <v>2251</v>
      </c>
      <c r="D448" s="13" t="s">
        <v>1880</v>
      </c>
      <c r="E448" s="21" t="s">
        <v>2255</v>
      </c>
      <c r="F448" s="23"/>
      <c r="G448" s="21" t="s">
        <v>25</v>
      </c>
      <c r="H448" s="62">
        <v>5</v>
      </c>
      <c r="I448" s="62">
        <v>5</v>
      </c>
      <c r="J448" s="62">
        <v>5</v>
      </c>
      <c r="K448" s="611">
        <v>6.45</v>
      </c>
      <c r="L448" s="688">
        <v>43742</v>
      </c>
      <c r="M448" s="688"/>
      <c r="N448" s="689">
        <v>43742</v>
      </c>
      <c r="O448" s="690" t="s">
        <v>2253</v>
      </c>
      <c r="P448" s="22"/>
      <c r="Q448" s="13">
        <v>496</v>
      </c>
      <c r="R448" s="11">
        <v>440</v>
      </c>
      <c r="S448" s="63" t="s">
        <v>2256</v>
      </c>
      <c r="T448" s="1307"/>
      <c r="U448" s="22"/>
    </row>
    <row r="449" spans="3:21" s="7" customFormat="1" ht="15">
      <c r="C449" s="6" t="s">
        <v>2251</v>
      </c>
      <c r="D449" s="13" t="s">
        <v>1880</v>
      </c>
      <c r="E449" s="21" t="s">
        <v>2257</v>
      </c>
      <c r="F449" s="23"/>
      <c r="G449" s="21" t="s">
        <v>25</v>
      </c>
      <c r="H449" s="62">
        <v>5</v>
      </c>
      <c r="I449" s="62">
        <v>5</v>
      </c>
      <c r="J449" s="62">
        <v>5</v>
      </c>
      <c r="K449" s="611">
        <v>3.06</v>
      </c>
      <c r="L449" s="688">
        <v>43742</v>
      </c>
      <c r="M449" s="688"/>
      <c r="N449" s="689">
        <v>43742</v>
      </c>
      <c r="O449" s="690" t="s">
        <v>2253</v>
      </c>
      <c r="P449" s="22"/>
      <c r="Q449" s="13">
        <v>235</v>
      </c>
      <c r="R449" s="11">
        <v>155</v>
      </c>
      <c r="S449" s="63" t="s">
        <v>31</v>
      </c>
      <c r="T449" s="1307"/>
      <c r="U449" s="22"/>
    </row>
    <row r="450" spans="3:21" s="7" customFormat="1" ht="15">
      <c r="C450" s="6"/>
      <c r="D450" s="13"/>
      <c r="E450" s="18" t="s">
        <v>2258</v>
      </c>
      <c r="F450" s="23"/>
      <c r="G450" s="21"/>
      <c r="H450" s="55"/>
      <c r="I450" s="56"/>
      <c r="J450" s="55"/>
      <c r="K450" s="15" t="s">
        <v>8</v>
      </c>
      <c r="L450" s="10"/>
      <c r="M450" s="10"/>
      <c r="N450" s="13"/>
      <c r="O450" s="13"/>
      <c r="P450" s="100"/>
      <c r="Q450" s="100"/>
      <c r="T450" s="1301"/>
      <c r="U450" s="6" t="s">
        <v>3</v>
      </c>
    </row>
    <row r="451" spans="3:21" s="7" customFormat="1" ht="15">
      <c r="C451" s="6" t="s">
        <v>2251</v>
      </c>
      <c r="D451" s="13" t="s">
        <v>1880</v>
      </c>
      <c r="E451" s="21" t="s">
        <v>2259</v>
      </c>
      <c r="F451" s="23"/>
      <c r="G451" s="21" t="s">
        <v>25</v>
      </c>
      <c r="H451" s="62">
        <v>5</v>
      </c>
      <c r="I451" s="62">
        <v>5</v>
      </c>
      <c r="J451" s="62">
        <v>5</v>
      </c>
      <c r="K451" s="611">
        <v>2.4500000000000002</v>
      </c>
      <c r="L451" s="688">
        <v>43742</v>
      </c>
      <c r="M451" s="688"/>
      <c r="N451" s="689">
        <v>43742</v>
      </c>
      <c r="O451" s="690" t="s">
        <v>2253</v>
      </c>
      <c r="P451" s="22"/>
      <c r="Q451" s="13">
        <v>188</v>
      </c>
      <c r="R451" s="11">
        <v>158</v>
      </c>
      <c r="S451" s="63" t="s">
        <v>44</v>
      </c>
      <c r="T451" s="1307"/>
      <c r="U451" s="22"/>
    </row>
    <row r="452" spans="3:21" s="7" customFormat="1" ht="15">
      <c r="C452" s="6"/>
      <c r="D452" s="13"/>
      <c r="E452" s="18" t="s">
        <v>2260</v>
      </c>
      <c r="F452" s="23"/>
      <c r="G452" s="21"/>
      <c r="H452" s="55"/>
      <c r="I452" s="56"/>
      <c r="J452" s="55"/>
      <c r="K452" s="15" t="s">
        <v>8</v>
      </c>
      <c r="L452" s="10"/>
      <c r="M452" s="10"/>
      <c r="N452" s="13"/>
      <c r="O452" s="13"/>
      <c r="P452" s="100"/>
      <c r="Q452" s="100"/>
      <c r="T452" s="1301"/>
      <c r="U452" s="6" t="s">
        <v>3</v>
      </c>
    </row>
    <row r="453" spans="3:21" s="7" customFormat="1" ht="15">
      <c r="C453" s="6" t="s">
        <v>2251</v>
      </c>
      <c r="D453" s="13" t="s">
        <v>1880</v>
      </c>
      <c r="E453" s="21" t="s">
        <v>2261</v>
      </c>
      <c r="F453" s="23"/>
      <c r="G453" s="21" t="s">
        <v>25</v>
      </c>
      <c r="H453" s="62">
        <v>5</v>
      </c>
      <c r="I453" s="62">
        <v>5</v>
      </c>
      <c r="J453" s="62">
        <v>5</v>
      </c>
      <c r="K453" s="611">
        <v>2.23</v>
      </c>
      <c r="L453" s="688">
        <v>43742</v>
      </c>
      <c r="M453" s="688"/>
      <c r="N453" s="689">
        <v>43742</v>
      </c>
      <c r="O453" s="690" t="s">
        <v>2253</v>
      </c>
      <c r="P453" s="22"/>
      <c r="Q453" s="13">
        <v>171</v>
      </c>
      <c r="R453" s="11">
        <v>136</v>
      </c>
      <c r="S453" s="63" t="s">
        <v>2254</v>
      </c>
      <c r="T453" s="1307"/>
      <c r="U453" s="22"/>
    </row>
    <row r="454" spans="3:21" s="7" customFormat="1" ht="15">
      <c r="C454" s="6" t="s">
        <v>2251</v>
      </c>
      <c r="D454" s="13" t="s">
        <v>1880</v>
      </c>
      <c r="E454" s="21"/>
      <c r="F454" s="38"/>
      <c r="G454" s="38" t="s">
        <v>13</v>
      </c>
      <c r="H454" s="39" t="s">
        <v>28</v>
      </c>
      <c r="I454" s="94"/>
      <c r="J454" s="93"/>
      <c r="K454" s="611">
        <v>20</v>
      </c>
      <c r="L454" s="688">
        <v>43742</v>
      </c>
      <c r="M454" s="688"/>
      <c r="N454" s="689">
        <v>43742</v>
      </c>
      <c r="O454" s="690" t="s">
        <v>2253</v>
      </c>
      <c r="P454" s="22"/>
      <c r="Q454" s="22"/>
      <c r="T454" s="1301"/>
      <c r="U454" s="6"/>
    </row>
    <row r="455" spans="3:21" ht="18" customHeight="1">
      <c r="C455" s="4"/>
      <c r="D455" s="50"/>
      <c r="E455" s="51" t="s">
        <v>118</v>
      </c>
      <c r="F455" s="52"/>
      <c r="G455" s="47"/>
      <c r="H455" s="46"/>
      <c r="I455" s="53"/>
      <c r="J455" s="46"/>
      <c r="K455" s="58" t="s">
        <v>8</v>
      </c>
      <c r="L455" s="33"/>
      <c r="M455" s="33"/>
      <c r="N455" s="115"/>
      <c r="O455" s="32"/>
      <c r="P455" s="34"/>
      <c r="Q455" s="50"/>
      <c r="U455" s="343"/>
    </row>
    <row r="456" spans="3:21" s="7" customFormat="1" ht="18" customHeight="1">
      <c r="C456" s="6" t="s">
        <v>2262</v>
      </c>
      <c r="D456" s="13" t="s">
        <v>1853</v>
      </c>
      <c r="E456" s="21" t="s">
        <v>2004</v>
      </c>
      <c r="F456" s="92">
        <v>140</v>
      </c>
      <c r="G456" s="21" t="s">
        <v>1937</v>
      </c>
      <c r="H456" s="93">
        <v>5</v>
      </c>
      <c r="I456" s="93">
        <v>5</v>
      </c>
      <c r="J456" s="93">
        <v>5</v>
      </c>
      <c r="K456" s="611">
        <v>8.65</v>
      </c>
      <c r="L456" s="688">
        <v>43747</v>
      </c>
      <c r="M456" s="688"/>
      <c r="N456" s="689">
        <v>43747</v>
      </c>
      <c r="O456" s="690" t="s">
        <v>2263</v>
      </c>
      <c r="P456" s="40"/>
      <c r="Q456" s="20" t="s">
        <v>2264</v>
      </c>
      <c r="R456" s="7">
        <v>760</v>
      </c>
      <c r="T456" s="1301"/>
      <c r="U456" s="6"/>
    </row>
    <row r="457" spans="3:21" s="7" customFormat="1" ht="18" customHeight="1">
      <c r="C457" s="6" t="s">
        <v>2262</v>
      </c>
      <c r="D457" s="13" t="s">
        <v>1853</v>
      </c>
      <c r="E457" s="48"/>
      <c r="F457" s="38"/>
      <c r="G457" s="38" t="s">
        <v>24</v>
      </c>
      <c r="H457" s="39" t="s">
        <v>28</v>
      </c>
      <c r="I457" s="94"/>
      <c r="J457" s="93"/>
      <c r="K457" s="611">
        <v>12</v>
      </c>
      <c r="L457" s="688">
        <v>43747</v>
      </c>
      <c r="M457" s="688"/>
      <c r="N457" s="689">
        <v>43747</v>
      </c>
      <c r="O457" s="690" t="s">
        <v>2263</v>
      </c>
      <c r="P457" s="40"/>
      <c r="Q457" s="20"/>
      <c r="T457" s="1301"/>
      <c r="U457" s="6"/>
    </row>
    <row r="458" spans="3:21" s="7" customFormat="1" ht="18" customHeight="1">
      <c r="C458" s="6" t="s">
        <v>2262</v>
      </c>
      <c r="D458" s="13" t="s">
        <v>1853</v>
      </c>
      <c r="E458" s="48"/>
      <c r="F458" s="38"/>
      <c r="G458" s="38" t="s">
        <v>13</v>
      </c>
      <c r="H458" s="39" t="s">
        <v>28</v>
      </c>
      <c r="I458" s="94"/>
      <c r="J458" s="93"/>
      <c r="K458" s="611">
        <v>12</v>
      </c>
      <c r="L458" s="688">
        <v>43747</v>
      </c>
      <c r="M458" s="688"/>
      <c r="N458" s="689">
        <v>43747</v>
      </c>
      <c r="O458" s="690" t="s">
        <v>2263</v>
      </c>
      <c r="P458" s="40"/>
      <c r="Q458" s="20"/>
      <c r="T458" s="1301"/>
      <c r="U458" s="6"/>
    </row>
    <row r="459" spans="3:21" s="7" customFormat="1" ht="15">
      <c r="C459" s="6"/>
      <c r="D459" s="13"/>
      <c r="E459" s="18" t="s">
        <v>19</v>
      </c>
      <c r="F459" s="23"/>
      <c r="G459" s="21"/>
      <c r="H459" s="55"/>
      <c r="I459" s="56"/>
      <c r="J459" s="55"/>
      <c r="K459" s="15" t="s">
        <v>8</v>
      </c>
      <c r="L459" s="10"/>
      <c r="M459" s="10"/>
      <c r="N459" s="13"/>
      <c r="O459" s="13"/>
      <c r="P459" s="100"/>
      <c r="Q459" s="100"/>
      <c r="T459" s="1301"/>
      <c r="U459" s="6" t="s">
        <v>3</v>
      </c>
    </row>
    <row r="460" spans="3:21" s="7" customFormat="1" ht="15">
      <c r="C460" s="6" t="s">
        <v>2265</v>
      </c>
      <c r="D460" s="13" t="s">
        <v>1880</v>
      </c>
      <c r="E460" s="21" t="s">
        <v>2255</v>
      </c>
      <c r="F460" s="23"/>
      <c r="G460" s="21" t="s">
        <v>25</v>
      </c>
      <c r="H460" s="62">
        <v>7</v>
      </c>
      <c r="I460" s="62">
        <v>7</v>
      </c>
      <c r="J460" s="62">
        <v>7</v>
      </c>
      <c r="K460" s="611">
        <v>6.45</v>
      </c>
      <c r="L460" s="688">
        <v>43755</v>
      </c>
      <c r="M460" s="688"/>
      <c r="N460" s="689">
        <v>43755</v>
      </c>
      <c r="O460" s="690" t="s">
        <v>2266</v>
      </c>
      <c r="P460" s="22"/>
      <c r="Q460" s="13">
        <v>496</v>
      </c>
      <c r="R460" s="11">
        <v>440</v>
      </c>
      <c r="S460" s="63" t="s">
        <v>2256</v>
      </c>
      <c r="T460" s="1307"/>
      <c r="U460" s="22"/>
    </row>
    <row r="461" spans="3:21" s="7" customFormat="1" ht="15">
      <c r="C461" s="6" t="s">
        <v>2265</v>
      </c>
      <c r="D461" s="13" t="s">
        <v>1880</v>
      </c>
      <c r="E461" s="21"/>
      <c r="F461" s="38"/>
      <c r="G461" s="38" t="s">
        <v>13</v>
      </c>
      <c r="H461" s="39" t="s">
        <v>28</v>
      </c>
      <c r="I461" s="94"/>
      <c r="J461" s="93"/>
      <c r="K461" s="611">
        <v>12</v>
      </c>
      <c r="L461" s="688">
        <v>43755</v>
      </c>
      <c r="M461" s="688"/>
      <c r="N461" s="689">
        <v>43755</v>
      </c>
      <c r="O461" s="690" t="s">
        <v>2266</v>
      </c>
      <c r="P461" s="22"/>
      <c r="Q461" s="22"/>
      <c r="T461" s="1301"/>
      <c r="U461" s="6"/>
    </row>
    <row r="462" spans="3:21" s="7" customFormat="1" ht="18" customHeight="1">
      <c r="C462" s="6"/>
      <c r="D462" s="13"/>
      <c r="E462" s="13" t="s">
        <v>2267</v>
      </c>
      <c r="F462" s="14"/>
      <c r="G462" s="13"/>
      <c r="H462" s="55"/>
      <c r="I462" s="56"/>
      <c r="J462" s="55"/>
      <c r="K462" s="15" t="s">
        <v>8</v>
      </c>
      <c r="L462" s="10"/>
      <c r="M462" s="10"/>
      <c r="N462" s="13"/>
      <c r="O462" s="40"/>
      <c r="P462" s="738"/>
      <c r="Q462" s="100"/>
      <c r="T462" s="1301"/>
      <c r="U462" s="6" t="s">
        <v>3</v>
      </c>
    </row>
    <row r="463" spans="3:21" s="7" customFormat="1" ht="18" customHeight="1">
      <c r="C463" s="6" t="s">
        <v>2268</v>
      </c>
      <c r="D463" s="13" t="s">
        <v>2269</v>
      </c>
      <c r="E463" s="21" t="s">
        <v>2270</v>
      </c>
      <c r="F463" s="134" t="s">
        <v>2271</v>
      </c>
      <c r="G463" s="21" t="s">
        <v>2272</v>
      </c>
      <c r="H463" s="93">
        <v>30</v>
      </c>
      <c r="I463" s="94">
        <v>1</v>
      </c>
      <c r="J463" s="8">
        <f>H463*I463</f>
        <v>30</v>
      </c>
      <c r="K463" s="611">
        <v>0.94</v>
      </c>
      <c r="L463" s="688">
        <v>43763</v>
      </c>
      <c r="M463" s="688"/>
      <c r="N463" s="689">
        <v>43763</v>
      </c>
      <c r="O463" s="690" t="s">
        <v>2273</v>
      </c>
      <c r="P463" s="40"/>
      <c r="Q463" s="40"/>
      <c r="R463" s="7">
        <v>62</v>
      </c>
      <c r="T463" s="1301"/>
      <c r="U463" s="6"/>
    </row>
    <row r="464" spans="3:21" s="7" customFormat="1" ht="18" customHeight="1">
      <c r="C464" s="6" t="s">
        <v>2268</v>
      </c>
      <c r="D464" s="13" t="s">
        <v>2269</v>
      </c>
      <c r="E464" s="21" t="s">
        <v>2270</v>
      </c>
      <c r="F464" s="134" t="s">
        <v>2271</v>
      </c>
      <c r="G464" s="21" t="s">
        <v>2274</v>
      </c>
      <c r="H464" s="93">
        <v>30</v>
      </c>
      <c r="I464" s="94">
        <v>1</v>
      </c>
      <c r="J464" s="8">
        <f>H464*I464</f>
        <v>30</v>
      </c>
      <c r="K464" s="611">
        <v>0.94</v>
      </c>
      <c r="L464" s="688">
        <v>43763</v>
      </c>
      <c r="M464" s="688"/>
      <c r="N464" s="689">
        <v>43763</v>
      </c>
      <c r="O464" s="690" t="s">
        <v>2273</v>
      </c>
      <c r="P464" s="40"/>
      <c r="Q464" s="40"/>
      <c r="R464" s="7">
        <v>62</v>
      </c>
      <c r="T464" s="1301"/>
      <c r="U464" s="6"/>
    </row>
    <row r="465" spans="3:21" s="7" customFormat="1" ht="18" customHeight="1">
      <c r="C465" s="6" t="s">
        <v>2268</v>
      </c>
      <c r="D465" s="13" t="s">
        <v>2269</v>
      </c>
      <c r="E465" s="21" t="s">
        <v>2270</v>
      </c>
      <c r="F465" s="134" t="s">
        <v>2271</v>
      </c>
      <c r="G465" s="21" t="s">
        <v>2275</v>
      </c>
      <c r="H465" s="93">
        <v>30</v>
      </c>
      <c r="I465" s="94">
        <v>1</v>
      </c>
      <c r="J465" s="8">
        <f>H465*I465</f>
        <v>30</v>
      </c>
      <c r="K465" s="611">
        <v>0.94</v>
      </c>
      <c r="L465" s="688">
        <v>43763</v>
      </c>
      <c r="M465" s="688"/>
      <c r="N465" s="689">
        <v>43763</v>
      </c>
      <c r="O465" s="690" t="s">
        <v>2273</v>
      </c>
      <c r="P465" s="40"/>
      <c r="Q465" s="40"/>
      <c r="R465" s="7">
        <v>62</v>
      </c>
      <c r="T465" s="1301"/>
      <c r="U465" s="6"/>
    </row>
    <row r="466" spans="3:21" s="7" customFormat="1" ht="15">
      <c r="C466" s="6" t="s">
        <v>2268</v>
      </c>
      <c r="D466" s="13" t="s">
        <v>2269</v>
      </c>
      <c r="E466" s="21"/>
      <c r="F466" s="38"/>
      <c r="G466" s="38" t="s">
        <v>13</v>
      </c>
      <c r="H466" s="39" t="s">
        <v>28</v>
      </c>
      <c r="I466" s="94"/>
      <c r="J466" s="93"/>
      <c r="K466" s="611">
        <v>12</v>
      </c>
      <c r="L466" s="688">
        <v>43763</v>
      </c>
      <c r="M466" s="688"/>
      <c r="N466" s="689">
        <v>43763</v>
      </c>
      <c r="O466" s="690" t="s">
        <v>2273</v>
      </c>
      <c r="P466" s="22"/>
      <c r="Q466" s="22"/>
      <c r="T466" s="1301"/>
      <c r="U466" s="6"/>
    </row>
    <row r="467" spans="3:21" s="7" customFormat="1" ht="15">
      <c r="C467" s="6"/>
      <c r="D467" s="13"/>
      <c r="E467" s="18" t="s">
        <v>19</v>
      </c>
      <c r="F467" s="23"/>
      <c r="G467" s="21"/>
      <c r="H467" s="55"/>
      <c r="I467" s="56"/>
      <c r="J467" s="55"/>
      <c r="K467" s="15" t="s">
        <v>8</v>
      </c>
      <c r="L467" s="10"/>
      <c r="M467" s="10"/>
      <c r="N467" s="13"/>
      <c r="O467" s="13"/>
      <c r="P467" s="100"/>
      <c r="Q467" s="100"/>
      <c r="T467" s="1301"/>
      <c r="U467" s="6" t="s">
        <v>3</v>
      </c>
    </row>
    <row r="468" spans="3:21" s="7" customFormat="1" ht="15">
      <c r="C468" s="6" t="s">
        <v>2276</v>
      </c>
      <c r="D468" s="13" t="s">
        <v>2277</v>
      </c>
      <c r="E468" s="739">
        <v>221184</v>
      </c>
      <c r="F468" s="23"/>
      <c r="G468" s="21" t="s">
        <v>25</v>
      </c>
      <c r="H468" s="93">
        <v>13.7</v>
      </c>
      <c r="I468" s="94">
        <v>4</v>
      </c>
      <c r="J468" s="108">
        <f t="shared" ref="J468:J473" si="8">H468*I468</f>
        <v>54.8</v>
      </c>
      <c r="K468" s="597">
        <v>9.2200000000000006</v>
      </c>
      <c r="L468" s="688">
        <v>43775</v>
      </c>
      <c r="M468" s="688"/>
      <c r="N468" s="689">
        <v>43775</v>
      </c>
      <c r="O468" s="690">
        <v>2326</v>
      </c>
      <c r="P468" s="22"/>
      <c r="Q468" s="13"/>
      <c r="R468" s="11">
        <v>760</v>
      </c>
      <c r="S468" s="63"/>
      <c r="T468" s="1307"/>
      <c r="U468" s="22"/>
    </row>
    <row r="469" spans="3:21" s="7" customFormat="1" ht="15">
      <c r="C469" s="6" t="s">
        <v>2276</v>
      </c>
      <c r="D469" s="13" t="s">
        <v>2277</v>
      </c>
      <c r="E469" s="739">
        <v>257830</v>
      </c>
      <c r="F469" s="23"/>
      <c r="G469" s="21" t="s">
        <v>25</v>
      </c>
      <c r="H469" s="93">
        <v>13.7</v>
      </c>
      <c r="I469" s="94">
        <v>4</v>
      </c>
      <c r="J469" s="108">
        <f t="shared" si="8"/>
        <v>54.8</v>
      </c>
      <c r="K469" s="597">
        <v>1.49</v>
      </c>
      <c r="L469" s="688">
        <v>43775</v>
      </c>
      <c r="M469" s="688"/>
      <c r="N469" s="689">
        <v>43775</v>
      </c>
      <c r="O469" s="690">
        <v>2326</v>
      </c>
      <c r="P469" s="22"/>
      <c r="Q469" s="13"/>
      <c r="R469" s="11">
        <v>123</v>
      </c>
      <c r="S469" s="63"/>
      <c r="T469" s="1307"/>
      <c r="U469" s="22"/>
    </row>
    <row r="470" spans="3:21" s="7" customFormat="1" ht="15">
      <c r="C470" s="6" t="s">
        <v>2276</v>
      </c>
      <c r="D470" s="13" t="s">
        <v>2277</v>
      </c>
      <c r="E470" s="739">
        <v>258176</v>
      </c>
      <c r="F470" s="23"/>
      <c r="G470" s="21" t="s">
        <v>25</v>
      </c>
      <c r="H470" s="93">
        <v>13.7</v>
      </c>
      <c r="I470" s="94">
        <v>4</v>
      </c>
      <c r="J470" s="108">
        <f t="shared" si="8"/>
        <v>54.8</v>
      </c>
      <c r="K470" s="597">
        <v>2.27</v>
      </c>
      <c r="L470" s="688">
        <v>43775</v>
      </c>
      <c r="M470" s="688"/>
      <c r="N470" s="689">
        <v>43775</v>
      </c>
      <c r="O470" s="690">
        <v>2326</v>
      </c>
      <c r="P470" s="22"/>
      <c r="Q470" s="13"/>
      <c r="R470" s="11">
        <v>187</v>
      </c>
      <c r="S470" s="63"/>
      <c r="T470" s="1307"/>
      <c r="U470" s="22"/>
    </row>
    <row r="471" spans="3:21" s="7" customFormat="1" ht="15">
      <c r="C471" s="6" t="s">
        <v>2276</v>
      </c>
      <c r="D471" s="13" t="s">
        <v>2277</v>
      </c>
      <c r="E471" s="739">
        <v>258151</v>
      </c>
      <c r="F471" s="23"/>
      <c r="G471" s="21" t="s">
        <v>25</v>
      </c>
      <c r="H471" s="93">
        <v>13.7</v>
      </c>
      <c r="I471" s="94">
        <v>4</v>
      </c>
      <c r="J471" s="108">
        <f t="shared" si="8"/>
        <v>54.8</v>
      </c>
      <c r="K471" s="597">
        <v>3.88</v>
      </c>
      <c r="L471" s="688">
        <v>43775</v>
      </c>
      <c r="M471" s="688"/>
      <c r="N471" s="689">
        <v>43775</v>
      </c>
      <c r="O471" s="690">
        <v>2326</v>
      </c>
      <c r="P471" s="22"/>
      <c r="Q471" s="13"/>
      <c r="R471" s="11">
        <v>320</v>
      </c>
      <c r="S471" s="63"/>
      <c r="T471" s="1307"/>
      <c r="U471" s="22"/>
    </row>
    <row r="472" spans="3:21" s="7" customFormat="1" ht="15">
      <c r="C472" s="6" t="s">
        <v>2276</v>
      </c>
      <c r="D472" s="13" t="s">
        <v>2277</v>
      </c>
      <c r="E472" s="740">
        <v>25589</v>
      </c>
      <c r="F472" s="23"/>
      <c r="G472" s="21" t="s">
        <v>25</v>
      </c>
      <c r="H472" s="93">
        <v>13.7</v>
      </c>
      <c r="I472" s="94">
        <v>4</v>
      </c>
      <c r="J472" s="108">
        <f t="shared" si="8"/>
        <v>54.8</v>
      </c>
      <c r="K472" s="597">
        <v>2.79</v>
      </c>
      <c r="L472" s="688">
        <v>43775</v>
      </c>
      <c r="M472" s="688"/>
      <c r="N472" s="689">
        <v>43775</v>
      </c>
      <c r="O472" s="690">
        <v>2326</v>
      </c>
      <c r="P472" s="22"/>
      <c r="Q472" s="13"/>
      <c r="R472" s="11">
        <v>230</v>
      </c>
      <c r="S472" s="63"/>
      <c r="T472" s="1307"/>
      <c r="U472" s="22"/>
    </row>
    <row r="473" spans="3:21" s="7" customFormat="1" ht="15">
      <c r="C473" s="6" t="s">
        <v>2276</v>
      </c>
      <c r="D473" s="13" t="s">
        <v>2277</v>
      </c>
      <c r="E473" s="740">
        <v>25445</v>
      </c>
      <c r="F473" s="23"/>
      <c r="G473" s="21" t="s">
        <v>25</v>
      </c>
      <c r="H473" s="93">
        <v>13.7</v>
      </c>
      <c r="I473" s="94">
        <v>4</v>
      </c>
      <c r="J473" s="108">
        <f t="shared" si="8"/>
        <v>54.8</v>
      </c>
      <c r="K473" s="597">
        <v>4.1399999999999997</v>
      </c>
      <c r="L473" s="688">
        <v>43775</v>
      </c>
      <c r="M473" s="688"/>
      <c r="N473" s="689">
        <v>43775</v>
      </c>
      <c r="O473" s="690">
        <v>2326</v>
      </c>
      <c r="P473" s="22"/>
      <c r="Q473" s="13"/>
      <c r="R473" s="11">
        <v>341</v>
      </c>
      <c r="S473" s="63"/>
      <c r="T473" s="1307"/>
      <c r="U473" s="22"/>
    </row>
    <row r="474" spans="3:21" s="7" customFormat="1" ht="15">
      <c r="C474" s="6" t="s">
        <v>2276</v>
      </c>
      <c r="D474" s="13" t="s">
        <v>2277</v>
      </c>
      <c r="E474" s="741">
        <v>71604</v>
      </c>
      <c r="F474" s="23"/>
      <c r="G474" s="21" t="s">
        <v>25</v>
      </c>
      <c r="H474" s="108">
        <v>50</v>
      </c>
      <c r="I474" s="108">
        <v>50</v>
      </c>
      <c r="J474" s="108">
        <v>50</v>
      </c>
      <c r="K474" s="597">
        <v>2.79</v>
      </c>
      <c r="L474" s="688">
        <v>43775</v>
      </c>
      <c r="M474" s="688"/>
      <c r="N474" s="689">
        <v>43775</v>
      </c>
      <c r="O474" s="690">
        <v>2326</v>
      </c>
      <c r="P474" s="22"/>
      <c r="Q474" s="13"/>
      <c r="R474" s="11">
        <v>230</v>
      </c>
      <c r="S474" s="63"/>
      <c r="T474" s="1307"/>
      <c r="U474" s="22"/>
    </row>
    <row r="475" spans="3:21" s="7" customFormat="1" ht="15">
      <c r="C475" s="6" t="s">
        <v>2276</v>
      </c>
      <c r="D475" s="13" t="s">
        <v>2277</v>
      </c>
      <c r="E475" s="741">
        <v>24338</v>
      </c>
      <c r="F475" s="23"/>
      <c r="G475" s="21" t="s">
        <v>25</v>
      </c>
      <c r="H475" s="108">
        <v>50</v>
      </c>
      <c r="I475" s="108">
        <v>50</v>
      </c>
      <c r="J475" s="108">
        <v>50</v>
      </c>
      <c r="K475" s="597">
        <v>2.87</v>
      </c>
      <c r="L475" s="688">
        <v>43775</v>
      </c>
      <c r="M475" s="688"/>
      <c r="N475" s="689">
        <v>43775</v>
      </c>
      <c r="O475" s="690">
        <v>2326</v>
      </c>
      <c r="P475" s="22"/>
      <c r="Q475" s="13"/>
      <c r="R475" s="11">
        <v>118</v>
      </c>
      <c r="S475" s="63"/>
      <c r="T475" s="1307"/>
      <c r="U475" s="22"/>
    </row>
    <row r="476" spans="3:21" s="7" customFormat="1" ht="15">
      <c r="C476" s="6"/>
      <c r="D476" s="13"/>
      <c r="E476" s="18" t="s">
        <v>2278</v>
      </c>
      <c r="F476" s="23"/>
      <c r="G476" s="21"/>
      <c r="H476" s="55"/>
      <c r="I476" s="56"/>
      <c r="J476" s="55"/>
      <c r="K476" s="15" t="s">
        <v>8</v>
      </c>
      <c r="L476" s="10"/>
      <c r="M476" s="10"/>
      <c r="N476" s="13"/>
      <c r="O476" s="13"/>
      <c r="P476" s="100"/>
      <c r="Q476" s="100"/>
      <c r="T476" s="1301"/>
      <c r="U476" s="6" t="s">
        <v>3</v>
      </c>
    </row>
    <row r="477" spans="3:21" s="7" customFormat="1" ht="15">
      <c r="C477" s="6" t="s">
        <v>2276</v>
      </c>
      <c r="D477" s="13" t="s">
        <v>2277</v>
      </c>
      <c r="E477" s="739">
        <v>391791</v>
      </c>
      <c r="F477" s="23"/>
      <c r="G477" s="21" t="s">
        <v>25</v>
      </c>
      <c r="H477" s="93">
        <v>13.7</v>
      </c>
      <c r="I477" s="94">
        <v>4</v>
      </c>
      <c r="J477" s="108">
        <f>H477*I477</f>
        <v>54.8</v>
      </c>
      <c r="K477" s="611">
        <v>7.16</v>
      </c>
      <c r="L477" s="688">
        <v>43775</v>
      </c>
      <c r="M477" s="688"/>
      <c r="N477" s="689">
        <v>43775</v>
      </c>
      <c r="O477" s="690">
        <v>2326</v>
      </c>
      <c r="P477" s="22"/>
      <c r="Q477" s="13"/>
      <c r="R477" s="11">
        <v>590</v>
      </c>
      <c r="S477" s="63"/>
      <c r="T477" s="1307"/>
      <c r="U477" s="22"/>
    </row>
    <row r="478" spans="3:21" s="7" customFormat="1" ht="15">
      <c r="C478" s="6"/>
      <c r="D478" s="13"/>
      <c r="E478" s="18" t="s">
        <v>19</v>
      </c>
      <c r="F478" s="23"/>
      <c r="G478" s="21"/>
      <c r="H478" s="55"/>
      <c r="I478" s="56"/>
      <c r="J478" s="55"/>
      <c r="K478" s="15" t="s">
        <v>8</v>
      </c>
      <c r="L478" s="10"/>
      <c r="M478" s="10"/>
      <c r="N478" s="13"/>
      <c r="O478" s="13"/>
      <c r="P478" s="100"/>
      <c r="Q478" s="100"/>
      <c r="T478" s="1301"/>
      <c r="U478" s="6" t="s">
        <v>3</v>
      </c>
    </row>
    <row r="479" spans="3:21" s="7" customFormat="1" ht="15">
      <c r="C479" s="6" t="s">
        <v>2279</v>
      </c>
      <c r="D479" s="13" t="s">
        <v>2277</v>
      </c>
      <c r="E479" s="739">
        <v>261875</v>
      </c>
      <c r="F479" s="23"/>
      <c r="G479" s="21" t="s">
        <v>25</v>
      </c>
      <c r="H479" s="93">
        <v>13.7</v>
      </c>
      <c r="I479" s="94">
        <v>4</v>
      </c>
      <c r="J479" s="108">
        <f>H479*I479</f>
        <v>54.8</v>
      </c>
      <c r="K479" s="597">
        <v>3.34</v>
      </c>
      <c r="L479" s="688">
        <v>43805</v>
      </c>
      <c r="M479" s="688"/>
      <c r="N479" s="689">
        <v>43805</v>
      </c>
      <c r="O479" s="690">
        <v>2327</v>
      </c>
      <c r="P479" s="22"/>
      <c r="Q479" s="13"/>
      <c r="R479" s="11">
        <v>275</v>
      </c>
      <c r="S479" s="63"/>
      <c r="T479" s="1307"/>
      <c r="U479" s="22"/>
    </row>
    <row r="480" spans="3:21" s="7" customFormat="1" ht="15">
      <c r="C480" s="6" t="s">
        <v>2279</v>
      </c>
      <c r="D480" s="13" t="s">
        <v>2277</v>
      </c>
      <c r="E480" s="740" t="s">
        <v>2280</v>
      </c>
      <c r="F480" s="23"/>
      <c r="G480" s="21" t="s">
        <v>25</v>
      </c>
      <c r="H480" s="93">
        <v>13.7</v>
      </c>
      <c r="I480" s="94">
        <v>4</v>
      </c>
      <c r="J480" s="108">
        <f>H480*I480</f>
        <v>54.8</v>
      </c>
      <c r="K480" s="597">
        <v>5.46</v>
      </c>
      <c r="L480" s="688">
        <v>43805</v>
      </c>
      <c r="M480" s="688"/>
      <c r="N480" s="689">
        <v>43805</v>
      </c>
      <c r="O480" s="690">
        <v>2327</v>
      </c>
      <c r="P480" s="22"/>
      <c r="Q480" s="13"/>
      <c r="R480" s="11">
        <v>450</v>
      </c>
      <c r="S480" s="63"/>
      <c r="T480" s="1307"/>
      <c r="U480" s="22"/>
    </row>
    <row r="481" spans="3:21" s="7" customFormat="1" ht="15">
      <c r="C481" s="6" t="s">
        <v>2279</v>
      </c>
      <c r="D481" s="13" t="s">
        <v>2277</v>
      </c>
      <c r="E481" s="740" t="s">
        <v>2281</v>
      </c>
      <c r="F481" s="23"/>
      <c r="G481" s="21" t="s">
        <v>25</v>
      </c>
      <c r="H481" s="93">
        <v>13.7</v>
      </c>
      <c r="I481" s="94">
        <v>4</v>
      </c>
      <c r="J481" s="108">
        <f>H481*I481</f>
        <v>54.8</v>
      </c>
      <c r="K481" s="597">
        <v>2.85</v>
      </c>
      <c r="L481" s="688">
        <v>43805</v>
      </c>
      <c r="M481" s="688"/>
      <c r="N481" s="689">
        <v>43805</v>
      </c>
      <c r="O481" s="690">
        <v>2327</v>
      </c>
      <c r="P481" s="22"/>
      <c r="Q481" s="13"/>
      <c r="R481" s="11">
        <v>235</v>
      </c>
      <c r="S481" s="63"/>
      <c r="T481" s="1307"/>
      <c r="U481" s="22"/>
    </row>
    <row r="482" spans="3:21" s="7" customFormat="1" ht="15">
      <c r="C482" s="6"/>
      <c r="D482" s="13"/>
      <c r="E482" s="18" t="s">
        <v>2278</v>
      </c>
      <c r="F482" s="23"/>
      <c r="G482" s="21"/>
      <c r="H482" s="55"/>
      <c r="I482" s="56"/>
      <c r="J482" s="55"/>
      <c r="K482" s="15" t="s">
        <v>8</v>
      </c>
      <c r="L482" s="10"/>
      <c r="M482" s="10"/>
      <c r="N482" s="13"/>
      <c r="O482" s="13"/>
      <c r="P482" s="100"/>
      <c r="Q482" s="100"/>
      <c r="T482" s="1301"/>
      <c r="U482" s="6" t="s">
        <v>3</v>
      </c>
    </row>
    <row r="483" spans="3:21" s="7" customFormat="1" ht="15">
      <c r="C483" s="6" t="s">
        <v>2279</v>
      </c>
      <c r="D483" s="13" t="s">
        <v>2277</v>
      </c>
      <c r="E483" s="739">
        <v>391790</v>
      </c>
      <c r="F483" s="23"/>
      <c r="G483" s="21" t="s">
        <v>25</v>
      </c>
      <c r="H483" s="93">
        <v>13.7</v>
      </c>
      <c r="I483" s="94">
        <v>4</v>
      </c>
      <c r="J483" s="108">
        <f>H483*I483</f>
        <v>54.8</v>
      </c>
      <c r="K483" s="611">
        <v>7.16</v>
      </c>
      <c r="L483" s="688">
        <v>43805</v>
      </c>
      <c r="M483" s="688"/>
      <c r="N483" s="689">
        <v>43805</v>
      </c>
      <c r="O483" s="690">
        <v>2327</v>
      </c>
      <c r="P483" s="22"/>
      <c r="Q483" s="13"/>
      <c r="R483" s="11">
        <v>590</v>
      </c>
      <c r="S483" s="63"/>
      <c r="T483" s="1307"/>
      <c r="U483" s="22"/>
    </row>
    <row r="484" spans="3:21" ht="18" customHeight="1">
      <c r="C484" s="4"/>
      <c r="D484" s="50"/>
      <c r="E484" s="51" t="s">
        <v>2181</v>
      </c>
      <c r="F484" s="52"/>
      <c r="G484" s="47"/>
      <c r="H484" s="46"/>
      <c r="I484" s="53"/>
      <c r="J484" s="46"/>
      <c r="K484" s="58" t="s">
        <v>8</v>
      </c>
      <c r="L484" s="688"/>
      <c r="M484" s="688"/>
      <c r="N484" s="689"/>
      <c r="O484" s="690"/>
      <c r="P484" s="34"/>
      <c r="Q484" s="50"/>
      <c r="R484"/>
      <c r="S484"/>
      <c r="T484" s="1304"/>
      <c r="U484" s="343"/>
    </row>
    <row r="485" spans="3:21" ht="18" customHeight="1">
      <c r="C485" s="54" t="s">
        <v>2282</v>
      </c>
      <c r="D485" s="50" t="s">
        <v>2173</v>
      </c>
      <c r="E485" s="47" t="s">
        <v>2176</v>
      </c>
      <c r="F485" s="682"/>
      <c r="G485" s="47" t="s">
        <v>2184</v>
      </c>
      <c r="H485" s="46">
        <v>14</v>
      </c>
      <c r="I485" s="53">
        <v>32</v>
      </c>
      <c r="J485" s="55">
        <f>H485*I485</f>
        <v>448</v>
      </c>
      <c r="K485" s="695">
        <v>2.59</v>
      </c>
      <c r="L485" s="688">
        <v>43822</v>
      </c>
      <c r="M485" s="688"/>
      <c r="N485" s="689">
        <v>43822</v>
      </c>
      <c r="O485" s="690">
        <v>2394</v>
      </c>
      <c r="P485" s="34"/>
      <c r="Q485" s="1">
        <v>208</v>
      </c>
      <c r="R485" s="25">
        <v>168</v>
      </c>
      <c r="S485" s="1" t="s">
        <v>2036</v>
      </c>
      <c r="U485" s="4"/>
    </row>
    <row r="486" spans="3:21" ht="18" customHeight="1">
      <c r="C486" s="54" t="s">
        <v>2282</v>
      </c>
      <c r="D486" s="50" t="s">
        <v>2173</v>
      </c>
      <c r="E486" s="47" t="s">
        <v>2176</v>
      </c>
      <c r="F486" s="682"/>
      <c r="G486" s="47" t="s">
        <v>25</v>
      </c>
      <c r="H486" s="46">
        <v>14</v>
      </c>
      <c r="I486" s="53">
        <v>72</v>
      </c>
      <c r="J486" s="55">
        <f>H486*I486</f>
        <v>1008</v>
      </c>
      <c r="K486" s="695">
        <v>2.59</v>
      </c>
      <c r="L486" s="688">
        <v>43822</v>
      </c>
      <c r="M486" s="688"/>
      <c r="N486" s="689">
        <v>43822</v>
      </c>
      <c r="O486" s="690">
        <v>2394</v>
      </c>
      <c r="P486" s="34"/>
      <c r="Q486" s="1">
        <v>208</v>
      </c>
      <c r="R486" s="25">
        <v>168</v>
      </c>
      <c r="S486" s="1" t="s">
        <v>2036</v>
      </c>
      <c r="U486" s="4"/>
    </row>
    <row r="487" spans="3:21" s="7" customFormat="1" ht="15.75">
      <c r="C487" s="6"/>
      <c r="D487" s="13"/>
      <c r="E487" s="18" t="s">
        <v>2181</v>
      </c>
      <c r="F487" s="92"/>
      <c r="G487" s="21"/>
      <c r="H487" s="93"/>
      <c r="I487" s="94"/>
      <c r="J487" s="93"/>
      <c r="K487" s="95" t="s">
        <v>8</v>
      </c>
      <c r="L487" s="720"/>
      <c r="M487" s="720"/>
      <c r="N487" s="721"/>
      <c r="O487" s="722"/>
      <c r="P487" s="40"/>
      <c r="Q487" s="13"/>
      <c r="R487" s="247"/>
      <c r="S487" s="247"/>
      <c r="T487" s="1308"/>
      <c r="U487" s="13"/>
    </row>
    <row r="488" spans="3:21" s="7" customFormat="1" ht="15">
      <c r="C488" s="6" t="s">
        <v>2283</v>
      </c>
      <c r="D488" s="13" t="s">
        <v>1850</v>
      </c>
      <c r="E488" s="21" t="s">
        <v>2284</v>
      </c>
      <c r="F488" s="596"/>
      <c r="G488" s="21" t="s">
        <v>46</v>
      </c>
      <c r="H488" s="93">
        <v>13.7</v>
      </c>
      <c r="I488" s="94">
        <v>1</v>
      </c>
      <c r="J488" s="108">
        <f>H488*I488</f>
        <v>13.7</v>
      </c>
      <c r="K488" s="611">
        <v>1.79</v>
      </c>
      <c r="L488" s="688">
        <v>43776</v>
      </c>
      <c r="M488" s="688"/>
      <c r="N488" s="689">
        <v>43776</v>
      </c>
      <c r="O488" s="690" t="s">
        <v>2285</v>
      </c>
      <c r="P488" s="40"/>
      <c r="Q488" s="7">
        <v>138</v>
      </c>
      <c r="R488" s="11">
        <v>103</v>
      </c>
      <c r="S488" s="7" t="s">
        <v>2254</v>
      </c>
      <c r="T488" s="1301"/>
      <c r="U488" s="6"/>
    </row>
    <row r="489" spans="3:21" s="7" customFormat="1" ht="15">
      <c r="C489" s="6" t="s">
        <v>2283</v>
      </c>
      <c r="D489" s="13" t="s">
        <v>1850</v>
      </c>
      <c r="E489" s="21"/>
      <c r="F489" s="38"/>
      <c r="G489" s="38" t="s">
        <v>13</v>
      </c>
      <c r="H489" s="39" t="s">
        <v>28</v>
      </c>
      <c r="I489" s="94"/>
      <c r="J489" s="93"/>
      <c r="K489" s="611">
        <v>12</v>
      </c>
      <c r="L489" s="688">
        <v>43776</v>
      </c>
      <c r="M489" s="688"/>
      <c r="N489" s="689">
        <v>43776</v>
      </c>
      <c r="O489" s="690" t="s">
        <v>2285</v>
      </c>
      <c r="P489" s="22"/>
      <c r="Q489" s="22"/>
      <c r="T489" s="1301"/>
      <c r="U489" s="6"/>
    </row>
    <row r="490" spans="3:21" s="121" customFormat="1" ht="15.75">
      <c r="C490" s="119"/>
      <c r="D490" s="123"/>
      <c r="E490" s="330" t="s">
        <v>2181</v>
      </c>
      <c r="F490" s="331"/>
      <c r="G490" s="102"/>
      <c r="H490" s="122"/>
      <c r="I490" s="129"/>
      <c r="J490" s="122"/>
      <c r="K490" s="338" t="s">
        <v>8</v>
      </c>
      <c r="L490" s="742"/>
      <c r="M490" s="742"/>
      <c r="N490" s="743"/>
      <c r="O490" s="744"/>
      <c r="P490" s="109"/>
      <c r="Q490" s="123"/>
      <c r="R490" s="745"/>
      <c r="S490" s="745"/>
      <c r="T490" s="1312"/>
      <c r="U490" s="123"/>
    </row>
    <row r="491" spans="3:21" s="121" customFormat="1" ht="15">
      <c r="C491" s="119" t="s">
        <v>2286</v>
      </c>
      <c r="D491" s="123" t="s">
        <v>1850</v>
      </c>
      <c r="E491" s="124" t="s">
        <v>2287</v>
      </c>
      <c r="F491" s="746"/>
      <c r="G491" s="102" t="s">
        <v>46</v>
      </c>
      <c r="H491" s="747">
        <v>50</v>
      </c>
      <c r="I491" s="747">
        <v>50</v>
      </c>
      <c r="J491" s="747">
        <v>50</v>
      </c>
      <c r="K491" s="748">
        <v>1.63</v>
      </c>
      <c r="L491" s="749"/>
      <c r="M491" s="750"/>
      <c r="N491" s="751"/>
      <c r="O491" s="752" t="s">
        <v>32</v>
      </c>
      <c r="P491" s="109"/>
      <c r="Q491" s="121">
        <v>125</v>
      </c>
      <c r="R491" s="130">
        <v>55</v>
      </c>
      <c r="S491" s="121" t="s">
        <v>106</v>
      </c>
      <c r="T491" s="1313"/>
      <c r="U491" s="119"/>
    </row>
    <row r="492" spans="3:21" s="121" customFormat="1" ht="15">
      <c r="C492" s="119" t="s">
        <v>2286</v>
      </c>
      <c r="D492" s="123" t="s">
        <v>1850</v>
      </c>
      <c r="E492" s="102"/>
      <c r="F492" s="105"/>
      <c r="G492" s="105" t="s">
        <v>2288</v>
      </c>
      <c r="H492" s="339" t="s">
        <v>28</v>
      </c>
      <c r="I492" s="129"/>
      <c r="J492" s="122"/>
      <c r="K492" s="748">
        <v>75</v>
      </c>
      <c r="L492" s="753"/>
      <c r="M492" s="754"/>
      <c r="N492" s="755"/>
      <c r="O492" s="756"/>
      <c r="P492" s="334"/>
      <c r="Q492" s="334"/>
      <c r="R492" s="121">
        <v>6000</v>
      </c>
      <c r="T492" s="1313"/>
      <c r="U492" s="119"/>
    </row>
    <row r="493" spans="3:21" s="121" customFormat="1" ht="15">
      <c r="C493" s="119" t="s">
        <v>2286</v>
      </c>
      <c r="D493" s="123" t="s">
        <v>1850</v>
      </c>
      <c r="E493" s="102"/>
      <c r="F493" s="105"/>
      <c r="G493" s="105" t="s">
        <v>13</v>
      </c>
      <c r="H493" s="339" t="s">
        <v>28</v>
      </c>
      <c r="I493" s="129"/>
      <c r="J493" s="122"/>
      <c r="K493" s="748">
        <v>12</v>
      </c>
      <c r="L493" s="757"/>
      <c r="M493" s="758"/>
      <c r="N493" s="759"/>
      <c r="O493" s="760"/>
      <c r="P493" s="334"/>
      <c r="Q493" s="334"/>
      <c r="T493" s="1313"/>
      <c r="U493" s="119"/>
    </row>
    <row r="494" spans="3:21" s="7" customFormat="1" ht="15.75">
      <c r="C494" s="6"/>
      <c r="D494" s="13"/>
      <c r="E494" s="18" t="s">
        <v>2181</v>
      </c>
      <c r="F494" s="92"/>
      <c r="G494" s="21"/>
      <c r="H494" s="93"/>
      <c r="I494" s="94"/>
      <c r="J494" s="93"/>
      <c r="K494" s="95" t="s">
        <v>8</v>
      </c>
      <c r="L494" s="720"/>
      <c r="M494" s="720"/>
      <c r="N494" s="721"/>
      <c r="O494" s="722"/>
      <c r="P494" s="40"/>
      <c r="Q494" s="13"/>
      <c r="R494" s="247"/>
      <c r="S494" s="247"/>
      <c r="T494" s="1308"/>
      <c r="U494" s="13"/>
    </row>
    <row r="495" spans="3:21" s="7" customFormat="1" ht="15">
      <c r="C495" s="6" t="s">
        <v>2289</v>
      </c>
      <c r="D495" s="13" t="s">
        <v>1850</v>
      </c>
      <c r="E495" s="21" t="s">
        <v>68</v>
      </c>
      <c r="F495" s="596"/>
      <c r="G495" s="21" t="s">
        <v>46</v>
      </c>
      <c r="H495" s="163">
        <v>3</v>
      </c>
      <c r="I495" s="163">
        <v>3</v>
      </c>
      <c r="J495" s="163">
        <v>3</v>
      </c>
      <c r="K495" s="611">
        <v>2.61</v>
      </c>
      <c r="L495" s="761"/>
      <c r="M495" s="762"/>
      <c r="N495" s="763"/>
      <c r="O495" s="764" t="s">
        <v>1878</v>
      </c>
      <c r="P495" s="40"/>
      <c r="Q495" s="7">
        <v>201</v>
      </c>
      <c r="R495" s="11">
        <v>161</v>
      </c>
      <c r="S495" s="7" t="s">
        <v>2036</v>
      </c>
      <c r="T495" s="1301"/>
      <c r="U495" s="6"/>
    </row>
    <row r="496" spans="3:21" s="7" customFormat="1" ht="15">
      <c r="C496" s="6" t="s">
        <v>2289</v>
      </c>
      <c r="D496" s="13" t="s">
        <v>1850</v>
      </c>
      <c r="E496" s="21"/>
      <c r="F496" s="38"/>
      <c r="G496" s="38" t="s">
        <v>13</v>
      </c>
      <c r="H496" s="39" t="s">
        <v>28</v>
      </c>
      <c r="I496" s="94"/>
      <c r="J496" s="93"/>
      <c r="K496" s="611">
        <v>12</v>
      </c>
      <c r="L496" s="765"/>
      <c r="M496" s="766"/>
      <c r="N496" s="767"/>
      <c r="O496" s="768"/>
      <c r="P496" s="22"/>
      <c r="Q496" s="22"/>
      <c r="T496" s="1301"/>
      <c r="U496" s="6"/>
    </row>
    <row r="497" spans="3:21" s="7" customFormat="1" ht="15.75">
      <c r="C497" s="6"/>
      <c r="D497" s="13"/>
      <c r="E497" s="18" t="s">
        <v>2181</v>
      </c>
      <c r="F497" s="92"/>
      <c r="G497" s="21"/>
      <c r="H497" s="93"/>
      <c r="I497" s="94"/>
      <c r="J497" s="93"/>
      <c r="K497" s="95" t="s">
        <v>8</v>
      </c>
      <c r="L497" s="720"/>
      <c r="M497" s="720"/>
      <c r="N497" s="721"/>
      <c r="O497" s="722"/>
      <c r="P497" s="40"/>
      <c r="Q497" s="13"/>
      <c r="R497" s="247"/>
      <c r="S497" s="247"/>
      <c r="T497" s="1308"/>
      <c r="U497" s="13"/>
    </row>
    <row r="498" spans="3:21" s="7" customFormat="1" ht="15">
      <c r="C498" s="6" t="s">
        <v>2290</v>
      </c>
      <c r="D498" s="13" t="s">
        <v>2117</v>
      </c>
      <c r="E498" s="21" t="s">
        <v>2291</v>
      </c>
      <c r="F498" s="596"/>
      <c r="G498" s="21" t="s">
        <v>46</v>
      </c>
      <c r="H498" s="163">
        <v>5</v>
      </c>
      <c r="I498" s="163">
        <v>5</v>
      </c>
      <c r="J498" s="163">
        <v>5</v>
      </c>
      <c r="K498" s="611">
        <v>2.61</v>
      </c>
      <c r="L498" s="769"/>
      <c r="M498" s="770"/>
      <c r="N498" s="771"/>
      <c r="O498" s="764" t="s">
        <v>1878</v>
      </c>
      <c r="P498" s="40"/>
      <c r="Q498" s="7">
        <v>201</v>
      </c>
      <c r="R498" s="11">
        <v>161</v>
      </c>
      <c r="S498" s="7" t="s">
        <v>2036</v>
      </c>
      <c r="T498" s="1301"/>
      <c r="U498" s="6"/>
    </row>
    <row r="499" spans="3:21" s="7" customFormat="1" ht="15">
      <c r="C499" s="6" t="s">
        <v>2290</v>
      </c>
      <c r="D499" s="13" t="s">
        <v>2117</v>
      </c>
      <c r="E499" s="21"/>
      <c r="F499" s="38"/>
      <c r="G499" s="38" t="s">
        <v>13</v>
      </c>
      <c r="H499" s="39" t="s">
        <v>28</v>
      </c>
      <c r="I499" s="94"/>
      <c r="J499" s="93"/>
      <c r="K499" s="611">
        <v>12</v>
      </c>
      <c r="L499" s="772"/>
      <c r="M499" s="773"/>
      <c r="N499" s="774"/>
      <c r="O499" s="775"/>
      <c r="P499" s="22"/>
      <c r="Q499" s="22"/>
      <c r="T499" s="1301"/>
      <c r="U499" s="6"/>
    </row>
    <row r="500" spans="3:21" s="7" customFormat="1" ht="18" customHeight="1">
      <c r="C500" s="6"/>
      <c r="D500" s="13"/>
      <c r="E500" s="13" t="s">
        <v>2267</v>
      </c>
      <c r="F500" s="14"/>
      <c r="G500" s="13"/>
      <c r="H500" s="55"/>
      <c r="I500" s="56"/>
      <c r="J500" s="55"/>
      <c r="K500" s="15" t="s">
        <v>8</v>
      </c>
      <c r="L500" s="10"/>
      <c r="M500" s="10"/>
      <c r="N500" s="13"/>
      <c r="O500" s="40"/>
      <c r="P500" s="738"/>
      <c r="Q500" s="100"/>
      <c r="T500" s="1301"/>
      <c r="U500" s="6" t="s">
        <v>3</v>
      </c>
    </row>
    <row r="501" spans="3:21" s="7" customFormat="1" ht="18" customHeight="1">
      <c r="C501" s="6" t="s">
        <v>2292</v>
      </c>
      <c r="D501" s="13" t="s">
        <v>2269</v>
      </c>
      <c r="E501" s="21" t="s">
        <v>2270</v>
      </c>
      <c r="F501" s="134" t="s">
        <v>2271</v>
      </c>
      <c r="G501" s="21" t="s">
        <v>2293</v>
      </c>
      <c r="H501" s="93">
        <v>30</v>
      </c>
      <c r="I501" s="94">
        <v>1</v>
      </c>
      <c r="J501" s="8">
        <v>30</v>
      </c>
      <c r="K501" s="611">
        <v>0.94</v>
      </c>
      <c r="L501" s="688">
        <v>43798</v>
      </c>
      <c r="M501" s="688"/>
      <c r="N501" s="689">
        <v>43798</v>
      </c>
      <c r="O501" s="690" t="s">
        <v>2294</v>
      </c>
      <c r="P501" s="40"/>
      <c r="Q501" s="40"/>
      <c r="R501" s="7">
        <v>62</v>
      </c>
      <c r="T501" s="1301"/>
      <c r="U501" s="6"/>
    </row>
    <row r="502" spans="3:21" s="7" customFormat="1" ht="15">
      <c r="C502" s="6" t="s">
        <v>2292</v>
      </c>
      <c r="D502" s="13" t="s">
        <v>2269</v>
      </c>
      <c r="E502" s="21"/>
      <c r="F502" s="38"/>
      <c r="G502" s="38" t="s">
        <v>13</v>
      </c>
      <c r="H502" s="39" t="s">
        <v>28</v>
      </c>
      <c r="I502" s="94"/>
      <c r="J502" s="93"/>
      <c r="K502" s="611">
        <v>12</v>
      </c>
      <c r="L502" s="688">
        <v>43798</v>
      </c>
      <c r="M502" s="688"/>
      <c r="N502" s="689">
        <v>43798</v>
      </c>
      <c r="O502" s="690" t="s">
        <v>2294</v>
      </c>
      <c r="P502" s="22"/>
      <c r="Q502" s="22"/>
      <c r="T502" s="1301"/>
      <c r="U502" s="6"/>
    </row>
    <row r="503" spans="3:21" s="7" customFormat="1" ht="15.75">
      <c r="C503" s="6"/>
      <c r="D503" s="13"/>
      <c r="E503" s="18" t="s">
        <v>2185</v>
      </c>
      <c r="F503" s="92"/>
      <c r="G503" s="21"/>
      <c r="H503" s="93"/>
      <c r="I503" s="94"/>
      <c r="J503" s="93"/>
      <c r="K503" s="95" t="s">
        <v>8</v>
      </c>
      <c r="L503" s="720"/>
      <c r="M503" s="720"/>
      <c r="N503" s="721"/>
      <c r="O503" s="722"/>
      <c r="P503" s="40"/>
      <c r="Q503" s="13"/>
      <c r="R503" s="247"/>
      <c r="S503" s="247"/>
      <c r="T503" s="1308"/>
      <c r="U503" s="13"/>
    </row>
    <row r="504" spans="3:21" s="7" customFormat="1" ht="15">
      <c r="C504" s="6" t="s">
        <v>2295</v>
      </c>
      <c r="D504" s="13" t="s">
        <v>1850</v>
      </c>
      <c r="E504" s="21" t="s">
        <v>2296</v>
      </c>
      <c r="F504" s="596"/>
      <c r="G504" s="21" t="s">
        <v>46</v>
      </c>
      <c r="H504" s="163">
        <v>3</v>
      </c>
      <c r="I504" s="163">
        <v>3</v>
      </c>
      <c r="J504" s="163">
        <v>3</v>
      </c>
      <c r="K504" s="611">
        <v>2.14</v>
      </c>
      <c r="L504" s="688">
        <v>43801</v>
      </c>
      <c r="M504" s="688"/>
      <c r="N504" s="689">
        <v>43801</v>
      </c>
      <c r="O504" s="690" t="s">
        <v>2297</v>
      </c>
      <c r="P504" s="40"/>
      <c r="Q504" s="7">
        <v>165</v>
      </c>
      <c r="R504" s="11">
        <v>130</v>
      </c>
      <c r="S504" s="7" t="s">
        <v>2254</v>
      </c>
      <c r="T504" s="1301"/>
      <c r="U504" s="6"/>
    </row>
    <row r="505" spans="3:21" s="7" customFormat="1" ht="15">
      <c r="C505" s="6" t="s">
        <v>2295</v>
      </c>
      <c r="D505" s="13" t="s">
        <v>1850</v>
      </c>
      <c r="E505" s="21" t="s">
        <v>2298</v>
      </c>
      <c r="F505" s="596"/>
      <c r="G505" s="21" t="s">
        <v>46</v>
      </c>
      <c r="H505" s="163">
        <v>3</v>
      </c>
      <c r="I505" s="163">
        <v>3</v>
      </c>
      <c r="J505" s="163">
        <v>3</v>
      </c>
      <c r="K505" s="611">
        <v>4.5599999999999996</v>
      </c>
      <c r="L505" s="688">
        <v>43801</v>
      </c>
      <c r="M505" s="688"/>
      <c r="N505" s="689">
        <v>43801</v>
      </c>
      <c r="O505" s="690" t="s">
        <v>2297</v>
      </c>
      <c r="P505" s="40"/>
      <c r="Q505" s="7">
        <v>376</v>
      </c>
      <c r="R505" s="11">
        <v>320</v>
      </c>
      <c r="S505" s="7" t="s">
        <v>2256</v>
      </c>
      <c r="T505" s="1301"/>
      <c r="U505" s="6"/>
    </row>
    <row r="506" spans="3:21" s="7" customFormat="1" ht="15">
      <c r="C506" s="6" t="s">
        <v>2295</v>
      </c>
      <c r="D506" s="13" t="s">
        <v>1850</v>
      </c>
      <c r="E506" s="21"/>
      <c r="F506" s="38"/>
      <c r="G506" s="38" t="s">
        <v>13</v>
      </c>
      <c r="H506" s="39" t="s">
        <v>28</v>
      </c>
      <c r="I506" s="94"/>
      <c r="J506" s="93"/>
      <c r="K506" s="611">
        <v>12</v>
      </c>
      <c r="L506" s="688">
        <v>43801</v>
      </c>
      <c r="M506" s="688"/>
      <c r="N506" s="689">
        <v>43801</v>
      </c>
      <c r="O506" s="690" t="s">
        <v>2297</v>
      </c>
      <c r="P506" s="22"/>
      <c r="Q506" s="22"/>
      <c r="T506" s="1301"/>
      <c r="U506" s="6"/>
    </row>
    <row r="507" spans="3:21" s="7" customFormat="1" ht="15.75">
      <c r="C507" s="6"/>
      <c r="D507" s="13"/>
      <c r="E507" s="18" t="s">
        <v>2181</v>
      </c>
      <c r="F507" s="92"/>
      <c r="G507" s="21"/>
      <c r="H507" s="93"/>
      <c r="I507" s="94"/>
      <c r="J507" s="93"/>
      <c r="K507" s="95" t="s">
        <v>8</v>
      </c>
      <c r="L507" s="720"/>
      <c r="M507" s="720"/>
      <c r="N507" s="721"/>
      <c r="O507" s="722"/>
      <c r="P507" s="40"/>
      <c r="Q507" s="13"/>
      <c r="R507" s="247"/>
      <c r="S507" s="247"/>
      <c r="T507" s="1308"/>
      <c r="U507" s="13"/>
    </row>
    <row r="508" spans="3:21" s="7" customFormat="1" ht="15">
      <c r="C508" s="6" t="s">
        <v>2295</v>
      </c>
      <c r="D508" s="13" t="s">
        <v>1850</v>
      </c>
      <c r="E508" s="21" t="s">
        <v>68</v>
      </c>
      <c r="F508" s="596"/>
      <c r="G508" s="21" t="s">
        <v>46</v>
      </c>
      <c r="H508" s="93">
        <v>13.7</v>
      </c>
      <c r="I508" s="94">
        <v>1</v>
      </c>
      <c r="J508" s="108">
        <f>H508*I508</f>
        <v>13.7</v>
      </c>
      <c r="K508" s="611">
        <v>2.61</v>
      </c>
      <c r="L508" s="688">
        <v>43802</v>
      </c>
      <c r="M508" s="688"/>
      <c r="N508" s="689">
        <v>43802</v>
      </c>
      <c r="O508" s="690" t="s">
        <v>2299</v>
      </c>
      <c r="P508" s="40"/>
      <c r="Q508" s="7">
        <v>201</v>
      </c>
      <c r="R508" s="11">
        <v>161</v>
      </c>
      <c r="S508" s="7" t="s">
        <v>2036</v>
      </c>
      <c r="T508" s="1301"/>
      <c r="U508" s="6"/>
    </row>
    <row r="509" spans="3:21" s="7" customFormat="1" ht="15">
      <c r="C509" s="6" t="s">
        <v>2295</v>
      </c>
      <c r="D509" s="13" t="s">
        <v>1850</v>
      </c>
      <c r="E509" s="21"/>
      <c r="F509" s="38"/>
      <c r="G509" s="38" t="s">
        <v>13</v>
      </c>
      <c r="H509" s="39" t="s">
        <v>28</v>
      </c>
      <c r="I509" s="94"/>
      <c r="J509" s="93"/>
      <c r="K509" s="611">
        <v>12</v>
      </c>
      <c r="L509" s="688">
        <v>43802</v>
      </c>
      <c r="M509" s="688"/>
      <c r="N509" s="689">
        <v>43802</v>
      </c>
      <c r="O509" s="690" t="s">
        <v>2299</v>
      </c>
      <c r="P509" s="22"/>
      <c r="Q509" s="22"/>
      <c r="T509" s="1301"/>
      <c r="U509" s="6"/>
    </row>
    <row r="510" spans="3:21" s="7" customFormat="1" ht="15.75">
      <c r="C510" s="6"/>
      <c r="D510" s="13"/>
      <c r="E510" s="18" t="s">
        <v>2185</v>
      </c>
      <c r="F510" s="92"/>
      <c r="G510" s="21"/>
      <c r="H510" s="93"/>
      <c r="I510" s="94"/>
      <c r="J510" s="93"/>
      <c r="K510" s="95" t="s">
        <v>8</v>
      </c>
      <c r="L510" s="720"/>
      <c r="M510" s="720"/>
      <c r="N510" s="721"/>
      <c r="O510" s="722"/>
      <c r="P510" s="40"/>
      <c r="Q510" s="13"/>
      <c r="R510" s="247"/>
      <c r="S510" s="247"/>
      <c r="T510" s="1308"/>
      <c r="U510" s="13"/>
    </row>
    <row r="511" spans="3:21" s="7" customFormat="1" ht="15">
      <c r="C511" s="6" t="s">
        <v>2300</v>
      </c>
      <c r="D511" s="13" t="s">
        <v>1850</v>
      </c>
      <c r="E511" s="21" t="s">
        <v>2296</v>
      </c>
      <c r="F511" s="596"/>
      <c r="G511" s="21" t="s">
        <v>46</v>
      </c>
      <c r="H511" s="163">
        <v>5</v>
      </c>
      <c r="I511" s="163">
        <v>5</v>
      </c>
      <c r="J511" s="163">
        <v>5</v>
      </c>
      <c r="K511" s="611">
        <v>2.14</v>
      </c>
      <c r="L511" s="688">
        <v>43818</v>
      </c>
      <c r="M511" s="688"/>
      <c r="N511" s="689">
        <v>43818</v>
      </c>
      <c r="O511" s="690" t="s">
        <v>2301</v>
      </c>
      <c r="P511" s="40"/>
      <c r="Q511" s="7">
        <v>165</v>
      </c>
      <c r="R511" s="11">
        <v>130</v>
      </c>
      <c r="S511" s="7" t="s">
        <v>2254</v>
      </c>
      <c r="T511" s="1301"/>
      <c r="U511" s="6"/>
    </row>
    <row r="512" spans="3:21" s="7" customFormat="1" ht="15">
      <c r="C512" s="6" t="s">
        <v>2300</v>
      </c>
      <c r="D512" s="13" t="s">
        <v>1850</v>
      </c>
      <c r="E512" s="21" t="s">
        <v>2298</v>
      </c>
      <c r="F512" s="596"/>
      <c r="G512" s="21" t="s">
        <v>46</v>
      </c>
      <c r="H512" s="163">
        <v>5</v>
      </c>
      <c r="I512" s="163">
        <v>5</v>
      </c>
      <c r="J512" s="163">
        <v>5</v>
      </c>
      <c r="K512" s="611">
        <v>4.5599999999999996</v>
      </c>
      <c r="L512" s="688">
        <v>43818</v>
      </c>
      <c r="M512" s="688"/>
      <c r="N512" s="689">
        <v>43818</v>
      </c>
      <c r="O512" s="690" t="s">
        <v>2301</v>
      </c>
      <c r="P512" s="40"/>
      <c r="Q512" s="7">
        <v>376</v>
      </c>
      <c r="R512" s="11">
        <v>320</v>
      </c>
      <c r="S512" s="7" t="s">
        <v>2256</v>
      </c>
      <c r="T512" s="1301"/>
      <c r="U512" s="6"/>
    </row>
    <row r="513" spans="3:23" s="7" customFormat="1" ht="15">
      <c r="C513" s="6" t="s">
        <v>2300</v>
      </c>
      <c r="D513" s="13" t="s">
        <v>1850</v>
      </c>
      <c r="E513" s="21"/>
      <c r="F513" s="38"/>
      <c r="G513" s="38" t="s">
        <v>13</v>
      </c>
      <c r="H513" s="39" t="s">
        <v>28</v>
      </c>
      <c r="I513" s="94"/>
      <c r="J513" s="93"/>
      <c r="K513" s="611">
        <v>12</v>
      </c>
      <c r="L513" s="688">
        <v>43818</v>
      </c>
      <c r="M513" s="688"/>
      <c r="N513" s="689">
        <v>43818</v>
      </c>
      <c r="O513" s="690" t="s">
        <v>2301</v>
      </c>
      <c r="P513" s="22"/>
      <c r="Q513" s="22"/>
      <c r="T513" s="1301"/>
      <c r="U513" s="6"/>
    </row>
    <row r="514" spans="3:23" s="7" customFormat="1" ht="15">
      <c r="C514" s="6"/>
      <c r="D514" s="13"/>
      <c r="E514" s="18" t="s">
        <v>19</v>
      </c>
      <c r="F514" s="23"/>
      <c r="G514" s="21"/>
      <c r="H514" s="55"/>
      <c r="I514" s="56"/>
      <c r="J514" s="55"/>
      <c r="K514" s="15" t="s">
        <v>8</v>
      </c>
      <c r="L514" s="10"/>
      <c r="M514" s="10"/>
      <c r="N514" s="13"/>
      <c r="O514" s="13"/>
      <c r="P514" s="100"/>
      <c r="Q514" s="100"/>
      <c r="T514" s="1301"/>
      <c r="U514" s="6" t="s">
        <v>3</v>
      </c>
    </row>
    <row r="515" spans="3:23" s="7" customFormat="1" ht="15">
      <c r="C515" s="6" t="s">
        <v>2302</v>
      </c>
      <c r="D515" s="13" t="s">
        <v>1850</v>
      </c>
      <c r="E515" s="21" t="s">
        <v>232</v>
      </c>
      <c r="F515" s="23"/>
      <c r="G515" s="21" t="s">
        <v>2231</v>
      </c>
      <c r="H515" s="93">
        <v>14</v>
      </c>
      <c r="I515" s="35">
        <v>11</v>
      </c>
      <c r="J515" s="163">
        <f>H515*I515</f>
        <v>154</v>
      </c>
      <c r="K515" s="611">
        <v>1.57</v>
      </c>
      <c r="L515" s="688">
        <v>43840</v>
      </c>
      <c r="M515" s="688"/>
      <c r="N515" s="689">
        <v>43840</v>
      </c>
      <c r="O515" s="690" t="s">
        <v>2303</v>
      </c>
      <c r="P515" s="22"/>
      <c r="Q515" s="13"/>
      <c r="R515" s="591" t="s">
        <v>2233</v>
      </c>
      <c r="S515" s="63" t="s">
        <v>44</v>
      </c>
      <c r="T515" s="1307"/>
      <c r="U515" s="22"/>
      <c r="V515" s="7" t="s">
        <v>2234</v>
      </c>
    </row>
    <row r="516" spans="3:23" s="7" customFormat="1" ht="15">
      <c r="C516" s="6" t="s">
        <v>2302</v>
      </c>
      <c r="D516" s="13" t="s">
        <v>1850</v>
      </c>
      <c r="E516" s="21" t="s">
        <v>232</v>
      </c>
      <c r="F516" s="23"/>
      <c r="G516" s="21" t="s">
        <v>1926</v>
      </c>
      <c r="H516" s="93">
        <v>14</v>
      </c>
      <c r="I516" s="35">
        <v>23</v>
      </c>
      <c r="J516" s="163">
        <f>H516*I516</f>
        <v>322</v>
      </c>
      <c r="K516" s="611">
        <v>1.57</v>
      </c>
      <c r="L516" s="688">
        <v>43840</v>
      </c>
      <c r="M516" s="688"/>
      <c r="N516" s="689">
        <v>43840</v>
      </c>
      <c r="O516" s="690" t="s">
        <v>2303</v>
      </c>
      <c r="P516" s="22"/>
      <c r="Q516" s="13"/>
      <c r="R516" s="591" t="s">
        <v>2233</v>
      </c>
      <c r="S516" s="63" t="s">
        <v>44</v>
      </c>
      <c r="T516" s="1307"/>
      <c r="U516" s="22"/>
      <c r="V516" s="7" t="s">
        <v>2234</v>
      </c>
    </row>
    <row r="517" spans="3:23" s="7" customFormat="1" ht="15">
      <c r="C517" s="6"/>
      <c r="D517" s="13"/>
      <c r="E517" s="18" t="s">
        <v>2185</v>
      </c>
      <c r="F517" s="23"/>
      <c r="G517" s="21"/>
      <c r="H517" s="55"/>
      <c r="I517" s="56"/>
      <c r="J517" s="55"/>
      <c r="K517" s="15" t="s">
        <v>8</v>
      </c>
      <c r="L517" s="10"/>
      <c r="M517" s="10"/>
      <c r="N517" s="13"/>
      <c r="O517" s="13"/>
      <c r="P517" s="100"/>
      <c r="Q517" s="100"/>
      <c r="T517" s="1301"/>
      <c r="U517" s="6" t="s">
        <v>3</v>
      </c>
    </row>
    <row r="518" spans="3:23" s="7" customFormat="1" ht="15">
      <c r="C518" s="6" t="s">
        <v>2304</v>
      </c>
      <c r="D518" s="13" t="s">
        <v>2269</v>
      </c>
      <c r="E518" s="21" t="s">
        <v>2305</v>
      </c>
      <c r="F518" s="23"/>
      <c r="G518" s="21" t="s">
        <v>46</v>
      </c>
      <c r="H518" s="93">
        <v>13.7</v>
      </c>
      <c r="I518" s="35">
        <v>1</v>
      </c>
      <c r="J518" s="108">
        <f>H518*I518</f>
        <v>13.7</v>
      </c>
      <c r="K518" s="611">
        <v>3.19</v>
      </c>
      <c r="L518" s="688">
        <v>43851</v>
      </c>
      <c r="M518" s="688"/>
      <c r="N518" s="689">
        <v>43851</v>
      </c>
      <c r="O518" s="690" t="s">
        <v>2306</v>
      </c>
      <c r="P518" s="22"/>
      <c r="Q518" s="13">
        <v>245</v>
      </c>
      <c r="R518" s="591">
        <v>210</v>
      </c>
      <c r="S518" s="63" t="s">
        <v>2254</v>
      </c>
      <c r="T518" s="1307"/>
      <c r="U518" s="22"/>
    </row>
    <row r="519" spans="3:23" s="7" customFormat="1" ht="15">
      <c r="C519" s="6" t="s">
        <v>2304</v>
      </c>
      <c r="D519" s="13" t="s">
        <v>2269</v>
      </c>
      <c r="E519" s="21" t="s">
        <v>2307</v>
      </c>
      <c r="F519" s="23"/>
      <c r="G519" s="21" t="s">
        <v>46</v>
      </c>
      <c r="H519" s="93">
        <v>13.7</v>
      </c>
      <c r="I519" s="35">
        <v>1</v>
      </c>
      <c r="J519" s="108">
        <f>H519*I519</f>
        <v>13.7</v>
      </c>
      <c r="K519" s="611">
        <v>7.22</v>
      </c>
      <c r="L519" s="688">
        <v>43851</v>
      </c>
      <c r="M519" s="688"/>
      <c r="N519" s="689">
        <v>43851</v>
      </c>
      <c r="O519" s="690" t="s">
        <v>2306</v>
      </c>
      <c r="P519" s="22"/>
      <c r="Q519" s="13">
        <v>581</v>
      </c>
      <c r="R519" s="591">
        <v>525</v>
      </c>
      <c r="S519" s="63" t="s">
        <v>2256</v>
      </c>
      <c r="T519" s="1307"/>
      <c r="U519" s="22"/>
      <c r="W519" s="22"/>
    </row>
    <row r="520" spans="3:23" s="7" customFormat="1" ht="15">
      <c r="C520" s="6" t="s">
        <v>2304</v>
      </c>
      <c r="D520" s="13" t="s">
        <v>2269</v>
      </c>
      <c r="E520" s="21" t="s">
        <v>2308</v>
      </c>
      <c r="F520" s="23"/>
      <c r="G520" s="21" t="s">
        <v>46</v>
      </c>
      <c r="H520" s="93">
        <v>14</v>
      </c>
      <c r="I520" s="35">
        <v>1</v>
      </c>
      <c r="J520" s="108">
        <f>H520*I520</f>
        <v>14</v>
      </c>
      <c r="K520" s="611">
        <v>1.43</v>
      </c>
      <c r="L520" s="688">
        <v>43851</v>
      </c>
      <c r="M520" s="688"/>
      <c r="N520" s="689">
        <v>43851</v>
      </c>
      <c r="O520" s="690" t="s">
        <v>2306</v>
      </c>
      <c r="P520" s="22"/>
      <c r="Q520" s="13">
        <v>110</v>
      </c>
      <c r="R520" s="591">
        <v>80</v>
      </c>
      <c r="S520" s="63" t="s">
        <v>44</v>
      </c>
      <c r="T520" s="1307"/>
    </row>
    <row r="521" spans="3:23" s="7" customFormat="1" ht="15">
      <c r="C521" s="6" t="s">
        <v>2304</v>
      </c>
      <c r="D521" s="13" t="s">
        <v>2269</v>
      </c>
      <c r="E521" s="21"/>
      <c r="F521" s="38"/>
      <c r="G521" s="38" t="s">
        <v>13</v>
      </c>
      <c r="H521" s="39" t="s">
        <v>21</v>
      </c>
      <c r="I521" s="94"/>
      <c r="J521" s="93"/>
      <c r="K521" s="611">
        <v>12</v>
      </c>
      <c r="L521" s="688">
        <v>43851</v>
      </c>
      <c r="M521" s="688"/>
      <c r="N521" s="689">
        <v>43851</v>
      </c>
      <c r="O521" s="690" t="s">
        <v>2306</v>
      </c>
      <c r="P521" s="22"/>
      <c r="Q521" s="22"/>
      <c r="T521" s="1301"/>
      <c r="U521" s="6"/>
    </row>
    <row r="522" spans="3:23" s="7" customFormat="1" ht="15">
      <c r="C522" s="6"/>
      <c r="D522" s="13"/>
      <c r="E522" s="18" t="s">
        <v>2185</v>
      </c>
      <c r="F522" s="23"/>
      <c r="G522" s="21"/>
      <c r="H522" s="55"/>
      <c r="I522" s="56"/>
      <c r="J522" s="55"/>
      <c r="K522" s="15" t="s">
        <v>8</v>
      </c>
      <c r="L522" s="10"/>
      <c r="M522" s="10"/>
      <c r="N522" s="13"/>
      <c r="O522" s="13"/>
      <c r="P522" s="100"/>
      <c r="Q522" s="100"/>
      <c r="T522" s="1301"/>
      <c r="U522" s="6" t="s">
        <v>3</v>
      </c>
    </row>
    <row r="523" spans="3:23" s="7" customFormat="1" ht="15">
      <c r="C523" s="6" t="s">
        <v>2309</v>
      </c>
      <c r="D523" s="13" t="s">
        <v>1880</v>
      </c>
      <c r="E523" s="21" t="s">
        <v>2310</v>
      </c>
      <c r="F523" s="23"/>
      <c r="G523" s="21" t="s">
        <v>46</v>
      </c>
      <c r="H523" s="108">
        <v>4</v>
      </c>
      <c r="I523" s="108">
        <v>4</v>
      </c>
      <c r="J523" s="108">
        <v>4</v>
      </c>
      <c r="K523" s="611">
        <v>3.79</v>
      </c>
      <c r="L523" s="688">
        <v>43854</v>
      </c>
      <c r="M523" s="688"/>
      <c r="N523" s="689">
        <v>43854</v>
      </c>
      <c r="O523" s="690" t="s">
        <v>2311</v>
      </c>
      <c r="P523" s="22"/>
      <c r="Q523" s="13">
        <v>305</v>
      </c>
      <c r="R523" s="591">
        <v>275</v>
      </c>
      <c r="S523" s="63" t="s">
        <v>44</v>
      </c>
      <c r="T523" s="1307"/>
      <c r="U523" s="22"/>
    </row>
    <row r="524" spans="3:23" s="7" customFormat="1" ht="15">
      <c r="C524" s="6" t="s">
        <v>2309</v>
      </c>
      <c r="D524" s="13" t="s">
        <v>1880</v>
      </c>
      <c r="E524" s="21" t="s">
        <v>2312</v>
      </c>
      <c r="F524" s="23"/>
      <c r="G524" s="21" t="s">
        <v>46</v>
      </c>
      <c r="H524" s="108">
        <v>4</v>
      </c>
      <c r="I524" s="108">
        <v>4</v>
      </c>
      <c r="J524" s="108">
        <v>4</v>
      </c>
      <c r="K524" s="611">
        <v>3.11</v>
      </c>
      <c r="L524" s="688">
        <v>43854</v>
      </c>
      <c r="M524" s="688"/>
      <c r="N524" s="689">
        <v>43854</v>
      </c>
      <c r="O524" s="690" t="s">
        <v>2311</v>
      </c>
      <c r="P524" s="22"/>
      <c r="Q524" s="13">
        <v>250</v>
      </c>
      <c r="R524" s="591">
        <v>220</v>
      </c>
      <c r="S524" s="63" t="s">
        <v>44</v>
      </c>
      <c r="T524" s="1307"/>
      <c r="U524" s="22"/>
    </row>
    <row r="525" spans="3:23" s="7" customFormat="1" ht="15">
      <c r="C525" s="6" t="s">
        <v>2309</v>
      </c>
      <c r="D525" s="13" t="s">
        <v>1880</v>
      </c>
      <c r="E525" s="21"/>
      <c r="F525" s="38"/>
      <c r="G525" s="38" t="s">
        <v>13</v>
      </c>
      <c r="H525" s="39" t="s">
        <v>28</v>
      </c>
      <c r="I525" s="94"/>
      <c r="J525" s="93"/>
      <c r="K525" s="611">
        <v>12</v>
      </c>
      <c r="L525" s="688">
        <v>43854</v>
      </c>
      <c r="M525" s="688"/>
      <c r="N525" s="689">
        <v>43854</v>
      </c>
      <c r="O525" s="690" t="s">
        <v>2311</v>
      </c>
      <c r="P525" s="22"/>
      <c r="Q525" s="22"/>
      <c r="T525" s="1301"/>
      <c r="U525" s="6"/>
    </row>
    <row r="526" spans="3:23" s="7" customFormat="1" ht="15">
      <c r="C526" s="6"/>
      <c r="D526" s="13"/>
      <c r="E526" s="18" t="s">
        <v>270</v>
      </c>
      <c r="F526" s="23"/>
      <c r="G526" s="21"/>
      <c r="H526" s="55"/>
      <c r="I526" s="56"/>
      <c r="J526" s="55"/>
      <c r="K526" s="15" t="s">
        <v>8</v>
      </c>
      <c r="L526" s="10"/>
      <c r="M526" s="10"/>
      <c r="N526" s="13"/>
      <c r="O526" s="13"/>
      <c r="P526" s="100"/>
      <c r="Q526" s="100"/>
      <c r="T526" s="1301"/>
      <c r="U526" s="6" t="s">
        <v>3</v>
      </c>
    </row>
    <row r="527" spans="3:23" s="7" customFormat="1" ht="15">
      <c r="C527" s="6" t="s">
        <v>2313</v>
      </c>
      <c r="D527" s="13" t="s">
        <v>2314</v>
      </c>
      <c r="E527" s="21" t="s">
        <v>2310</v>
      </c>
      <c r="F527" s="23"/>
      <c r="G527" s="21" t="s">
        <v>46</v>
      </c>
      <c r="H527" s="93">
        <v>13.7</v>
      </c>
      <c r="I527" s="35">
        <v>16</v>
      </c>
      <c r="J527" s="108">
        <f>H527*I527</f>
        <v>219.2</v>
      </c>
      <c r="K527" s="611">
        <v>3.79</v>
      </c>
      <c r="L527" s="688">
        <v>43869</v>
      </c>
      <c r="M527" s="688"/>
      <c r="N527" s="689">
        <v>43869</v>
      </c>
      <c r="O527" s="690">
        <v>2455</v>
      </c>
      <c r="P527" s="22"/>
      <c r="Q527" s="13">
        <v>305</v>
      </c>
      <c r="R527" s="591">
        <v>275</v>
      </c>
      <c r="S527" s="63" t="s">
        <v>44</v>
      </c>
      <c r="T527" s="1307"/>
      <c r="U527" s="22"/>
    </row>
    <row r="528" spans="3:23" s="7" customFormat="1" ht="15">
      <c r="C528" s="6" t="s">
        <v>2313</v>
      </c>
      <c r="D528" s="13" t="s">
        <v>2314</v>
      </c>
      <c r="E528" s="21" t="s">
        <v>2310</v>
      </c>
      <c r="F528" s="23"/>
      <c r="G528" s="21" t="s">
        <v>46</v>
      </c>
      <c r="H528" s="93">
        <v>13.7</v>
      </c>
      <c r="I528" s="35">
        <v>3</v>
      </c>
      <c r="J528" s="108">
        <f>H528*I528</f>
        <v>41.099999999999994</v>
      </c>
      <c r="K528" s="611">
        <v>3.79</v>
      </c>
      <c r="L528" s="688">
        <v>43878</v>
      </c>
      <c r="M528" s="688"/>
      <c r="N528" s="689">
        <v>43878</v>
      </c>
      <c r="O528" s="690" t="s">
        <v>2315</v>
      </c>
      <c r="P528" s="22"/>
      <c r="Q528" s="13">
        <v>305</v>
      </c>
      <c r="R528" s="591">
        <v>275</v>
      </c>
      <c r="S528" s="63" t="s">
        <v>44</v>
      </c>
      <c r="T528" s="1307"/>
      <c r="U528" s="22"/>
    </row>
    <row r="529" spans="3:21" s="7" customFormat="1" ht="15.6" customHeight="1">
      <c r="C529" s="6" t="s">
        <v>2316</v>
      </c>
      <c r="D529" s="13" t="s">
        <v>2314</v>
      </c>
      <c r="E529" s="21" t="s">
        <v>2312</v>
      </c>
      <c r="F529" s="23"/>
      <c r="G529" s="21" t="s">
        <v>46</v>
      </c>
      <c r="H529" s="93">
        <v>13.7</v>
      </c>
      <c r="I529" s="35">
        <v>20</v>
      </c>
      <c r="J529" s="108">
        <f>H529*I529</f>
        <v>274</v>
      </c>
      <c r="K529" s="611">
        <v>3.11</v>
      </c>
      <c r="L529" s="688">
        <v>43869</v>
      </c>
      <c r="M529" s="688"/>
      <c r="N529" s="689">
        <v>43869</v>
      </c>
      <c r="O529" s="690">
        <v>2455</v>
      </c>
      <c r="P529" s="22"/>
      <c r="Q529" s="13">
        <v>250</v>
      </c>
      <c r="R529" s="591">
        <v>220</v>
      </c>
      <c r="S529" s="63" t="s">
        <v>44</v>
      </c>
      <c r="T529" s="1307"/>
      <c r="U529" s="22"/>
    </row>
    <row r="530" spans="3:21" ht="18" customHeight="1">
      <c r="C530" s="4"/>
      <c r="D530" s="50"/>
      <c r="E530" s="51" t="s">
        <v>1906</v>
      </c>
      <c r="F530" s="52"/>
      <c r="G530" s="47"/>
      <c r="H530" s="46"/>
      <c r="I530" s="53"/>
      <c r="J530" s="46"/>
      <c r="K530" s="58" t="s">
        <v>8</v>
      </c>
      <c r="L530" s="688"/>
      <c r="M530" s="688"/>
      <c r="N530" s="689"/>
      <c r="O530" s="690"/>
      <c r="P530" s="34"/>
      <c r="Q530" s="50"/>
      <c r="U530" s="343"/>
    </row>
    <row r="531" spans="3:21" ht="18" customHeight="1">
      <c r="C531" s="54" t="s">
        <v>2317</v>
      </c>
      <c r="D531" s="54" t="s">
        <v>1908</v>
      </c>
      <c r="E531" s="47" t="s">
        <v>2318</v>
      </c>
      <c r="F531" s="682"/>
      <c r="G531" s="47" t="s">
        <v>1910</v>
      </c>
      <c r="H531" s="46">
        <v>100</v>
      </c>
      <c r="I531" s="53">
        <v>1</v>
      </c>
      <c r="J531" s="46">
        <v>100</v>
      </c>
      <c r="K531" s="776">
        <v>0.15</v>
      </c>
      <c r="L531" s="688">
        <v>43857</v>
      </c>
      <c r="M531" s="688"/>
      <c r="N531" s="689">
        <v>43857</v>
      </c>
      <c r="O531" s="694" t="s">
        <v>2319</v>
      </c>
      <c r="P531" s="34"/>
      <c r="Q531" s="683"/>
      <c r="R531" s="1">
        <v>9.5</v>
      </c>
      <c r="U531" s="4"/>
    </row>
    <row r="532" spans="3:21" ht="18" customHeight="1">
      <c r="C532" s="54" t="s">
        <v>2317</v>
      </c>
      <c r="D532" s="54" t="s">
        <v>1908</v>
      </c>
      <c r="E532" s="47" t="s">
        <v>1909</v>
      </c>
      <c r="F532" s="682"/>
      <c r="G532" s="47" t="s">
        <v>1910</v>
      </c>
      <c r="H532" s="46">
        <v>100</v>
      </c>
      <c r="I532" s="53">
        <v>1</v>
      </c>
      <c r="J532" s="46">
        <v>100</v>
      </c>
      <c r="K532" s="776">
        <v>0.25</v>
      </c>
      <c r="L532" s="688">
        <v>43857</v>
      </c>
      <c r="M532" s="688"/>
      <c r="N532" s="689">
        <v>43857</v>
      </c>
      <c r="O532" s="694" t="s">
        <v>2319</v>
      </c>
      <c r="P532" s="34"/>
      <c r="Q532" s="683"/>
      <c r="R532" s="1">
        <v>15.9</v>
      </c>
      <c r="U532" s="4"/>
    </row>
    <row r="533" spans="3:21" ht="18" customHeight="1">
      <c r="C533" s="54" t="s">
        <v>2317</v>
      </c>
      <c r="D533" s="54" t="s">
        <v>1908</v>
      </c>
      <c r="E533" s="47"/>
      <c r="F533" s="59"/>
      <c r="G533" s="59" t="s">
        <v>13</v>
      </c>
      <c r="H533" s="30">
        <v>1</v>
      </c>
      <c r="I533" s="53"/>
      <c r="J533" s="46"/>
      <c r="K533" s="776">
        <v>12</v>
      </c>
      <c r="L533" s="688">
        <v>43857</v>
      </c>
      <c r="M533" s="688"/>
      <c r="N533" s="689">
        <v>43857</v>
      </c>
      <c r="O533" s="694" t="s">
        <v>2319</v>
      </c>
      <c r="P533" s="34"/>
      <c r="Q533" s="683"/>
      <c r="R533"/>
      <c r="U533" s="4"/>
    </row>
    <row r="534" spans="3:21" s="725" customFormat="1" ht="15" customHeight="1">
      <c r="C534" s="726"/>
      <c r="D534" s="727"/>
      <c r="E534" s="777" t="s">
        <v>19</v>
      </c>
      <c r="F534" s="778"/>
      <c r="G534" s="730"/>
      <c r="H534" s="779"/>
      <c r="I534" s="780"/>
      <c r="J534" s="779"/>
      <c r="K534" s="781" t="s">
        <v>8</v>
      </c>
      <c r="L534" s="782"/>
      <c r="M534" s="783"/>
      <c r="N534" s="784"/>
      <c r="O534" s="785" t="s">
        <v>32</v>
      </c>
      <c r="P534" s="786"/>
      <c r="Q534" s="786"/>
      <c r="T534" s="1310"/>
      <c r="U534" s="726" t="s">
        <v>3</v>
      </c>
    </row>
    <row r="535" spans="3:21" s="725" customFormat="1" ht="15" customHeight="1">
      <c r="C535" s="726" t="s">
        <v>2320</v>
      </c>
      <c r="D535" s="727" t="s">
        <v>2277</v>
      </c>
      <c r="E535" s="787">
        <v>25589</v>
      </c>
      <c r="F535" s="778"/>
      <c r="G535" s="730" t="s">
        <v>25</v>
      </c>
      <c r="H535" s="731">
        <v>13.7</v>
      </c>
      <c r="I535" s="788">
        <v>3</v>
      </c>
      <c r="J535" s="789">
        <f>H535*I535</f>
        <v>41.099999999999994</v>
      </c>
      <c r="K535" s="790">
        <v>2.79</v>
      </c>
      <c r="L535" s="791"/>
      <c r="M535" s="792"/>
      <c r="N535" s="793"/>
      <c r="O535" s="794"/>
      <c r="P535" s="795"/>
      <c r="Q535" s="727"/>
      <c r="R535" s="796">
        <v>230</v>
      </c>
      <c r="S535" s="797"/>
      <c r="T535" s="1314"/>
      <c r="U535" s="795"/>
    </row>
    <row r="536" spans="3:21" s="725" customFormat="1" ht="15" customHeight="1">
      <c r="C536" s="726" t="s">
        <v>2320</v>
      </c>
      <c r="D536" s="727" t="s">
        <v>2277</v>
      </c>
      <c r="E536" s="798">
        <v>25589</v>
      </c>
      <c r="F536" s="778"/>
      <c r="G536" s="730" t="s">
        <v>25</v>
      </c>
      <c r="H536" s="731">
        <v>13.7</v>
      </c>
      <c r="I536" s="788">
        <v>12</v>
      </c>
      <c r="J536" s="789">
        <f>H536*I536</f>
        <v>164.39999999999998</v>
      </c>
      <c r="K536" s="790">
        <v>2.79</v>
      </c>
      <c r="L536" s="791"/>
      <c r="M536" s="792"/>
      <c r="N536" s="793"/>
      <c r="O536" s="794"/>
      <c r="P536" s="795"/>
      <c r="Q536" s="727"/>
      <c r="R536" s="796">
        <v>230</v>
      </c>
      <c r="S536" s="797"/>
      <c r="T536" s="1314"/>
      <c r="U536" s="795"/>
    </row>
    <row r="537" spans="3:21" s="799" customFormat="1" ht="18" customHeight="1">
      <c r="C537" s="726" t="s">
        <v>2320</v>
      </c>
      <c r="D537" s="727" t="s">
        <v>2277</v>
      </c>
      <c r="E537" s="800"/>
      <c r="F537" s="801"/>
      <c r="G537" s="801" t="s">
        <v>13</v>
      </c>
      <c r="H537" s="802">
        <v>1</v>
      </c>
      <c r="I537" s="803"/>
      <c r="J537" s="804"/>
      <c r="K537" s="805">
        <v>12</v>
      </c>
      <c r="L537" s="806"/>
      <c r="M537" s="807"/>
      <c r="N537" s="808"/>
      <c r="O537" s="809"/>
      <c r="P537" s="810"/>
      <c r="Q537" s="811"/>
      <c r="R537" s="812"/>
      <c r="T537" s="1315"/>
      <c r="U537" s="813"/>
    </row>
    <row r="538" spans="3:21" s="7" customFormat="1" ht="18" customHeight="1">
      <c r="C538" s="6"/>
      <c r="D538" s="13"/>
      <c r="E538" s="18" t="s">
        <v>60</v>
      </c>
      <c r="F538" s="92"/>
      <c r="G538" s="21"/>
      <c r="H538" s="93"/>
      <c r="I538" s="94"/>
      <c r="J538" s="93"/>
      <c r="K538" s="95" t="s">
        <v>8</v>
      </c>
      <c r="L538" s="720"/>
      <c r="M538" s="720"/>
      <c r="N538" s="721"/>
      <c r="O538" s="722"/>
      <c r="P538" s="40"/>
      <c r="Q538" s="13"/>
      <c r="R538" s="247"/>
      <c r="S538" s="247"/>
      <c r="T538" s="1308"/>
      <c r="U538" s="13"/>
    </row>
    <row r="539" spans="3:21" s="7" customFormat="1" ht="18" customHeight="1">
      <c r="C539" s="6" t="s">
        <v>2320</v>
      </c>
      <c r="D539" s="13" t="s">
        <v>2149</v>
      </c>
      <c r="E539" s="21" t="s">
        <v>2048</v>
      </c>
      <c r="F539" s="596"/>
      <c r="G539" s="21" t="s">
        <v>25</v>
      </c>
      <c r="H539" s="93">
        <v>13.7</v>
      </c>
      <c r="I539" s="94">
        <v>15</v>
      </c>
      <c r="J539" s="17">
        <f>H539*I539</f>
        <v>205.5</v>
      </c>
      <c r="K539" s="611">
        <v>6.2</v>
      </c>
      <c r="L539" s="688">
        <v>43866</v>
      </c>
      <c r="M539" s="688"/>
      <c r="N539" s="689">
        <v>43866</v>
      </c>
      <c r="O539" s="690">
        <v>2453</v>
      </c>
      <c r="P539" s="40"/>
      <c r="Q539" s="7">
        <v>520</v>
      </c>
      <c r="R539" s="11">
        <v>480</v>
      </c>
      <c r="S539" s="7" t="s">
        <v>2036</v>
      </c>
      <c r="T539" s="1301"/>
      <c r="U539" s="6"/>
    </row>
    <row r="540" spans="3:21" s="7" customFormat="1" ht="18" customHeight="1">
      <c r="C540" s="6" t="s">
        <v>2321</v>
      </c>
      <c r="D540" s="13" t="s">
        <v>2149</v>
      </c>
      <c r="E540" s="21" t="s">
        <v>2048</v>
      </c>
      <c r="F540" s="596"/>
      <c r="G540" s="21" t="s">
        <v>25</v>
      </c>
      <c r="H540" s="93">
        <v>13.7</v>
      </c>
      <c r="I540" s="94">
        <v>4</v>
      </c>
      <c r="J540" s="17">
        <f>H540*I540</f>
        <v>54.8</v>
      </c>
      <c r="K540" s="611">
        <v>6.2</v>
      </c>
      <c r="L540" s="688">
        <v>43866</v>
      </c>
      <c r="M540" s="688"/>
      <c r="N540" s="689">
        <v>43866</v>
      </c>
      <c r="O540" s="690">
        <v>2453</v>
      </c>
      <c r="P540" s="40"/>
      <c r="Q540" s="7">
        <v>520</v>
      </c>
      <c r="R540" s="11">
        <v>480</v>
      </c>
      <c r="S540" s="7" t="s">
        <v>2036</v>
      </c>
      <c r="T540" s="1301"/>
      <c r="U540" s="6"/>
    </row>
    <row r="541" spans="3:21" s="7" customFormat="1" ht="18" customHeight="1">
      <c r="C541" s="6"/>
      <c r="D541" s="13"/>
      <c r="E541" s="18" t="s">
        <v>2322</v>
      </c>
      <c r="F541" s="92"/>
      <c r="G541" s="21"/>
      <c r="H541" s="93"/>
      <c r="I541" s="94"/>
      <c r="J541" s="93"/>
      <c r="K541" s="95" t="s">
        <v>8</v>
      </c>
      <c r="L541" s="720"/>
      <c r="M541" s="720"/>
      <c r="N541" s="721"/>
      <c r="O541" s="722"/>
      <c r="P541" s="40"/>
      <c r="Q541" s="13"/>
      <c r="R541" s="247"/>
      <c r="S541" s="247"/>
      <c r="T541" s="1308"/>
      <c r="U541" s="13"/>
    </row>
    <row r="542" spans="3:21" s="7" customFormat="1" ht="18" customHeight="1">
      <c r="C542" s="6" t="s">
        <v>2323</v>
      </c>
      <c r="D542" s="13" t="s">
        <v>2324</v>
      </c>
      <c r="E542" s="21" t="s">
        <v>2325</v>
      </c>
      <c r="F542" s="596"/>
      <c r="G542" s="21" t="s">
        <v>2326</v>
      </c>
      <c r="H542" s="55">
        <v>100</v>
      </c>
      <c r="I542" s="55">
        <v>100</v>
      </c>
      <c r="J542" s="55">
        <v>100</v>
      </c>
      <c r="K542" s="40">
        <v>4.72</v>
      </c>
      <c r="L542" s="688">
        <v>43894</v>
      </c>
      <c r="M542" s="688"/>
      <c r="N542" s="689">
        <v>43894</v>
      </c>
      <c r="O542" s="690">
        <v>2451</v>
      </c>
      <c r="P542" s="40"/>
      <c r="Q542" s="7">
        <v>205</v>
      </c>
      <c r="R542" s="11">
        <v>175</v>
      </c>
      <c r="S542" s="7" t="s">
        <v>2327</v>
      </c>
      <c r="T542" s="1301"/>
      <c r="U542" s="6"/>
    </row>
    <row r="543" spans="3:21" s="7" customFormat="1" ht="18" customHeight="1">
      <c r="C543" s="6" t="s">
        <v>2323</v>
      </c>
      <c r="D543" s="13" t="s">
        <v>2324</v>
      </c>
      <c r="E543" s="21" t="s">
        <v>2328</v>
      </c>
      <c r="F543" s="596"/>
      <c r="G543" s="21" t="s">
        <v>2329</v>
      </c>
      <c r="H543" s="55">
        <v>100</v>
      </c>
      <c r="I543" s="55">
        <v>100</v>
      </c>
      <c r="J543" s="55">
        <v>100</v>
      </c>
      <c r="K543" s="40">
        <v>4</v>
      </c>
      <c r="L543" s="688">
        <v>43894</v>
      </c>
      <c r="M543" s="688"/>
      <c r="N543" s="689">
        <v>43894</v>
      </c>
      <c r="O543" s="690">
        <v>2451</v>
      </c>
      <c r="P543" s="40"/>
      <c r="Q543" s="7">
        <v>167</v>
      </c>
      <c r="R543" s="11">
        <v>137</v>
      </c>
      <c r="S543" s="7" t="s">
        <v>2327</v>
      </c>
      <c r="T543" s="1301"/>
      <c r="U543" s="6"/>
    </row>
    <row r="544" spans="3:21" s="7" customFormat="1" ht="18" customHeight="1">
      <c r="C544" s="6" t="s">
        <v>2323</v>
      </c>
      <c r="D544" s="13" t="s">
        <v>2324</v>
      </c>
      <c r="E544" s="21" t="s">
        <v>2330</v>
      </c>
      <c r="F544" s="596"/>
      <c r="G544" s="21" t="s">
        <v>2326</v>
      </c>
      <c r="H544" s="55">
        <v>100</v>
      </c>
      <c r="I544" s="55">
        <v>100</v>
      </c>
      <c r="J544" s="55">
        <v>100</v>
      </c>
      <c r="K544" s="40">
        <v>11.14</v>
      </c>
      <c r="L544" s="688">
        <v>43894</v>
      </c>
      <c r="M544" s="688"/>
      <c r="N544" s="689">
        <v>43894</v>
      </c>
      <c r="O544" s="690">
        <v>2451</v>
      </c>
      <c r="P544" s="40"/>
      <c r="Q544" s="7">
        <v>590</v>
      </c>
      <c r="R544" s="11">
        <v>550</v>
      </c>
      <c r="S544" s="7" t="s">
        <v>2331</v>
      </c>
      <c r="T544" s="1301"/>
      <c r="U544" s="6"/>
    </row>
    <row r="545" spans="3:23" ht="18" customHeight="1">
      <c r="C545" s="6" t="s">
        <v>2323</v>
      </c>
      <c r="D545" s="13" t="s">
        <v>2324</v>
      </c>
      <c r="E545" s="814"/>
      <c r="F545" s="59"/>
      <c r="G545" s="38" t="s">
        <v>2332</v>
      </c>
      <c r="H545" s="8">
        <v>300</v>
      </c>
      <c r="I545" s="8"/>
      <c r="J545" s="8"/>
      <c r="K545" s="40">
        <v>1</v>
      </c>
      <c r="L545" s="688">
        <v>43894</v>
      </c>
      <c r="M545" s="688"/>
      <c r="N545" s="689">
        <v>43894</v>
      </c>
      <c r="O545" s="690">
        <v>2451</v>
      </c>
      <c r="P545" s="34">
        <v>300</v>
      </c>
      <c r="Q545" s="34"/>
      <c r="S545" s="7"/>
      <c r="T545" s="1301"/>
      <c r="U545" s="4"/>
    </row>
    <row r="546" spans="3:23" ht="18" customHeight="1">
      <c r="C546" s="6" t="s">
        <v>2323</v>
      </c>
      <c r="D546" s="13" t="s">
        <v>2324</v>
      </c>
      <c r="E546" s="699"/>
      <c r="F546" s="59"/>
      <c r="G546" s="38" t="s">
        <v>61</v>
      </c>
      <c r="H546" s="8">
        <v>300</v>
      </c>
      <c r="I546" s="8"/>
      <c r="J546" s="8"/>
      <c r="K546" s="22">
        <v>0.3</v>
      </c>
      <c r="L546" s="688">
        <v>43894</v>
      </c>
      <c r="M546" s="688"/>
      <c r="N546" s="689">
        <v>43894</v>
      </c>
      <c r="O546" s="690">
        <v>2451</v>
      </c>
      <c r="P546" s="34">
        <v>90</v>
      </c>
      <c r="Q546" s="34"/>
      <c r="S546" s="7"/>
      <c r="T546" s="1301"/>
      <c r="U546" s="4"/>
    </row>
    <row r="547" spans="3:23" s="7" customFormat="1" ht="18" customHeight="1">
      <c r="C547" s="6" t="s">
        <v>2323</v>
      </c>
      <c r="D547" s="13" t="s">
        <v>2324</v>
      </c>
      <c r="E547" s="21" t="s">
        <v>2328</v>
      </c>
      <c r="F547" s="596"/>
      <c r="G547" s="21" t="s">
        <v>2329</v>
      </c>
      <c r="H547" s="55">
        <v>100</v>
      </c>
      <c r="I547" s="55">
        <v>100</v>
      </c>
      <c r="J547" s="55">
        <v>100</v>
      </c>
      <c r="K547" s="611"/>
      <c r="L547" s="815"/>
      <c r="M547" s="816"/>
      <c r="N547" s="817"/>
      <c r="O547" s="687" t="s">
        <v>1878</v>
      </c>
      <c r="P547" s="40"/>
      <c r="R547" s="11">
        <v>137</v>
      </c>
      <c r="T547" s="1301"/>
      <c r="U547" s="6"/>
    </row>
    <row r="548" spans="3:23" s="7" customFormat="1" ht="15">
      <c r="C548" s="6"/>
      <c r="D548" s="13"/>
      <c r="E548" s="18" t="s">
        <v>2185</v>
      </c>
      <c r="F548" s="23"/>
      <c r="G548" s="21"/>
      <c r="H548" s="55"/>
      <c r="I548" s="56"/>
      <c r="J548" s="55"/>
      <c r="K548" s="15" t="s">
        <v>8</v>
      </c>
      <c r="L548" s="10"/>
      <c r="M548" s="10"/>
      <c r="N548" s="13"/>
      <c r="O548" s="13"/>
      <c r="P548" s="100"/>
      <c r="Q548" s="100"/>
      <c r="T548" s="1301"/>
      <c r="U548" s="6" t="s">
        <v>3</v>
      </c>
    </row>
    <row r="549" spans="3:23" s="7" customFormat="1" ht="15">
      <c r="C549" s="6" t="s">
        <v>2333</v>
      </c>
      <c r="D549" s="13" t="s">
        <v>2269</v>
      </c>
      <c r="E549" s="21" t="s">
        <v>2305</v>
      </c>
      <c r="F549" s="23"/>
      <c r="G549" s="21" t="s">
        <v>46</v>
      </c>
      <c r="H549" s="93">
        <v>13.7</v>
      </c>
      <c r="I549" s="35">
        <v>3</v>
      </c>
      <c r="J549" s="17">
        <f>H549*I549</f>
        <v>41.099999999999994</v>
      </c>
      <c r="K549" s="611">
        <v>3.19</v>
      </c>
      <c r="L549" s="688">
        <v>43871</v>
      </c>
      <c r="M549" s="688"/>
      <c r="N549" s="689">
        <v>43871</v>
      </c>
      <c r="O549" s="690" t="s">
        <v>2334</v>
      </c>
      <c r="P549" s="22"/>
      <c r="Q549" s="13">
        <v>245</v>
      </c>
      <c r="R549" s="591">
        <v>210</v>
      </c>
      <c r="S549" s="63" t="s">
        <v>2254</v>
      </c>
      <c r="T549" s="1307"/>
      <c r="U549" s="22"/>
    </row>
    <row r="550" spans="3:23" s="7" customFormat="1" ht="15">
      <c r="C550" s="6" t="s">
        <v>2333</v>
      </c>
      <c r="D550" s="13" t="s">
        <v>2269</v>
      </c>
      <c r="E550" s="21" t="s">
        <v>2307</v>
      </c>
      <c r="F550" s="23"/>
      <c r="G550" s="21" t="s">
        <v>46</v>
      </c>
      <c r="H550" s="93">
        <v>13.7</v>
      </c>
      <c r="I550" s="35">
        <v>3</v>
      </c>
      <c r="J550" s="17">
        <f>H550*I550</f>
        <v>41.099999999999994</v>
      </c>
      <c r="K550" s="611">
        <v>7.22</v>
      </c>
      <c r="L550" s="688">
        <v>43871</v>
      </c>
      <c r="M550" s="688"/>
      <c r="N550" s="689">
        <v>43871</v>
      </c>
      <c r="O550" s="690" t="s">
        <v>2334</v>
      </c>
      <c r="P550" s="22"/>
      <c r="Q550" s="13">
        <v>581</v>
      </c>
      <c r="R550" s="591">
        <v>525</v>
      </c>
      <c r="S550" s="63" t="s">
        <v>2256</v>
      </c>
      <c r="T550" s="1307"/>
      <c r="U550" s="22"/>
      <c r="W550" s="22"/>
    </row>
    <row r="551" spans="3:23" s="7" customFormat="1" ht="15">
      <c r="C551" s="6" t="s">
        <v>2333</v>
      </c>
      <c r="D551" s="13" t="s">
        <v>2269</v>
      </c>
      <c r="E551" s="21"/>
      <c r="F551" s="38"/>
      <c r="G551" s="38" t="s">
        <v>13</v>
      </c>
      <c r="H551" s="39" t="s">
        <v>28</v>
      </c>
      <c r="I551" s="94"/>
      <c r="J551" s="93"/>
      <c r="K551" s="611">
        <v>12</v>
      </c>
      <c r="L551" s="688">
        <v>43871</v>
      </c>
      <c r="M551" s="688"/>
      <c r="N551" s="689">
        <v>43871</v>
      </c>
      <c r="O551" s="690" t="s">
        <v>2334</v>
      </c>
      <c r="P551" s="22"/>
      <c r="Q551" s="22"/>
      <c r="T551" s="1301"/>
      <c r="U551" s="6"/>
    </row>
    <row r="552" spans="3:23" s="7" customFormat="1" ht="15.75">
      <c r="C552" s="6"/>
      <c r="D552" s="13"/>
      <c r="E552" s="18" t="s">
        <v>2185</v>
      </c>
      <c r="F552" s="92"/>
      <c r="G552" s="21"/>
      <c r="H552" s="93"/>
      <c r="I552" s="94"/>
      <c r="J552" s="93"/>
      <c r="K552" s="95" t="s">
        <v>8</v>
      </c>
      <c r="L552" s="720"/>
      <c r="M552" s="720"/>
      <c r="N552" s="721"/>
      <c r="O552" s="722"/>
      <c r="P552" s="40"/>
      <c r="Q552" s="13"/>
      <c r="R552" s="247"/>
      <c r="S552" s="247"/>
      <c r="T552" s="1308"/>
      <c r="U552" s="13"/>
    </row>
    <row r="553" spans="3:23" s="7" customFormat="1" ht="15">
      <c r="C553" s="6" t="s">
        <v>2335</v>
      </c>
      <c r="D553" s="13" t="s">
        <v>1850</v>
      </c>
      <c r="E553" s="21" t="s">
        <v>2296</v>
      </c>
      <c r="F553" s="596"/>
      <c r="G553" s="21" t="s">
        <v>46</v>
      </c>
      <c r="H553" s="163">
        <v>5</v>
      </c>
      <c r="I553" s="163">
        <v>5</v>
      </c>
      <c r="J553" s="163">
        <v>5</v>
      </c>
      <c r="K553" s="611">
        <v>2.14</v>
      </c>
      <c r="L553" s="688">
        <v>43874</v>
      </c>
      <c r="M553" s="688"/>
      <c r="N553" s="689">
        <v>43874</v>
      </c>
      <c r="O553" s="690" t="s">
        <v>2336</v>
      </c>
      <c r="P553" s="40"/>
      <c r="Q553" s="7">
        <v>165</v>
      </c>
      <c r="R553" s="11">
        <v>130</v>
      </c>
      <c r="S553" s="7" t="s">
        <v>2254</v>
      </c>
      <c r="T553" s="1301"/>
      <c r="U553" s="6"/>
    </row>
    <row r="554" spans="3:23" s="7" customFormat="1" ht="15">
      <c r="C554" s="6" t="s">
        <v>2335</v>
      </c>
      <c r="D554" s="13" t="s">
        <v>1850</v>
      </c>
      <c r="E554" s="21"/>
      <c r="F554" s="38"/>
      <c r="G554" s="38" t="s">
        <v>13</v>
      </c>
      <c r="H554" s="39" t="s">
        <v>28</v>
      </c>
      <c r="I554" s="94"/>
      <c r="J554" s="93"/>
      <c r="K554" s="611">
        <v>12</v>
      </c>
      <c r="L554" s="688">
        <v>43874</v>
      </c>
      <c r="M554" s="688"/>
      <c r="N554" s="689">
        <v>43874</v>
      </c>
      <c r="O554" s="690" t="s">
        <v>2336</v>
      </c>
      <c r="P554" s="22"/>
      <c r="Q554" s="22"/>
      <c r="T554" s="1301"/>
      <c r="U554" s="6"/>
    </row>
    <row r="555" spans="3:23" s="7" customFormat="1" ht="15">
      <c r="C555" s="6"/>
      <c r="D555" s="13"/>
      <c r="E555" s="18" t="s">
        <v>2185</v>
      </c>
      <c r="F555" s="23"/>
      <c r="G555" s="21"/>
      <c r="H555" s="55"/>
      <c r="I555" s="56"/>
      <c r="J555" s="55"/>
      <c r="K555" s="15" t="s">
        <v>8</v>
      </c>
      <c r="L555" s="10"/>
      <c r="M555" s="10"/>
      <c r="N555" s="13"/>
      <c r="O555" s="13"/>
      <c r="P555" s="100"/>
      <c r="Q555" s="100"/>
      <c r="T555" s="1301"/>
      <c r="U555" s="6"/>
    </row>
    <row r="556" spans="3:23" s="7" customFormat="1" ht="15">
      <c r="C556" s="6" t="s">
        <v>2337</v>
      </c>
      <c r="D556" s="13" t="s">
        <v>2269</v>
      </c>
      <c r="E556" s="21" t="s">
        <v>2338</v>
      </c>
      <c r="F556" s="23"/>
      <c r="G556" s="21" t="s">
        <v>46</v>
      </c>
      <c r="H556" s="93">
        <v>50.5</v>
      </c>
      <c r="I556" s="35">
        <v>1</v>
      </c>
      <c r="J556" s="17">
        <v>50.5</v>
      </c>
      <c r="K556" s="611">
        <v>1.95</v>
      </c>
      <c r="L556" s="688">
        <v>43874</v>
      </c>
      <c r="M556" s="688"/>
      <c r="N556" s="689">
        <v>43874</v>
      </c>
      <c r="O556" s="690" t="s">
        <v>2339</v>
      </c>
      <c r="P556" s="22"/>
      <c r="Q556" s="7">
        <v>150</v>
      </c>
      <c r="R556" s="11">
        <v>100</v>
      </c>
      <c r="S556" s="7" t="s">
        <v>2019</v>
      </c>
      <c r="T556" s="1301"/>
      <c r="U556" s="22"/>
      <c r="W556" s="22"/>
    </row>
    <row r="557" spans="3:23" s="7" customFormat="1" ht="15">
      <c r="C557" s="6" t="s">
        <v>2337</v>
      </c>
      <c r="D557" s="13" t="s">
        <v>2269</v>
      </c>
      <c r="E557" s="21"/>
      <c r="F557" s="38"/>
      <c r="G557" s="38" t="s">
        <v>13</v>
      </c>
      <c r="H557" s="39" t="s">
        <v>28</v>
      </c>
      <c r="I557" s="94"/>
      <c r="J557" s="93"/>
      <c r="K557" s="611">
        <v>12</v>
      </c>
      <c r="L557" s="688">
        <v>43874</v>
      </c>
      <c r="M557" s="688"/>
      <c r="N557" s="689">
        <v>43874</v>
      </c>
      <c r="O557" s="690" t="s">
        <v>2339</v>
      </c>
      <c r="P557" s="22"/>
      <c r="Q557" s="22"/>
      <c r="T557" s="1301"/>
      <c r="U557" s="6"/>
    </row>
    <row r="558" spans="3:23" s="7" customFormat="1" ht="15">
      <c r="C558" s="6"/>
      <c r="D558" s="13"/>
      <c r="E558" s="18" t="s">
        <v>2185</v>
      </c>
      <c r="F558" s="23"/>
      <c r="G558" s="21"/>
      <c r="H558" s="55"/>
      <c r="I558" s="56"/>
      <c r="J558" s="55"/>
      <c r="K558" s="15" t="s">
        <v>8</v>
      </c>
      <c r="L558" s="10"/>
      <c r="M558" s="10"/>
      <c r="N558" s="13"/>
      <c r="O558" s="13"/>
      <c r="P558" s="100"/>
      <c r="Q558" s="100"/>
      <c r="T558" s="1301"/>
      <c r="U558" s="6"/>
    </row>
    <row r="559" spans="3:23" s="7" customFormat="1" ht="15">
      <c r="C559" s="6" t="s">
        <v>2340</v>
      </c>
      <c r="D559" s="13" t="s">
        <v>2341</v>
      </c>
      <c r="E559" s="21" t="s">
        <v>2342</v>
      </c>
      <c r="F559" s="23"/>
      <c r="G559" s="21" t="s">
        <v>46</v>
      </c>
      <c r="H559" s="163">
        <v>10</v>
      </c>
      <c r="I559" s="163">
        <v>10</v>
      </c>
      <c r="J559" s="163">
        <v>10</v>
      </c>
      <c r="K559" s="611">
        <v>4.03</v>
      </c>
      <c r="L559" s="688">
        <v>43887</v>
      </c>
      <c r="M559" s="688"/>
      <c r="N559" s="689">
        <v>43887</v>
      </c>
      <c r="O559" s="690" t="s">
        <v>2343</v>
      </c>
      <c r="P559" s="22"/>
      <c r="Q559" s="7">
        <v>310</v>
      </c>
      <c r="R559" s="11">
        <v>230</v>
      </c>
      <c r="S559" s="7" t="s">
        <v>31</v>
      </c>
      <c r="T559" s="1301"/>
      <c r="U559" s="22"/>
      <c r="W559" s="22"/>
    </row>
    <row r="560" spans="3:23" s="7" customFormat="1" ht="15">
      <c r="C560" s="6" t="s">
        <v>2340</v>
      </c>
      <c r="D560" s="13" t="s">
        <v>2341</v>
      </c>
      <c r="E560" s="21" t="s">
        <v>2344</v>
      </c>
      <c r="F560" s="23"/>
      <c r="G560" s="21" t="s">
        <v>2345</v>
      </c>
      <c r="H560" s="163">
        <v>10</v>
      </c>
      <c r="I560" s="163">
        <v>10</v>
      </c>
      <c r="J560" s="163">
        <v>10</v>
      </c>
      <c r="K560" s="611">
        <v>3.51</v>
      </c>
      <c r="L560" s="688">
        <v>43887</v>
      </c>
      <c r="M560" s="688"/>
      <c r="N560" s="689">
        <v>43887</v>
      </c>
      <c r="O560" s="690" t="s">
        <v>2343</v>
      </c>
      <c r="P560" s="22"/>
      <c r="Q560" s="7">
        <v>270</v>
      </c>
      <c r="R560" s="11">
        <v>170</v>
      </c>
      <c r="S560" s="7" t="s">
        <v>2040</v>
      </c>
      <c r="T560" s="1301"/>
      <c r="U560" s="22"/>
      <c r="W560" s="22"/>
    </row>
    <row r="561" spans="3:23" s="7" customFormat="1" ht="15">
      <c r="C561" s="6" t="s">
        <v>2340</v>
      </c>
      <c r="D561" s="13" t="s">
        <v>2341</v>
      </c>
      <c r="E561" s="21" t="s">
        <v>2051</v>
      </c>
      <c r="F561" s="23"/>
      <c r="G561" s="21" t="s">
        <v>46</v>
      </c>
      <c r="H561" s="163">
        <v>10</v>
      </c>
      <c r="I561" s="163">
        <v>10</v>
      </c>
      <c r="J561" s="163">
        <v>10</v>
      </c>
      <c r="K561" s="611">
        <v>4.9400000000000004</v>
      </c>
      <c r="L561" s="688">
        <v>43887</v>
      </c>
      <c r="M561" s="688"/>
      <c r="N561" s="689">
        <v>43887</v>
      </c>
      <c r="O561" s="690" t="s">
        <v>2343</v>
      </c>
      <c r="P561" s="22"/>
      <c r="Q561" s="7">
        <v>380</v>
      </c>
      <c r="R561" s="11">
        <v>310</v>
      </c>
      <c r="S561" s="7" t="s">
        <v>106</v>
      </c>
      <c r="T561" s="1301"/>
      <c r="U561" s="22"/>
      <c r="W561" s="22"/>
    </row>
    <row r="562" spans="3:23" s="7" customFormat="1" ht="15">
      <c r="C562" s="6" t="s">
        <v>2340</v>
      </c>
      <c r="D562" s="13" t="s">
        <v>2341</v>
      </c>
      <c r="E562" s="21"/>
      <c r="F562" s="38"/>
      <c r="G562" s="38" t="s">
        <v>13</v>
      </c>
      <c r="H562" s="39" t="s">
        <v>28</v>
      </c>
      <c r="I562" s="94"/>
      <c r="J562" s="93"/>
      <c r="K562" s="611">
        <v>24</v>
      </c>
      <c r="L562" s="688">
        <v>43887</v>
      </c>
      <c r="M562" s="688"/>
      <c r="N562" s="689">
        <v>43887</v>
      </c>
      <c r="O562" s="690" t="s">
        <v>2343</v>
      </c>
      <c r="P562" s="22"/>
      <c r="Q562" s="22"/>
      <c r="T562" s="1301"/>
      <c r="U562" s="6"/>
    </row>
    <row r="563" spans="3:23" s="7" customFormat="1" ht="18" customHeight="1">
      <c r="C563" s="6"/>
      <c r="D563" s="13"/>
      <c r="E563" s="13" t="s">
        <v>2267</v>
      </c>
      <c r="F563" s="14"/>
      <c r="G563" s="13"/>
      <c r="H563" s="55"/>
      <c r="I563" s="56"/>
      <c r="J563" s="55"/>
      <c r="K563" s="15" t="s">
        <v>8</v>
      </c>
      <c r="L563" s="10"/>
      <c r="M563" s="10"/>
      <c r="N563" s="13"/>
      <c r="O563" s="40"/>
      <c r="P563" s="738"/>
      <c r="Q563" s="100"/>
      <c r="T563" s="1301"/>
      <c r="U563" s="6" t="s">
        <v>3</v>
      </c>
    </row>
    <row r="564" spans="3:23" s="7" customFormat="1" ht="18" customHeight="1">
      <c r="C564" s="6" t="s">
        <v>2346</v>
      </c>
      <c r="D564" s="13" t="s">
        <v>2269</v>
      </c>
      <c r="E564" s="21" t="s">
        <v>2270</v>
      </c>
      <c r="F564" s="134" t="s">
        <v>2271</v>
      </c>
      <c r="G564" s="21" t="s">
        <v>2275</v>
      </c>
      <c r="H564" s="93">
        <v>30</v>
      </c>
      <c r="I564" s="94">
        <v>1</v>
      </c>
      <c r="J564" s="8">
        <v>30</v>
      </c>
      <c r="K564" s="611">
        <v>0.94</v>
      </c>
      <c r="L564" s="688">
        <v>43893</v>
      </c>
      <c r="M564" s="688"/>
      <c r="N564" s="689">
        <v>43893</v>
      </c>
      <c r="O564" s="690" t="s">
        <v>2347</v>
      </c>
      <c r="P564" s="40"/>
      <c r="Q564" s="40"/>
      <c r="R564" s="7">
        <v>62</v>
      </c>
      <c r="T564" s="1301"/>
      <c r="U564" s="6"/>
    </row>
    <row r="565" spans="3:23" s="7" customFormat="1" ht="18" customHeight="1">
      <c r="C565" s="6" t="s">
        <v>2346</v>
      </c>
      <c r="D565" s="13" t="s">
        <v>2269</v>
      </c>
      <c r="E565" s="21" t="s">
        <v>2270</v>
      </c>
      <c r="F565" s="134" t="s">
        <v>2271</v>
      </c>
      <c r="G565" s="21" t="s">
        <v>2293</v>
      </c>
      <c r="H565" s="93">
        <v>30</v>
      </c>
      <c r="I565" s="94">
        <v>1</v>
      </c>
      <c r="J565" s="8">
        <v>30</v>
      </c>
      <c r="K565" s="611">
        <v>0.94</v>
      </c>
      <c r="L565" s="688">
        <v>43893</v>
      </c>
      <c r="M565" s="688"/>
      <c r="N565" s="689">
        <v>43893</v>
      </c>
      <c r="O565" s="690" t="s">
        <v>2347</v>
      </c>
      <c r="P565" s="40"/>
      <c r="Q565" s="40"/>
      <c r="R565" s="7">
        <v>62</v>
      </c>
      <c r="T565" s="1301"/>
      <c r="U565" s="6"/>
    </row>
    <row r="566" spans="3:23" s="7" customFormat="1" ht="15">
      <c r="C566" s="6" t="s">
        <v>2346</v>
      </c>
      <c r="D566" s="13" t="s">
        <v>2269</v>
      </c>
      <c r="E566" s="21"/>
      <c r="F566" s="38"/>
      <c r="G566" s="38" t="s">
        <v>13</v>
      </c>
      <c r="H566" s="39" t="s">
        <v>28</v>
      </c>
      <c r="I566" s="94"/>
      <c r="J566" s="93"/>
      <c r="K566" s="611">
        <v>12</v>
      </c>
      <c r="L566" s="688">
        <v>43893</v>
      </c>
      <c r="M566" s="688"/>
      <c r="N566" s="689">
        <v>43893</v>
      </c>
      <c r="O566" s="690" t="s">
        <v>2347</v>
      </c>
      <c r="P566" s="22"/>
      <c r="Q566" s="22"/>
      <c r="T566" s="1301"/>
      <c r="U566" s="6"/>
    </row>
    <row r="567" spans="3:23" s="7" customFormat="1" ht="18" customHeight="1">
      <c r="C567" s="6"/>
      <c r="D567" s="13"/>
      <c r="E567" s="13" t="s">
        <v>2348</v>
      </c>
      <c r="F567" s="14"/>
      <c r="G567" s="13"/>
      <c r="H567" s="55"/>
      <c r="I567" s="56"/>
      <c r="J567" s="55"/>
      <c r="K567" s="15" t="s">
        <v>8</v>
      </c>
      <c r="L567" s="10"/>
      <c r="M567" s="10"/>
      <c r="N567" s="13"/>
      <c r="O567" s="40"/>
      <c r="P567" s="738"/>
      <c r="Q567" s="100"/>
      <c r="T567" s="1301"/>
      <c r="U567" s="6" t="s">
        <v>3</v>
      </c>
    </row>
    <row r="568" spans="3:23" s="7" customFormat="1" ht="18" customHeight="1">
      <c r="C568" s="6" t="s">
        <v>2349</v>
      </c>
      <c r="D568" s="13" t="s">
        <v>2341</v>
      </c>
      <c r="E568" s="21">
        <v>4503</v>
      </c>
      <c r="F568" s="134">
        <v>10</v>
      </c>
      <c r="G568" s="21" t="s">
        <v>258</v>
      </c>
      <c r="H568" s="93">
        <v>30</v>
      </c>
      <c r="I568" s="94">
        <v>7</v>
      </c>
      <c r="J568" s="55">
        <f>H568*I568</f>
        <v>210</v>
      </c>
      <c r="K568" s="611">
        <v>0.28000000000000003</v>
      </c>
      <c r="L568" s="688">
        <v>43906</v>
      </c>
      <c r="M568" s="688"/>
      <c r="N568" s="689">
        <v>43906</v>
      </c>
      <c r="O568" s="690" t="s">
        <v>2350</v>
      </c>
      <c r="P568" s="40"/>
      <c r="Q568" s="40"/>
      <c r="R568" s="7">
        <v>18</v>
      </c>
      <c r="T568" s="1301"/>
      <c r="U568" s="6"/>
    </row>
    <row r="569" spans="3:23" s="7" customFormat="1" ht="15">
      <c r="C569" s="6" t="s">
        <v>2349</v>
      </c>
      <c r="D569" s="13" t="s">
        <v>2341</v>
      </c>
      <c r="E569" s="21"/>
      <c r="F569" s="38"/>
      <c r="G569" s="38" t="s">
        <v>13</v>
      </c>
      <c r="H569" s="39" t="s">
        <v>28</v>
      </c>
      <c r="I569" s="94"/>
      <c r="J569" s="93"/>
      <c r="K569" s="611">
        <v>12</v>
      </c>
      <c r="L569" s="688">
        <v>43906</v>
      </c>
      <c r="M569" s="688"/>
      <c r="N569" s="689">
        <v>43906</v>
      </c>
      <c r="O569" s="690" t="s">
        <v>2350</v>
      </c>
      <c r="P569" s="22"/>
      <c r="Q569" s="22"/>
      <c r="T569" s="1301"/>
      <c r="U569" s="6"/>
    </row>
    <row r="570" spans="3:23" s="7" customFormat="1" ht="15">
      <c r="C570" s="6"/>
      <c r="D570" s="13"/>
      <c r="E570" s="18" t="s">
        <v>19</v>
      </c>
      <c r="F570" s="23"/>
      <c r="G570" s="21"/>
      <c r="H570" s="55"/>
      <c r="I570" s="56"/>
      <c r="J570" s="55"/>
      <c r="K570" s="15" t="s">
        <v>8</v>
      </c>
      <c r="L570" s="10"/>
      <c r="M570" s="10"/>
      <c r="N570" s="13"/>
      <c r="O570" s="13"/>
      <c r="P570" s="100"/>
      <c r="Q570" s="100"/>
      <c r="T570" s="1301"/>
      <c r="U570" s="6" t="s">
        <v>3</v>
      </c>
    </row>
    <row r="571" spans="3:23" s="7" customFormat="1" ht="15">
      <c r="C571" s="6" t="s">
        <v>2351</v>
      </c>
      <c r="D571" s="13" t="s">
        <v>2003</v>
      </c>
      <c r="E571" s="21" t="s">
        <v>2352</v>
      </c>
      <c r="F571" s="23"/>
      <c r="G571" s="21" t="s">
        <v>46</v>
      </c>
      <c r="H571" s="62">
        <v>4</v>
      </c>
      <c r="I571" s="62">
        <v>4</v>
      </c>
      <c r="J571" s="62">
        <v>4</v>
      </c>
      <c r="K571" s="611">
        <v>1.25</v>
      </c>
      <c r="L571" s="688">
        <v>43901</v>
      </c>
      <c r="M571" s="688"/>
      <c r="N571" s="689">
        <v>43901</v>
      </c>
      <c r="O571" s="694" t="s">
        <v>2353</v>
      </c>
      <c r="P571" s="22"/>
      <c r="Q571" s="13"/>
      <c r="R571" s="11">
        <v>54</v>
      </c>
      <c r="S571" s="63" t="s">
        <v>44</v>
      </c>
      <c r="T571" s="1307"/>
      <c r="U571" s="22"/>
      <c r="V571" s="7" t="s">
        <v>2354</v>
      </c>
    </row>
    <row r="572" spans="3:23" s="7" customFormat="1" ht="15">
      <c r="C572" s="6" t="s">
        <v>2351</v>
      </c>
      <c r="D572" s="13" t="s">
        <v>2003</v>
      </c>
      <c r="E572" s="21" t="s">
        <v>2355</v>
      </c>
      <c r="F572" s="23"/>
      <c r="G572" s="21" t="s">
        <v>46</v>
      </c>
      <c r="H572" s="62">
        <v>4</v>
      </c>
      <c r="I572" s="62">
        <v>4</v>
      </c>
      <c r="J572" s="62">
        <v>4</v>
      </c>
      <c r="K572" s="611">
        <v>2.39</v>
      </c>
      <c r="L572" s="688">
        <v>43901</v>
      </c>
      <c r="M572" s="688"/>
      <c r="N572" s="689">
        <v>43901</v>
      </c>
      <c r="O572" s="694" t="s">
        <v>2353</v>
      </c>
      <c r="P572" s="22"/>
      <c r="Q572" s="13"/>
      <c r="R572" s="11">
        <v>149</v>
      </c>
      <c r="S572" s="63" t="s">
        <v>44</v>
      </c>
      <c r="T572" s="1307"/>
      <c r="U572" s="22"/>
      <c r="V572" s="7" t="s">
        <v>2356</v>
      </c>
    </row>
    <row r="573" spans="3:23" s="7" customFormat="1" ht="15">
      <c r="C573" s="6" t="s">
        <v>2351</v>
      </c>
      <c r="D573" s="13" t="s">
        <v>2003</v>
      </c>
      <c r="E573" s="21" t="s">
        <v>2357</v>
      </c>
      <c r="F573" s="23"/>
      <c r="G573" s="21" t="s">
        <v>46</v>
      </c>
      <c r="H573" s="62">
        <v>4</v>
      </c>
      <c r="I573" s="62">
        <v>4</v>
      </c>
      <c r="J573" s="62">
        <v>4</v>
      </c>
      <c r="K573" s="611">
        <v>2.23</v>
      </c>
      <c r="L573" s="688">
        <v>43901</v>
      </c>
      <c r="M573" s="688"/>
      <c r="N573" s="689">
        <v>43901</v>
      </c>
      <c r="O573" s="694" t="s">
        <v>2353</v>
      </c>
      <c r="P573" s="22"/>
      <c r="Q573" s="13">
        <v>171</v>
      </c>
      <c r="R573" s="11">
        <v>141</v>
      </c>
      <c r="S573" s="63" t="s">
        <v>44</v>
      </c>
      <c r="T573" s="1307"/>
      <c r="U573" s="22"/>
    </row>
    <row r="574" spans="3:23" s="7" customFormat="1" ht="15">
      <c r="C574" s="6" t="s">
        <v>2351</v>
      </c>
      <c r="D574" s="13" t="s">
        <v>2003</v>
      </c>
      <c r="E574" s="21" t="s">
        <v>2358</v>
      </c>
      <c r="F574" s="23"/>
      <c r="G574" s="21" t="s">
        <v>116</v>
      </c>
      <c r="H574" s="62">
        <v>4</v>
      </c>
      <c r="I574" s="62">
        <v>4</v>
      </c>
      <c r="J574" s="62">
        <v>4</v>
      </c>
      <c r="K574" s="611">
        <v>1.91</v>
      </c>
      <c r="L574" s="688">
        <v>43901</v>
      </c>
      <c r="M574" s="688"/>
      <c r="N574" s="689">
        <v>43901</v>
      </c>
      <c r="O574" s="694" t="s">
        <v>2353</v>
      </c>
      <c r="P574" s="22"/>
      <c r="Q574" s="13">
        <v>147</v>
      </c>
      <c r="R574" s="11">
        <v>112</v>
      </c>
      <c r="S574" s="63" t="s">
        <v>2254</v>
      </c>
      <c r="T574" s="1307"/>
      <c r="U574" s="22"/>
    </row>
    <row r="575" spans="3:23" s="7" customFormat="1" ht="15">
      <c r="C575" s="6" t="s">
        <v>2351</v>
      </c>
      <c r="D575" s="13" t="s">
        <v>2003</v>
      </c>
      <c r="E575" s="21"/>
      <c r="F575" s="38"/>
      <c r="G575" s="38" t="s">
        <v>13</v>
      </c>
      <c r="H575" s="39" t="s">
        <v>28</v>
      </c>
      <c r="I575" s="94"/>
      <c r="J575" s="93"/>
      <c r="K575" s="611">
        <v>12</v>
      </c>
      <c r="L575" s="688">
        <v>43901</v>
      </c>
      <c r="M575" s="688"/>
      <c r="N575" s="689">
        <v>43901</v>
      </c>
      <c r="O575" s="694" t="s">
        <v>2353</v>
      </c>
      <c r="P575" s="22"/>
      <c r="Q575" s="22"/>
      <c r="T575" s="1301"/>
      <c r="U575" s="6"/>
    </row>
    <row r="576" spans="3:23" s="7" customFormat="1" ht="15">
      <c r="C576" s="6"/>
      <c r="D576" s="13"/>
      <c r="E576" s="18" t="s">
        <v>19</v>
      </c>
      <c r="F576" s="23"/>
      <c r="G576" s="21"/>
      <c r="H576" s="55"/>
      <c r="I576" s="56"/>
      <c r="J576" s="55"/>
      <c r="K576" s="15" t="s">
        <v>8</v>
      </c>
      <c r="L576" s="10"/>
      <c r="M576" s="10"/>
      <c r="N576" s="13"/>
      <c r="O576" s="13"/>
      <c r="P576" s="100"/>
      <c r="Q576" s="100"/>
      <c r="T576" s="1301"/>
      <c r="U576" s="6" t="s">
        <v>3</v>
      </c>
    </row>
    <row r="577" spans="3:23" s="7" customFormat="1" ht="15">
      <c r="C577" s="6" t="s">
        <v>2359</v>
      </c>
      <c r="D577" s="13" t="s">
        <v>2277</v>
      </c>
      <c r="E577" s="739">
        <v>221184</v>
      </c>
      <c r="F577" s="23"/>
      <c r="G577" s="21" t="s">
        <v>25</v>
      </c>
      <c r="H577" s="93">
        <v>13.7</v>
      </c>
      <c r="I577" s="94">
        <v>8</v>
      </c>
      <c r="J577" s="108">
        <f>H577*I577</f>
        <v>109.6</v>
      </c>
      <c r="K577" s="597">
        <v>9.2200000000000006</v>
      </c>
      <c r="L577" s="688">
        <v>43962</v>
      </c>
      <c r="M577" s="688"/>
      <c r="N577" s="689">
        <v>43962</v>
      </c>
      <c r="O577" s="690">
        <v>2557</v>
      </c>
      <c r="P577" s="22"/>
      <c r="Q577" s="13"/>
      <c r="R577" s="11">
        <v>760</v>
      </c>
      <c r="S577" s="63"/>
      <c r="T577" s="1307"/>
      <c r="U577" s="22"/>
    </row>
    <row r="578" spans="3:23" s="7" customFormat="1" ht="15">
      <c r="C578" s="6" t="s">
        <v>2359</v>
      </c>
      <c r="D578" s="13" t="s">
        <v>2277</v>
      </c>
      <c r="E578" s="739">
        <v>257830</v>
      </c>
      <c r="F578" s="23"/>
      <c r="G578" s="21" t="s">
        <v>25</v>
      </c>
      <c r="H578" s="93">
        <v>13.7</v>
      </c>
      <c r="I578" s="94">
        <v>15</v>
      </c>
      <c r="J578" s="108">
        <f>H578*I578</f>
        <v>205.5</v>
      </c>
      <c r="K578" s="597">
        <v>1.49</v>
      </c>
      <c r="L578" s="688">
        <v>43962</v>
      </c>
      <c r="M578" s="688"/>
      <c r="N578" s="689">
        <v>43962</v>
      </c>
      <c r="O578" s="690">
        <v>2557</v>
      </c>
      <c r="P578" s="22"/>
      <c r="Q578" s="13"/>
      <c r="R578" s="11">
        <v>123</v>
      </c>
      <c r="S578" s="63"/>
      <c r="T578" s="1307"/>
      <c r="U578" s="22"/>
    </row>
    <row r="579" spans="3:23" s="7" customFormat="1" ht="15">
      <c r="C579" s="6" t="s">
        <v>2359</v>
      </c>
      <c r="D579" s="13" t="s">
        <v>2277</v>
      </c>
      <c r="E579" s="739">
        <v>258151</v>
      </c>
      <c r="F579" s="23"/>
      <c r="G579" s="21" t="s">
        <v>25</v>
      </c>
      <c r="H579" s="93">
        <v>13.7</v>
      </c>
      <c r="I579" s="94">
        <v>4</v>
      </c>
      <c r="J579" s="108">
        <f>H579*I579</f>
        <v>54.8</v>
      </c>
      <c r="K579" s="597">
        <v>3.88</v>
      </c>
      <c r="L579" s="688">
        <v>43921</v>
      </c>
      <c r="M579" s="688"/>
      <c r="N579" s="689">
        <v>43921</v>
      </c>
      <c r="O579" s="690" t="s">
        <v>2360</v>
      </c>
      <c r="P579" s="22"/>
      <c r="Q579" s="13"/>
      <c r="R579" s="11">
        <v>320</v>
      </c>
      <c r="S579" s="63"/>
      <c r="T579" s="1307"/>
      <c r="U579" s="22"/>
    </row>
    <row r="580" spans="3:23" s="7" customFormat="1" ht="15">
      <c r="C580" s="6" t="s">
        <v>2359</v>
      </c>
      <c r="D580" s="13" t="s">
        <v>2277</v>
      </c>
      <c r="E580" s="739">
        <v>258176</v>
      </c>
      <c r="F580" s="23"/>
      <c r="G580" s="21" t="s">
        <v>25</v>
      </c>
      <c r="H580" s="93">
        <v>13.7</v>
      </c>
      <c r="I580" s="94">
        <v>23</v>
      </c>
      <c r="J580" s="108">
        <f>H580*I580</f>
        <v>315.09999999999997</v>
      </c>
      <c r="K580" s="597">
        <v>2.27</v>
      </c>
      <c r="L580" s="688">
        <v>43921</v>
      </c>
      <c r="M580" s="688"/>
      <c r="N580" s="689">
        <v>43921</v>
      </c>
      <c r="O580" s="690" t="s">
        <v>2360</v>
      </c>
      <c r="P580" s="22"/>
      <c r="Q580" s="13"/>
      <c r="R580" s="11">
        <v>187</v>
      </c>
      <c r="S580" s="63"/>
      <c r="T580" s="1307"/>
      <c r="U580" s="22"/>
    </row>
    <row r="581" spans="3:23" s="7" customFormat="1" ht="15">
      <c r="C581" s="6" t="s">
        <v>2359</v>
      </c>
      <c r="D581" s="13" t="s">
        <v>2277</v>
      </c>
      <c r="E581" s="739">
        <v>261875</v>
      </c>
      <c r="F581" s="23"/>
      <c r="G581" s="21" t="s">
        <v>25</v>
      </c>
      <c r="H581" s="93">
        <v>13.7</v>
      </c>
      <c r="I581" s="94">
        <v>22</v>
      </c>
      <c r="J581" s="108">
        <f>H581*I581</f>
        <v>301.39999999999998</v>
      </c>
      <c r="K581" s="597">
        <v>3.34</v>
      </c>
      <c r="L581" s="688">
        <v>43962</v>
      </c>
      <c r="M581" s="688"/>
      <c r="N581" s="689">
        <v>43962</v>
      </c>
      <c r="O581" s="690">
        <v>2557</v>
      </c>
      <c r="P581" s="22"/>
      <c r="Q581" s="13"/>
      <c r="R581" s="11">
        <v>275</v>
      </c>
      <c r="S581" s="63"/>
      <c r="T581" s="1307"/>
      <c r="U581" s="22"/>
    </row>
    <row r="582" spans="3:23" s="7" customFormat="1" ht="15">
      <c r="C582" s="6"/>
      <c r="D582" s="13"/>
      <c r="E582" s="18" t="s">
        <v>2361</v>
      </c>
      <c r="F582" s="23"/>
      <c r="G582" s="21"/>
      <c r="H582" s="55"/>
      <c r="I582" s="56"/>
      <c r="J582" s="55"/>
      <c r="K582" s="15" t="s">
        <v>8</v>
      </c>
      <c r="L582" s="10"/>
      <c r="M582" s="10"/>
      <c r="N582" s="13"/>
      <c r="O582" s="13"/>
      <c r="P582" s="100"/>
      <c r="Q582" s="100"/>
      <c r="T582" s="1301"/>
      <c r="U582" s="6" t="s">
        <v>3</v>
      </c>
    </row>
    <row r="583" spans="3:23" s="7" customFormat="1" ht="15">
      <c r="C583" s="6" t="s">
        <v>2359</v>
      </c>
      <c r="D583" s="13" t="s">
        <v>2277</v>
      </c>
      <c r="E583" s="739">
        <v>391791</v>
      </c>
      <c r="F583" s="23"/>
      <c r="G583" s="21" t="s">
        <v>25</v>
      </c>
      <c r="H583" s="93">
        <v>13.7</v>
      </c>
      <c r="I583" s="94">
        <v>5</v>
      </c>
      <c r="J583" s="108">
        <f>H583*I583</f>
        <v>68.5</v>
      </c>
      <c r="K583" s="611">
        <v>7.16</v>
      </c>
      <c r="L583" s="688">
        <v>43962</v>
      </c>
      <c r="M583" s="688"/>
      <c r="N583" s="689">
        <v>43962</v>
      </c>
      <c r="O583" s="690">
        <v>2557</v>
      </c>
      <c r="P583" s="22"/>
      <c r="Q583" s="13"/>
      <c r="R583" s="11">
        <v>590</v>
      </c>
      <c r="S583" s="63"/>
      <c r="T583" s="1307"/>
      <c r="U583" s="22"/>
    </row>
    <row r="584" spans="3:23" s="7" customFormat="1" ht="15">
      <c r="C584" s="6"/>
      <c r="D584" s="13"/>
      <c r="E584" s="18" t="s">
        <v>295</v>
      </c>
      <c r="F584" s="23"/>
      <c r="G584" s="21"/>
      <c r="H584" s="55"/>
      <c r="I584" s="56"/>
      <c r="J584" s="55"/>
      <c r="K584" s="15" t="s">
        <v>8</v>
      </c>
      <c r="L584" s="10"/>
      <c r="M584" s="10"/>
      <c r="N584" s="13"/>
      <c r="O584" s="13"/>
      <c r="P584" s="100"/>
      <c r="Q584" s="100"/>
      <c r="T584" s="1301"/>
      <c r="U584" s="6" t="s">
        <v>3</v>
      </c>
    </row>
    <row r="585" spans="3:23" s="7" customFormat="1" ht="15">
      <c r="C585" s="6" t="s">
        <v>2362</v>
      </c>
      <c r="D585" s="13" t="s">
        <v>2269</v>
      </c>
      <c r="E585" s="21" t="s">
        <v>2307</v>
      </c>
      <c r="F585" s="23"/>
      <c r="G585" s="21" t="s">
        <v>108</v>
      </c>
      <c r="H585" s="93">
        <v>13.7</v>
      </c>
      <c r="I585" s="35">
        <v>41</v>
      </c>
      <c r="J585" s="17">
        <f>H585*I585</f>
        <v>561.69999999999993</v>
      </c>
      <c r="K585" s="611">
        <v>7.22</v>
      </c>
      <c r="L585" s="688">
        <v>43994</v>
      </c>
      <c r="M585" s="688"/>
      <c r="N585" s="689">
        <v>43994</v>
      </c>
      <c r="O585" s="690">
        <v>2596</v>
      </c>
      <c r="P585" s="22"/>
      <c r="Q585" s="13">
        <v>581</v>
      </c>
      <c r="R585" s="591">
        <v>525</v>
      </c>
      <c r="S585" s="63" t="s">
        <v>2256</v>
      </c>
      <c r="T585" s="1307"/>
      <c r="U585" s="22"/>
      <c r="W585" s="22"/>
    </row>
    <row r="586" spans="3:23" s="7" customFormat="1" ht="15">
      <c r="C586" s="6" t="s">
        <v>2362</v>
      </c>
      <c r="D586" s="13" t="s">
        <v>2269</v>
      </c>
      <c r="E586" s="21" t="s">
        <v>2307</v>
      </c>
      <c r="F586" s="23"/>
      <c r="G586" s="21" t="s">
        <v>141</v>
      </c>
      <c r="H586" s="93">
        <v>13.7</v>
      </c>
      <c r="I586" s="35">
        <v>4</v>
      </c>
      <c r="J586" s="17">
        <f>H586*I586</f>
        <v>54.8</v>
      </c>
      <c r="K586" s="611">
        <v>7.22</v>
      </c>
      <c r="L586" s="688">
        <v>43994</v>
      </c>
      <c r="M586" s="688"/>
      <c r="N586" s="689">
        <v>43994</v>
      </c>
      <c r="O586" s="690">
        <v>2596</v>
      </c>
      <c r="P586" s="22"/>
      <c r="Q586" s="13">
        <v>581</v>
      </c>
      <c r="R586" s="591">
        <v>525</v>
      </c>
      <c r="S586" s="63" t="s">
        <v>2256</v>
      </c>
      <c r="T586" s="1307"/>
      <c r="U586" s="22"/>
      <c r="W586" s="22"/>
    </row>
    <row r="587" spans="3:23" s="7" customFormat="1" ht="15">
      <c r="C587" s="6" t="s">
        <v>2363</v>
      </c>
      <c r="D587" s="13" t="s">
        <v>2269</v>
      </c>
      <c r="E587" s="21" t="s">
        <v>2308</v>
      </c>
      <c r="F587" s="23"/>
      <c r="G587" s="21" t="s">
        <v>141</v>
      </c>
      <c r="H587" s="93">
        <v>14</v>
      </c>
      <c r="I587" s="35">
        <v>4</v>
      </c>
      <c r="J587" s="17">
        <f>H587*I587</f>
        <v>56</v>
      </c>
      <c r="K587" s="611">
        <v>1.43</v>
      </c>
      <c r="L587" s="688">
        <v>43994</v>
      </c>
      <c r="M587" s="688"/>
      <c r="N587" s="689">
        <v>43994</v>
      </c>
      <c r="O587" s="690">
        <v>2596</v>
      </c>
      <c r="P587" s="22"/>
      <c r="Q587" s="13">
        <v>110</v>
      </c>
      <c r="R587" s="591">
        <v>80</v>
      </c>
      <c r="S587" s="63" t="s">
        <v>44</v>
      </c>
      <c r="T587" s="1307"/>
    </row>
    <row r="588" spans="3:23" s="7" customFormat="1" ht="15">
      <c r="C588" s="6" t="s">
        <v>2362</v>
      </c>
      <c r="D588" s="13" t="s">
        <v>2269</v>
      </c>
      <c r="E588" s="21" t="s">
        <v>2305</v>
      </c>
      <c r="F588" s="23"/>
      <c r="G588" s="21" t="s">
        <v>141</v>
      </c>
      <c r="H588" s="93">
        <v>13.7</v>
      </c>
      <c r="I588" s="35">
        <v>4</v>
      </c>
      <c r="J588" s="17">
        <f>H588*I588</f>
        <v>54.8</v>
      </c>
      <c r="K588" s="611">
        <v>3.19</v>
      </c>
      <c r="L588" s="688">
        <v>43994</v>
      </c>
      <c r="M588" s="688"/>
      <c r="N588" s="689">
        <v>43994</v>
      </c>
      <c r="O588" s="690">
        <v>2596</v>
      </c>
      <c r="P588" s="22"/>
      <c r="Q588" s="13">
        <v>245</v>
      </c>
      <c r="R588" s="591">
        <v>210</v>
      </c>
      <c r="S588" s="63" t="s">
        <v>2254</v>
      </c>
      <c r="T588" s="1307"/>
      <c r="U588" s="22"/>
    </row>
    <row r="589" spans="3:23" s="7" customFormat="1" ht="15">
      <c r="C589" s="6" t="s">
        <v>2362</v>
      </c>
      <c r="D589" s="13" t="s">
        <v>2269</v>
      </c>
      <c r="E589" s="21"/>
      <c r="F589" s="38"/>
      <c r="G589" s="38" t="s">
        <v>2364</v>
      </c>
      <c r="H589" s="39" t="s">
        <v>66</v>
      </c>
      <c r="I589" s="94"/>
      <c r="J589" s="93"/>
      <c r="K589" s="611">
        <v>105</v>
      </c>
      <c r="L589" s="688">
        <v>43994</v>
      </c>
      <c r="M589" s="688"/>
      <c r="N589" s="689">
        <v>43994</v>
      </c>
      <c r="O589" s="690">
        <v>2596</v>
      </c>
      <c r="P589" s="22" t="s">
        <v>2365</v>
      </c>
      <c r="Q589" s="22"/>
      <c r="T589" s="1301"/>
      <c r="U589" s="6"/>
    </row>
    <row r="590" spans="3:23" s="7" customFormat="1" ht="15">
      <c r="C590" s="6"/>
      <c r="D590" s="13"/>
      <c r="E590" s="18" t="s">
        <v>2185</v>
      </c>
      <c r="F590" s="23"/>
      <c r="G590" s="818" t="s">
        <v>2366</v>
      </c>
      <c r="H590" s="55"/>
      <c r="I590" s="56"/>
      <c r="J590" s="818"/>
      <c r="K590" s="15" t="s">
        <v>8</v>
      </c>
      <c r="L590" s="10"/>
      <c r="M590" s="10"/>
      <c r="N590" s="13"/>
      <c r="O590" s="13"/>
      <c r="P590" s="100"/>
      <c r="Q590" s="100"/>
      <c r="T590" s="1301"/>
      <c r="U590" s="6" t="s">
        <v>3</v>
      </c>
    </row>
    <row r="591" spans="3:23" s="7" customFormat="1" ht="15">
      <c r="C591" s="6" t="s">
        <v>2367</v>
      </c>
      <c r="D591" s="13" t="s">
        <v>2368</v>
      </c>
      <c r="E591" s="21" t="s">
        <v>2369</v>
      </c>
      <c r="F591" s="23"/>
      <c r="G591" s="21" t="s">
        <v>25</v>
      </c>
      <c r="H591" s="55">
        <v>45</v>
      </c>
      <c r="I591" s="55">
        <v>45</v>
      </c>
      <c r="J591" s="55">
        <v>45</v>
      </c>
      <c r="K591" s="819">
        <v>4.59</v>
      </c>
      <c r="L591" s="688">
        <v>43938</v>
      </c>
      <c r="M591" s="688"/>
      <c r="N591" s="689">
        <v>43938</v>
      </c>
      <c r="O591" s="690" t="s">
        <v>2370</v>
      </c>
      <c r="P591" s="22"/>
      <c r="Q591" s="13">
        <v>289</v>
      </c>
      <c r="R591" s="591">
        <v>169</v>
      </c>
      <c r="S591" s="63" t="s">
        <v>2042</v>
      </c>
      <c r="T591" s="1307"/>
      <c r="U591" s="22"/>
      <c r="W591" s="22"/>
    </row>
    <row r="592" spans="3:23" s="7" customFormat="1" ht="15">
      <c r="C592" s="6"/>
      <c r="D592" s="13"/>
      <c r="E592" s="18" t="s">
        <v>2185</v>
      </c>
      <c r="F592" s="23"/>
      <c r="G592" s="818" t="s">
        <v>2371</v>
      </c>
      <c r="H592" s="55"/>
      <c r="I592" s="56"/>
      <c r="J592" s="818"/>
      <c r="K592" s="15" t="s">
        <v>8</v>
      </c>
      <c r="L592" s="688"/>
      <c r="M592" s="688"/>
      <c r="N592" s="689"/>
      <c r="O592" s="690"/>
      <c r="P592" s="100"/>
      <c r="Q592" s="100"/>
      <c r="T592" s="1301"/>
      <c r="U592" s="6" t="s">
        <v>3</v>
      </c>
    </row>
    <row r="593" spans="3:23" s="7" customFormat="1" ht="15">
      <c r="C593" s="6" t="s">
        <v>2367</v>
      </c>
      <c r="D593" s="13" t="s">
        <v>2368</v>
      </c>
      <c r="E593" s="21" t="s">
        <v>2372</v>
      </c>
      <c r="F593" s="23"/>
      <c r="G593" s="21" t="s">
        <v>25</v>
      </c>
      <c r="H593" s="55">
        <v>70</v>
      </c>
      <c r="I593" s="55">
        <v>70</v>
      </c>
      <c r="J593" s="55">
        <v>70</v>
      </c>
      <c r="K593" s="819">
        <v>3</v>
      </c>
      <c r="L593" s="688">
        <v>43938</v>
      </c>
      <c r="M593" s="688"/>
      <c r="N593" s="689">
        <v>43938</v>
      </c>
      <c r="O593" s="690" t="s">
        <v>2370</v>
      </c>
      <c r="P593" s="22"/>
      <c r="Q593" s="13">
        <v>189</v>
      </c>
      <c r="R593" s="591">
        <v>119</v>
      </c>
      <c r="S593" s="63" t="s">
        <v>106</v>
      </c>
      <c r="T593" s="1307"/>
      <c r="U593" s="22"/>
      <c r="W593" s="22"/>
    </row>
    <row r="594" spans="3:23" s="7" customFormat="1" ht="15">
      <c r="C594" s="6" t="s">
        <v>2367</v>
      </c>
      <c r="D594" s="13" t="s">
        <v>2368</v>
      </c>
      <c r="E594" s="21"/>
      <c r="F594" s="38"/>
      <c r="G594" s="38" t="s">
        <v>13</v>
      </c>
      <c r="H594" s="39" t="s">
        <v>28</v>
      </c>
      <c r="I594" s="94"/>
      <c r="J594" s="93"/>
      <c r="K594" s="819">
        <v>15</v>
      </c>
      <c r="L594" s="688">
        <v>43938</v>
      </c>
      <c r="M594" s="688"/>
      <c r="N594" s="689">
        <v>43938</v>
      </c>
      <c r="O594" s="690" t="s">
        <v>2370</v>
      </c>
      <c r="P594" s="22"/>
      <c r="Q594" s="22"/>
      <c r="T594" s="1301"/>
      <c r="U594" s="6"/>
    </row>
    <row r="595" spans="3:23" s="7" customFormat="1" ht="15">
      <c r="C595" s="6"/>
      <c r="D595" s="13"/>
      <c r="E595" s="18" t="s">
        <v>2185</v>
      </c>
      <c r="F595" s="23"/>
      <c r="G595" s="818" t="s">
        <v>2366</v>
      </c>
      <c r="H595" s="55"/>
      <c r="I595" s="56"/>
      <c r="J595" s="818"/>
      <c r="K595" s="15" t="s">
        <v>8</v>
      </c>
      <c r="L595" s="10"/>
      <c r="M595" s="10"/>
      <c r="N595" s="13"/>
      <c r="O595" s="13"/>
      <c r="P595" s="100"/>
      <c r="Q595" s="100"/>
      <c r="T595" s="1301"/>
      <c r="U595" s="6" t="s">
        <v>3</v>
      </c>
    </row>
    <row r="596" spans="3:23" s="7" customFormat="1" ht="15">
      <c r="C596" s="6" t="s">
        <v>2373</v>
      </c>
      <c r="D596" s="13" t="s">
        <v>2374</v>
      </c>
      <c r="E596" s="21" t="s">
        <v>2369</v>
      </c>
      <c r="F596" s="23"/>
      <c r="G596" s="21" t="s">
        <v>25</v>
      </c>
      <c r="H596" s="55">
        <v>10</v>
      </c>
      <c r="I596" s="55">
        <v>10</v>
      </c>
      <c r="J596" s="55">
        <v>10</v>
      </c>
      <c r="K596" s="598">
        <v>3.76</v>
      </c>
      <c r="L596" s="688">
        <v>43964</v>
      </c>
      <c r="M596" s="688"/>
      <c r="N596" s="689">
        <v>43964</v>
      </c>
      <c r="O596" s="690" t="s">
        <v>2375</v>
      </c>
      <c r="P596" s="22"/>
      <c r="Q596" s="13">
        <v>289</v>
      </c>
      <c r="R596" s="591">
        <v>169</v>
      </c>
      <c r="S596" s="63" t="s">
        <v>2042</v>
      </c>
      <c r="T596" s="1307"/>
      <c r="U596" s="22"/>
      <c r="W596" s="22"/>
    </row>
    <row r="597" spans="3:23" s="7" customFormat="1" ht="15">
      <c r="C597" s="6" t="s">
        <v>2373</v>
      </c>
      <c r="D597" s="13" t="s">
        <v>2374</v>
      </c>
      <c r="E597" s="21"/>
      <c r="F597" s="38"/>
      <c r="G597" s="38" t="s">
        <v>13</v>
      </c>
      <c r="H597" s="39" t="s">
        <v>28</v>
      </c>
      <c r="I597" s="94"/>
      <c r="J597" s="93"/>
      <c r="K597" s="611">
        <v>12</v>
      </c>
      <c r="L597" s="688">
        <v>43964</v>
      </c>
      <c r="M597" s="688"/>
      <c r="N597" s="689">
        <v>43964</v>
      </c>
      <c r="O597" s="690" t="s">
        <v>2375</v>
      </c>
      <c r="P597" s="22"/>
      <c r="Q597" s="22"/>
      <c r="T597" s="1301"/>
      <c r="U597" s="6"/>
    </row>
    <row r="598" spans="3:23" s="7" customFormat="1" ht="18" customHeight="1">
      <c r="C598" s="6"/>
      <c r="D598" s="13"/>
      <c r="E598" s="13" t="s">
        <v>2348</v>
      </c>
      <c r="F598" s="14"/>
      <c r="G598" s="13"/>
      <c r="H598" s="55"/>
      <c r="I598" s="56"/>
      <c r="J598" s="55"/>
      <c r="K598" s="15" t="s">
        <v>8</v>
      </c>
      <c r="L598" s="10"/>
      <c r="M598" s="10"/>
      <c r="N598" s="13"/>
      <c r="O598" s="40"/>
      <c r="P598" s="738"/>
      <c r="Q598" s="100"/>
      <c r="T598" s="1301"/>
      <c r="U598" s="6" t="s">
        <v>3</v>
      </c>
    </row>
    <row r="599" spans="3:23" s="7" customFormat="1" ht="18" customHeight="1">
      <c r="C599" s="6" t="s">
        <v>2376</v>
      </c>
      <c r="D599" s="13" t="s">
        <v>2341</v>
      </c>
      <c r="E599" s="21">
        <v>4503</v>
      </c>
      <c r="F599" s="134">
        <v>10</v>
      </c>
      <c r="G599" s="21" t="s">
        <v>58</v>
      </c>
      <c r="H599" s="93">
        <v>30</v>
      </c>
      <c r="I599" s="94">
        <v>13</v>
      </c>
      <c r="J599" s="55">
        <f>H599*I599</f>
        <v>390</v>
      </c>
      <c r="K599" s="611">
        <v>0.28000000000000003</v>
      </c>
      <c r="L599" s="688">
        <v>43970</v>
      </c>
      <c r="M599" s="688"/>
      <c r="N599" s="689">
        <v>43970</v>
      </c>
      <c r="O599" s="690" t="s">
        <v>2377</v>
      </c>
      <c r="P599" s="40"/>
      <c r="Q599" s="40"/>
      <c r="R599" s="7">
        <v>18</v>
      </c>
      <c r="T599" s="1301"/>
      <c r="U599" s="6"/>
    </row>
    <row r="600" spans="3:23" s="7" customFormat="1" ht="15">
      <c r="C600" s="6" t="s">
        <v>2376</v>
      </c>
      <c r="D600" s="13" t="s">
        <v>2341</v>
      </c>
      <c r="E600" s="21"/>
      <c r="F600" s="38"/>
      <c r="G600" s="38" t="s">
        <v>13</v>
      </c>
      <c r="H600" s="39" t="s">
        <v>28</v>
      </c>
      <c r="I600" s="94"/>
      <c r="J600" s="93"/>
      <c r="K600" s="611">
        <v>12</v>
      </c>
      <c r="L600" s="688">
        <v>43970</v>
      </c>
      <c r="M600" s="688"/>
      <c r="N600" s="689">
        <v>43970</v>
      </c>
      <c r="O600" s="690" t="s">
        <v>2377</v>
      </c>
      <c r="P600" s="22"/>
      <c r="Q600" s="22"/>
      <c r="T600" s="1301"/>
      <c r="U600" s="6"/>
    </row>
    <row r="601" spans="3:23" s="7" customFormat="1" ht="15.75">
      <c r="C601" s="6"/>
      <c r="D601" s="13"/>
      <c r="E601" s="18" t="s">
        <v>264</v>
      </c>
      <c r="F601" s="23"/>
      <c r="G601" s="21"/>
      <c r="H601" s="55"/>
      <c r="I601" s="56"/>
      <c r="J601" s="55"/>
      <c r="K601" s="9" t="s">
        <v>8</v>
      </c>
      <c r="L601" s="10"/>
      <c r="M601" s="10"/>
      <c r="N601" s="12"/>
      <c r="O601" s="114"/>
      <c r="P601" s="100"/>
      <c r="Q601" s="100"/>
      <c r="T601" s="1301"/>
      <c r="U601" s="6" t="s">
        <v>3</v>
      </c>
    </row>
    <row r="602" spans="3:23" s="7" customFormat="1" ht="15">
      <c r="C602" s="6" t="s">
        <v>2378</v>
      </c>
      <c r="D602" s="50" t="s">
        <v>2379</v>
      </c>
      <c r="E602" s="21">
        <v>11700</v>
      </c>
      <c r="F602" s="23">
        <v>24</v>
      </c>
      <c r="G602" s="21" t="s">
        <v>58</v>
      </c>
      <c r="H602" s="55">
        <v>10</v>
      </c>
      <c r="I602" s="56">
        <v>2</v>
      </c>
      <c r="J602" s="55">
        <f t="shared" ref="J602:J612" si="9">H602*I602</f>
        <v>20</v>
      </c>
      <c r="K602" s="611">
        <v>1.92</v>
      </c>
      <c r="L602" s="688">
        <v>43987</v>
      </c>
      <c r="M602" s="688"/>
      <c r="N602" s="689">
        <v>43987</v>
      </c>
      <c r="O602" s="690" t="s">
        <v>2380</v>
      </c>
      <c r="P602" s="22"/>
      <c r="Q602" s="100"/>
      <c r="R602" s="7">
        <v>126.7</v>
      </c>
      <c r="S602" s="7">
        <v>1267</v>
      </c>
      <c r="T602" s="1301"/>
      <c r="U602" s="22"/>
    </row>
    <row r="603" spans="3:23" s="7" customFormat="1" ht="15">
      <c r="C603" s="6" t="s">
        <v>2378</v>
      </c>
      <c r="D603" s="50" t="s">
        <v>2379</v>
      </c>
      <c r="E603" s="21">
        <v>11700</v>
      </c>
      <c r="F603" s="23">
        <v>24</v>
      </c>
      <c r="G603" s="21" t="s">
        <v>2159</v>
      </c>
      <c r="H603" s="55">
        <v>10</v>
      </c>
      <c r="I603" s="56">
        <v>1</v>
      </c>
      <c r="J603" s="55">
        <f t="shared" si="9"/>
        <v>10</v>
      </c>
      <c r="K603" s="611">
        <v>1.92</v>
      </c>
      <c r="L603" s="688">
        <v>43987</v>
      </c>
      <c r="M603" s="688"/>
      <c r="N603" s="689">
        <v>43987</v>
      </c>
      <c r="O603" s="690" t="s">
        <v>2380</v>
      </c>
      <c r="P603" s="22"/>
      <c r="Q603" s="100"/>
      <c r="R603" s="7">
        <v>126.7</v>
      </c>
      <c r="S603" s="7">
        <v>1267</v>
      </c>
      <c r="T603" s="1301"/>
      <c r="U603" s="22"/>
    </row>
    <row r="604" spans="3:23" s="7" customFormat="1" ht="15">
      <c r="C604" s="6" t="s">
        <v>2378</v>
      </c>
      <c r="D604" s="50" t="s">
        <v>2379</v>
      </c>
      <c r="E604" s="21">
        <v>11700</v>
      </c>
      <c r="F604" s="23">
        <v>24</v>
      </c>
      <c r="G604" s="21" t="s">
        <v>2160</v>
      </c>
      <c r="H604" s="55">
        <v>10</v>
      </c>
      <c r="I604" s="56">
        <v>1</v>
      </c>
      <c r="J604" s="55">
        <f t="shared" si="9"/>
        <v>10</v>
      </c>
      <c r="K604" s="611">
        <v>1.92</v>
      </c>
      <c r="L604" s="688">
        <v>43987</v>
      </c>
      <c r="M604" s="688"/>
      <c r="N604" s="689">
        <v>43987</v>
      </c>
      <c r="O604" s="690" t="s">
        <v>2380</v>
      </c>
      <c r="P604" s="22"/>
      <c r="Q604" s="100"/>
      <c r="R604" s="7">
        <v>126.7</v>
      </c>
      <c r="S604" s="7">
        <v>1267</v>
      </c>
      <c r="T604" s="1301"/>
      <c r="U604" s="22"/>
    </row>
    <row r="605" spans="3:23" s="7" customFormat="1" ht="15">
      <c r="C605" s="6" t="s">
        <v>2378</v>
      </c>
      <c r="D605" s="50" t="s">
        <v>2379</v>
      </c>
      <c r="E605" s="21">
        <v>11700</v>
      </c>
      <c r="F605" s="23">
        <v>24</v>
      </c>
      <c r="G605" s="21" t="s">
        <v>2161</v>
      </c>
      <c r="H605" s="55">
        <v>10</v>
      </c>
      <c r="I605" s="56">
        <v>1</v>
      </c>
      <c r="J605" s="55">
        <f t="shared" si="9"/>
        <v>10</v>
      </c>
      <c r="K605" s="611">
        <v>1.92</v>
      </c>
      <c r="L605" s="688">
        <v>43987</v>
      </c>
      <c r="M605" s="688"/>
      <c r="N605" s="689">
        <v>43987</v>
      </c>
      <c r="O605" s="690" t="s">
        <v>2380</v>
      </c>
      <c r="P605" s="22"/>
      <c r="Q605" s="100"/>
      <c r="R605" s="7">
        <v>126.7</v>
      </c>
      <c r="S605" s="7">
        <v>1267</v>
      </c>
      <c r="T605" s="1301"/>
      <c r="U605" s="22"/>
    </row>
    <row r="606" spans="3:23" s="7" customFormat="1" ht="15">
      <c r="C606" s="6" t="s">
        <v>2378</v>
      </c>
      <c r="D606" s="50" t="s">
        <v>2379</v>
      </c>
      <c r="E606" s="21">
        <v>11700</v>
      </c>
      <c r="F606" s="23">
        <v>24</v>
      </c>
      <c r="G606" s="21" t="s">
        <v>2162</v>
      </c>
      <c r="H606" s="55">
        <v>10</v>
      </c>
      <c r="I606" s="56">
        <v>1</v>
      </c>
      <c r="J606" s="55">
        <f t="shared" si="9"/>
        <v>10</v>
      </c>
      <c r="K606" s="611">
        <v>1.92</v>
      </c>
      <c r="L606" s="688">
        <v>43987</v>
      </c>
      <c r="M606" s="688"/>
      <c r="N606" s="689">
        <v>43987</v>
      </c>
      <c r="O606" s="690" t="s">
        <v>2380</v>
      </c>
      <c r="P606" s="22"/>
      <c r="Q606" s="100"/>
      <c r="R606" s="7">
        <v>126.7</v>
      </c>
      <c r="S606" s="7">
        <v>1267</v>
      </c>
      <c r="T606" s="1301"/>
      <c r="U606" s="22"/>
    </row>
    <row r="607" spans="3:23" s="7" customFormat="1" ht="15">
      <c r="C607" s="6" t="s">
        <v>2378</v>
      </c>
      <c r="D607" s="50" t="s">
        <v>2379</v>
      </c>
      <c r="E607" s="21">
        <v>11700</v>
      </c>
      <c r="F607" s="23">
        <v>24</v>
      </c>
      <c r="G607" s="21" t="s">
        <v>2163</v>
      </c>
      <c r="H607" s="55">
        <v>10</v>
      </c>
      <c r="I607" s="56">
        <v>1</v>
      </c>
      <c r="J607" s="55">
        <f t="shared" si="9"/>
        <v>10</v>
      </c>
      <c r="K607" s="611">
        <v>1.92</v>
      </c>
      <c r="L607" s="688">
        <v>43987</v>
      </c>
      <c r="M607" s="688"/>
      <c r="N607" s="689">
        <v>43987</v>
      </c>
      <c r="O607" s="690" t="s">
        <v>2380</v>
      </c>
      <c r="P607" s="22"/>
      <c r="Q607" s="100"/>
      <c r="R607" s="7">
        <v>126.7</v>
      </c>
      <c r="S607" s="7">
        <v>1267</v>
      </c>
      <c r="T607" s="1301"/>
      <c r="U607" s="22"/>
    </row>
    <row r="608" spans="3:23" s="7" customFormat="1" ht="15">
      <c r="C608" s="6" t="s">
        <v>2378</v>
      </c>
      <c r="D608" s="50" t="s">
        <v>2379</v>
      </c>
      <c r="E608" s="21">
        <v>11700</v>
      </c>
      <c r="F608" s="23">
        <v>24</v>
      </c>
      <c r="G608" s="21" t="s">
        <v>2381</v>
      </c>
      <c r="H608" s="55">
        <v>10</v>
      </c>
      <c r="I608" s="56">
        <v>1</v>
      </c>
      <c r="J608" s="55">
        <f t="shared" si="9"/>
        <v>10</v>
      </c>
      <c r="K608" s="611">
        <v>1.92</v>
      </c>
      <c r="L608" s="688">
        <v>43987</v>
      </c>
      <c r="M608" s="688"/>
      <c r="N608" s="689">
        <v>43987</v>
      </c>
      <c r="O608" s="690" t="s">
        <v>2380</v>
      </c>
      <c r="P608" s="22"/>
      <c r="Q608" s="100"/>
      <c r="R608" s="7">
        <v>126.7</v>
      </c>
      <c r="S608" s="7">
        <v>1267</v>
      </c>
      <c r="T608" s="1301"/>
      <c r="U608" s="22"/>
    </row>
    <row r="609" spans="3:23" s="7" customFormat="1" ht="15">
      <c r="C609" s="6" t="s">
        <v>2378</v>
      </c>
      <c r="D609" s="50" t="s">
        <v>2379</v>
      </c>
      <c r="E609" s="21">
        <v>11700</v>
      </c>
      <c r="F609" s="23">
        <v>24</v>
      </c>
      <c r="G609" s="21" t="s">
        <v>2382</v>
      </c>
      <c r="H609" s="55">
        <v>10</v>
      </c>
      <c r="I609" s="56">
        <v>1</v>
      </c>
      <c r="J609" s="55">
        <f t="shared" si="9"/>
        <v>10</v>
      </c>
      <c r="K609" s="611">
        <v>1.92</v>
      </c>
      <c r="L609" s="688">
        <v>43987</v>
      </c>
      <c r="M609" s="688"/>
      <c r="N609" s="689">
        <v>43987</v>
      </c>
      <c r="O609" s="690" t="s">
        <v>2380</v>
      </c>
      <c r="P609" s="22"/>
      <c r="Q609" s="100"/>
      <c r="R609" s="7">
        <v>126.7</v>
      </c>
      <c r="S609" s="7">
        <v>1267</v>
      </c>
      <c r="T609" s="1301"/>
      <c r="U609" s="22"/>
    </row>
    <row r="610" spans="3:23" s="7" customFormat="1" ht="15">
      <c r="C610" s="6" t="s">
        <v>2378</v>
      </c>
      <c r="D610" s="50" t="s">
        <v>2379</v>
      </c>
      <c r="E610" s="21">
        <v>11700</v>
      </c>
      <c r="F610" s="23">
        <v>36</v>
      </c>
      <c r="G610" s="21" t="s">
        <v>58</v>
      </c>
      <c r="H610" s="55">
        <v>10</v>
      </c>
      <c r="I610" s="56">
        <v>2</v>
      </c>
      <c r="J610" s="55">
        <f t="shared" si="9"/>
        <v>20</v>
      </c>
      <c r="K610" s="611">
        <v>3.2</v>
      </c>
      <c r="L610" s="688">
        <v>43987</v>
      </c>
      <c r="M610" s="688"/>
      <c r="N610" s="689">
        <v>43987</v>
      </c>
      <c r="O610" s="690" t="s">
        <v>2380</v>
      </c>
      <c r="P610" s="22"/>
      <c r="Q610" s="100"/>
      <c r="R610" s="7">
        <v>210.8</v>
      </c>
      <c r="S610" s="7">
        <v>2108</v>
      </c>
      <c r="T610" s="1301"/>
      <c r="U610" s="22"/>
    </row>
    <row r="611" spans="3:23" s="7" customFormat="1" ht="15">
      <c r="C611" s="6" t="s">
        <v>2378</v>
      </c>
      <c r="D611" s="50" t="s">
        <v>2379</v>
      </c>
      <c r="E611" s="21">
        <v>11700</v>
      </c>
      <c r="F611" s="23">
        <v>36</v>
      </c>
      <c r="G611" s="21" t="s">
        <v>2161</v>
      </c>
      <c r="H611" s="55">
        <v>10</v>
      </c>
      <c r="I611" s="56">
        <v>1</v>
      </c>
      <c r="J611" s="55">
        <f t="shared" si="9"/>
        <v>10</v>
      </c>
      <c r="K611" s="611">
        <v>3.2</v>
      </c>
      <c r="L611" s="688">
        <v>43987</v>
      </c>
      <c r="M611" s="688"/>
      <c r="N611" s="689">
        <v>43987</v>
      </c>
      <c r="O611" s="690" t="s">
        <v>2380</v>
      </c>
      <c r="P611" s="22"/>
      <c r="Q611" s="100"/>
      <c r="R611" s="7">
        <v>210.8</v>
      </c>
      <c r="S611" s="7">
        <v>2108</v>
      </c>
      <c r="T611" s="1301"/>
      <c r="U611" s="22"/>
    </row>
    <row r="612" spans="3:23" s="7" customFormat="1" ht="15">
      <c r="C612" s="6" t="s">
        <v>2378</v>
      </c>
      <c r="D612" s="50" t="s">
        <v>2379</v>
      </c>
      <c r="E612" s="21">
        <v>11700</v>
      </c>
      <c r="F612" s="23">
        <v>36</v>
      </c>
      <c r="G612" s="21" t="s">
        <v>2163</v>
      </c>
      <c r="H612" s="55">
        <v>10</v>
      </c>
      <c r="I612" s="56">
        <v>1</v>
      </c>
      <c r="J612" s="55">
        <f t="shared" si="9"/>
        <v>10</v>
      </c>
      <c r="K612" s="611">
        <v>3.2</v>
      </c>
      <c r="L612" s="688">
        <v>43987</v>
      </c>
      <c r="M612" s="688"/>
      <c r="N612" s="689">
        <v>43987</v>
      </c>
      <c r="O612" s="690" t="s">
        <v>2380</v>
      </c>
      <c r="P612" s="22"/>
      <c r="Q612" s="100"/>
      <c r="R612" s="7">
        <v>210.8</v>
      </c>
      <c r="S612" s="7">
        <v>2108</v>
      </c>
      <c r="T612" s="1301"/>
      <c r="U612" s="22"/>
    </row>
    <row r="613" spans="3:23" s="7" customFormat="1" ht="15">
      <c r="C613" s="6" t="s">
        <v>2383</v>
      </c>
      <c r="D613" s="50" t="s">
        <v>2379</v>
      </c>
      <c r="E613" s="21">
        <v>11700</v>
      </c>
      <c r="F613" s="23">
        <v>24</v>
      </c>
      <c r="G613" s="21" t="s">
        <v>2384</v>
      </c>
      <c r="H613" s="55">
        <v>10</v>
      </c>
      <c r="I613" s="56">
        <v>1</v>
      </c>
      <c r="J613" s="55">
        <v>10</v>
      </c>
      <c r="K613" s="611">
        <v>1.92</v>
      </c>
      <c r="L613" s="688">
        <v>43987</v>
      </c>
      <c r="M613" s="688"/>
      <c r="N613" s="689">
        <v>43987</v>
      </c>
      <c r="O613" s="690" t="s">
        <v>2380</v>
      </c>
      <c r="P613" s="22"/>
      <c r="Q613" s="100"/>
      <c r="R613" s="7">
        <v>126.7</v>
      </c>
      <c r="S613" s="7">
        <v>1267</v>
      </c>
      <c r="T613" s="1301"/>
      <c r="U613" s="22"/>
    </row>
    <row r="614" spans="3:23" s="7" customFormat="1" ht="15">
      <c r="C614" s="6"/>
      <c r="D614" s="13"/>
      <c r="E614" s="18" t="s">
        <v>55</v>
      </c>
      <c r="F614" s="23"/>
      <c r="G614" s="21"/>
      <c r="H614" s="55"/>
      <c r="I614" s="56"/>
      <c r="J614" s="55"/>
      <c r="K614" s="9" t="s">
        <v>8</v>
      </c>
      <c r="L614" s="688"/>
      <c r="M614" s="688"/>
      <c r="N614" s="689"/>
      <c r="O614" s="690"/>
      <c r="P614" s="100"/>
      <c r="Q614" s="100"/>
      <c r="T614" s="1301"/>
      <c r="U614" s="6" t="s">
        <v>3</v>
      </c>
    </row>
    <row r="615" spans="3:23" s="7" customFormat="1" ht="15">
      <c r="C615" s="6" t="s">
        <v>2383</v>
      </c>
      <c r="D615" s="50" t="s">
        <v>2379</v>
      </c>
      <c r="E615" s="21">
        <v>12701</v>
      </c>
      <c r="F615" s="23">
        <v>24</v>
      </c>
      <c r="G615" s="21" t="s">
        <v>2385</v>
      </c>
      <c r="H615" s="55">
        <v>10</v>
      </c>
      <c r="I615" s="56">
        <v>1</v>
      </c>
      <c r="J615" s="55">
        <f>H615*I615</f>
        <v>10</v>
      </c>
      <c r="K615" s="611">
        <v>1.1399999999999999</v>
      </c>
      <c r="L615" s="688">
        <v>43987</v>
      </c>
      <c r="M615" s="688"/>
      <c r="N615" s="689">
        <v>43987</v>
      </c>
      <c r="O615" s="690" t="s">
        <v>2380</v>
      </c>
      <c r="P615" s="22"/>
      <c r="Q615" s="100"/>
      <c r="R615" s="7">
        <v>75.099999999999994</v>
      </c>
      <c r="S615" s="7">
        <f>R615*H615</f>
        <v>751</v>
      </c>
      <c r="T615" s="1301"/>
      <c r="U615" s="6"/>
    </row>
    <row r="616" spans="3:23" s="7" customFormat="1" ht="15">
      <c r="C616" s="6" t="s">
        <v>2383</v>
      </c>
      <c r="D616" s="50" t="s">
        <v>2379</v>
      </c>
      <c r="E616" s="21">
        <v>12701</v>
      </c>
      <c r="F616" s="23">
        <v>24</v>
      </c>
      <c r="G616" s="21" t="s">
        <v>74</v>
      </c>
      <c r="H616" s="55">
        <v>10</v>
      </c>
      <c r="I616" s="56">
        <v>2</v>
      </c>
      <c r="J616" s="55">
        <f>H616*I616</f>
        <v>20</v>
      </c>
      <c r="K616" s="611">
        <v>1.1399999999999999</v>
      </c>
      <c r="L616" s="688">
        <v>43987</v>
      </c>
      <c r="M616" s="688"/>
      <c r="N616" s="689">
        <v>43987</v>
      </c>
      <c r="O616" s="690" t="s">
        <v>2380</v>
      </c>
      <c r="P616" s="22"/>
      <c r="Q616" s="100"/>
      <c r="R616" s="7">
        <v>75.099999999999994</v>
      </c>
      <c r="S616" s="7">
        <f>R616*H616</f>
        <v>751</v>
      </c>
      <c r="T616" s="1301"/>
      <c r="U616" s="6"/>
    </row>
    <row r="617" spans="3:23" s="7" customFormat="1" ht="15">
      <c r="C617" s="6"/>
      <c r="D617" s="13"/>
      <c r="E617" s="18" t="s">
        <v>83</v>
      </c>
      <c r="F617" s="23"/>
      <c r="G617" s="21"/>
      <c r="H617" s="30"/>
      <c r="I617" s="56"/>
      <c r="J617" s="55"/>
      <c r="K617" s="15" t="s">
        <v>8</v>
      </c>
      <c r="L617" s="688"/>
      <c r="M617" s="688"/>
      <c r="N617" s="689"/>
      <c r="O617" s="690"/>
      <c r="P617" s="22"/>
      <c r="Q617" s="100"/>
      <c r="T617" s="1301"/>
      <c r="U617" s="6"/>
    </row>
    <row r="618" spans="3:23" s="7" customFormat="1" ht="15">
      <c r="C618" s="6" t="s">
        <v>2378</v>
      </c>
      <c r="D618" s="50" t="s">
        <v>2379</v>
      </c>
      <c r="E618" s="21">
        <v>3705</v>
      </c>
      <c r="F618" s="23">
        <v>15</v>
      </c>
      <c r="G618" s="21" t="s">
        <v>103</v>
      </c>
      <c r="H618" s="55">
        <v>30</v>
      </c>
      <c r="I618" s="56">
        <v>1</v>
      </c>
      <c r="J618" s="55">
        <v>30</v>
      </c>
      <c r="K618" s="611">
        <v>0.33</v>
      </c>
      <c r="L618" s="688">
        <v>43987</v>
      </c>
      <c r="M618" s="688"/>
      <c r="N618" s="689">
        <v>43987</v>
      </c>
      <c r="O618" s="690" t="s">
        <v>2380</v>
      </c>
      <c r="P618" s="22"/>
      <c r="Q618" s="22"/>
      <c r="R618" s="7">
        <v>21.37</v>
      </c>
      <c r="S618" s="7">
        <f>R618*H618</f>
        <v>641.1</v>
      </c>
      <c r="T618" s="1301"/>
      <c r="U618" s="6"/>
    </row>
    <row r="619" spans="3:23" ht="18" customHeight="1">
      <c r="C619" s="6" t="s">
        <v>2378</v>
      </c>
      <c r="D619" s="50" t="s">
        <v>2379</v>
      </c>
      <c r="E619" s="48"/>
      <c r="F619" s="38"/>
      <c r="G619" s="38" t="s">
        <v>13</v>
      </c>
      <c r="H619" s="39" t="s">
        <v>28</v>
      </c>
      <c r="I619" s="94"/>
      <c r="J619" s="93"/>
      <c r="K619" s="611">
        <v>12</v>
      </c>
      <c r="L619" s="688">
        <v>43987</v>
      </c>
      <c r="M619" s="688"/>
      <c r="N619" s="689">
        <v>43987</v>
      </c>
      <c r="O619" s="690" t="s">
        <v>2380</v>
      </c>
      <c r="P619" s="22"/>
      <c r="Q619" s="22"/>
      <c r="R619" s="7"/>
      <c r="U619" s="6"/>
    </row>
    <row r="620" spans="3:23" s="7" customFormat="1" ht="15">
      <c r="C620" s="6"/>
      <c r="D620" s="13"/>
      <c r="E620" s="18" t="s">
        <v>2185</v>
      </c>
      <c r="F620" s="23"/>
      <c r="G620" s="21"/>
      <c r="H620" s="55"/>
      <c r="I620" s="56"/>
      <c r="J620" s="55"/>
      <c r="K620" s="15" t="s">
        <v>8</v>
      </c>
      <c r="L620" s="10"/>
      <c r="M620" s="10"/>
      <c r="N620" s="13"/>
      <c r="O620" s="13"/>
      <c r="P620" s="100"/>
      <c r="Q620" s="100"/>
      <c r="T620" s="1301"/>
      <c r="U620" s="6" t="s">
        <v>3</v>
      </c>
    </row>
    <row r="621" spans="3:23" s="7" customFormat="1" ht="15">
      <c r="C621" s="6" t="s">
        <v>2386</v>
      </c>
      <c r="D621" s="13" t="s">
        <v>1870</v>
      </c>
      <c r="E621" s="21" t="s">
        <v>2387</v>
      </c>
      <c r="F621" s="23"/>
      <c r="G621" s="21" t="s">
        <v>2388</v>
      </c>
      <c r="H621" s="93">
        <v>13.7</v>
      </c>
      <c r="I621" s="35">
        <v>2</v>
      </c>
      <c r="J621" s="17">
        <f>H621*I621</f>
        <v>27.4</v>
      </c>
      <c r="K621" s="611">
        <v>2.06</v>
      </c>
      <c r="L621" s="688">
        <v>43994</v>
      </c>
      <c r="M621" s="688"/>
      <c r="N621" s="689">
        <v>43994</v>
      </c>
      <c r="O621" s="690" t="s">
        <v>2389</v>
      </c>
      <c r="P621" s="22"/>
      <c r="Q621" s="13"/>
      <c r="R621" s="591">
        <v>158</v>
      </c>
      <c r="S621" s="63"/>
      <c r="T621" s="1307"/>
      <c r="U621" s="22"/>
      <c r="W621" s="22"/>
    </row>
    <row r="622" spans="3:23" s="7" customFormat="1" ht="15">
      <c r="C622" s="6" t="s">
        <v>2386</v>
      </c>
      <c r="D622" s="13" t="s">
        <v>1870</v>
      </c>
      <c r="E622" s="21" t="s">
        <v>2390</v>
      </c>
      <c r="F622" s="23"/>
      <c r="G622" s="21" t="s">
        <v>2391</v>
      </c>
      <c r="H622" s="93">
        <v>13.7</v>
      </c>
      <c r="I622" s="35">
        <v>2</v>
      </c>
      <c r="J622" s="17">
        <f>H622*I622</f>
        <v>27.4</v>
      </c>
      <c r="K622" s="611">
        <v>2.06</v>
      </c>
      <c r="L622" s="688">
        <v>43994</v>
      </c>
      <c r="M622" s="688"/>
      <c r="N622" s="689">
        <v>43994</v>
      </c>
      <c r="O622" s="690" t="s">
        <v>2389</v>
      </c>
      <c r="P622" s="22"/>
      <c r="Q622" s="13"/>
      <c r="R622" s="591">
        <v>158</v>
      </c>
      <c r="S622" s="63"/>
      <c r="T622" s="1307"/>
      <c r="U622" s="22"/>
      <c r="W622" s="22"/>
    </row>
    <row r="623" spans="3:23" s="7" customFormat="1" ht="15">
      <c r="C623" s="6" t="s">
        <v>2386</v>
      </c>
      <c r="D623" s="13" t="s">
        <v>1870</v>
      </c>
      <c r="E623" s="21" t="s">
        <v>2392</v>
      </c>
      <c r="F623" s="23"/>
      <c r="G623" s="21" t="s">
        <v>2393</v>
      </c>
      <c r="H623" s="93">
        <v>13.7</v>
      </c>
      <c r="I623" s="35">
        <v>2</v>
      </c>
      <c r="J623" s="17">
        <f>H623*I623</f>
        <v>27.4</v>
      </c>
      <c r="K623" s="611">
        <v>2.06</v>
      </c>
      <c r="L623" s="688">
        <v>43994</v>
      </c>
      <c r="M623" s="688"/>
      <c r="N623" s="689">
        <v>43994</v>
      </c>
      <c r="O623" s="690" t="s">
        <v>2389</v>
      </c>
      <c r="P623" s="22"/>
      <c r="Q623" s="13"/>
      <c r="R623" s="591">
        <v>158</v>
      </c>
      <c r="S623" s="63"/>
      <c r="T623" s="1307"/>
      <c r="U623" s="22"/>
      <c r="W623" s="22"/>
    </row>
    <row r="624" spans="3:23" ht="18" customHeight="1">
      <c r="C624" s="6" t="s">
        <v>2386</v>
      </c>
      <c r="D624" s="13" t="s">
        <v>1870</v>
      </c>
      <c r="E624" s="48"/>
      <c r="F624" s="38"/>
      <c r="G624" s="38" t="s">
        <v>13</v>
      </c>
      <c r="H624" s="39" t="s">
        <v>28</v>
      </c>
      <c r="I624" s="94"/>
      <c r="J624" s="93"/>
      <c r="K624" s="611">
        <v>12</v>
      </c>
      <c r="L624" s="688">
        <v>43994</v>
      </c>
      <c r="M624" s="688"/>
      <c r="N624" s="689">
        <v>43994</v>
      </c>
      <c r="O624" s="690" t="s">
        <v>2389</v>
      </c>
      <c r="P624" s="22"/>
      <c r="Q624" s="22"/>
      <c r="R624" s="7"/>
      <c r="U624" s="6"/>
    </row>
    <row r="625" spans="3:22" s="7" customFormat="1" ht="15">
      <c r="C625" s="6"/>
      <c r="D625" s="13"/>
      <c r="E625" s="18" t="s">
        <v>19</v>
      </c>
      <c r="F625" s="23"/>
      <c r="G625" s="21"/>
      <c r="H625" s="55"/>
      <c r="I625" s="56"/>
      <c r="J625" s="55"/>
      <c r="K625" s="15" t="s">
        <v>8</v>
      </c>
      <c r="L625" s="10"/>
      <c r="M625" s="10"/>
      <c r="N625" s="13"/>
      <c r="O625" s="13"/>
      <c r="P625" s="100"/>
      <c r="Q625" s="100"/>
      <c r="T625" s="1301"/>
      <c r="U625" s="6" t="s">
        <v>3</v>
      </c>
    </row>
    <row r="626" spans="3:22" s="7" customFormat="1" ht="15">
      <c r="C626" s="6" t="s">
        <v>2394</v>
      </c>
      <c r="D626" s="13" t="s">
        <v>2277</v>
      </c>
      <c r="E626" s="740" t="s">
        <v>2280</v>
      </c>
      <c r="F626" s="23"/>
      <c r="G626" s="21" t="s">
        <v>25</v>
      </c>
      <c r="H626" s="93">
        <v>13.7</v>
      </c>
      <c r="I626" s="94">
        <v>3</v>
      </c>
      <c r="J626" s="17">
        <f>H626*I626</f>
        <v>41.099999999999994</v>
      </c>
      <c r="K626" s="597">
        <v>5.46</v>
      </c>
      <c r="L626" s="688">
        <v>44004</v>
      </c>
      <c r="M626" s="688"/>
      <c r="N626" s="689">
        <v>44004</v>
      </c>
      <c r="O626" s="690" t="s">
        <v>2395</v>
      </c>
      <c r="P626" s="22"/>
      <c r="Q626" s="13"/>
      <c r="R626" s="11">
        <v>450</v>
      </c>
      <c r="S626" s="63"/>
      <c r="T626" s="1307"/>
      <c r="U626" s="22"/>
    </row>
    <row r="627" spans="3:22" ht="15">
      <c r="C627" s="6" t="s">
        <v>2394</v>
      </c>
      <c r="D627" s="13" t="s">
        <v>2277</v>
      </c>
      <c r="E627" s="48"/>
      <c r="F627" s="38"/>
      <c r="G627" s="38" t="s">
        <v>13</v>
      </c>
      <c r="H627" s="39" t="s">
        <v>28</v>
      </c>
      <c r="I627" s="94"/>
      <c r="J627" s="93"/>
      <c r="K627" s="611">
        <v>12</v>
      </c>
      <c r="L627" s="688">
        <v>44004</v>
      </c>
      <c r="M627" s="688"/>
      <c r="N627" s="689">
        <v>44004</v>
      </c>
      <c r="O627" s="690" t="s">
        <v>2395</v>
      </c>
      <c r="P627" s="22"/>
      <c r="Q627" s="22"/>
      <c r="R627" s="7"/>
      <c r="U627" s="6"/>
    </row>
    <row r="628" spans="3:22" s="7" customFormat="1" ht="15">
      <c r="C628" s="6" t="s">
        <v>2394</v>
      </c>
      <c r="D628" s="13" t="s">
        <v>2277</v>
      </c>
      <c r="E628" s="740" t="s">
        <v>2280</v>
      </c>
      <c r="F628" s="23"/>
      <c r="G628" s="21" t="s">
        <v>25</v>
      </c>
      <c r="H628" s="93">
        <v>13.7</v>
      </c>
      <c r="I628" s="94">
        <v>12</v>
      </c>
      <c r="J628" s="17">
        <f>H628*I628</f>
        <v>164.39999999999998</v>
      </c>
      <c r="K628" s="597">
        <v>5.46</v>
      </c>
      <c r="L628" s="688">
        <v>44027</v>
      </c>
      <c r="M628" s="688"/>
      <c r="N628" s="689">
        <v>44027</v>
      </c>
      <c r="O628" s="690" t="s">
        <v>2396</v>
      </c>
      <c r="P628" s="22"/>
      <c r="Q628" s="13"/>
      <c r="R628" s="11">
        <v>450</v>
      </c>
      <c r="S628" s="63"/>
      <c r="T628" s="1307"/>
      <c r="U628" s="22"/>
    </row>
    <row r="629" spans="3:22" s="7" customFormat="1" ht="15">
      <c r="C629" s="6"/>
      <c r="D629" s="13"/>
      <c r="E629" s="18" t="s">
        <v>2397</v>
      </c>
      <c r="F629" s="23"/>
      <c r="G629" s="21"/>
      <c r="H629" s="55"/>
      <c r="I629" s="56"/>
      <c r="J629" s="55"/>
      <c r="K629" s="15" t="s">
        <v>8</v>
      </c>
      <c r="L629" s="10"/>
      <c r="M629" s="10"/>
      <c r="N629" s="13"/>
      <c r="O629" s="13"/>
      <c r="P629" s="100"/>
      <c r="Q629" s="100"/>
      <c r="T629" s="1301"/>
      <c r="U629" s="6" t="s">
        <v>3</v>
      </c>
    </row>
    <row r="630" spans="3:22" s="7" customFormat="1" ht="15">
      <c r="C630" s="6" t="s">
        <v>2398</v>
      </c>
      <c r="D630" s="50" t="s">
        <v>2269</v>
      </c>
      <c r="E630" s="21">
        <v>5637</v>
      </c>
      <c r="F630" s="23" t="s">
        <v>155</v>
      </c>
      <c r="G630" s="21" t="s">
        <v>2399</v>
      </c>
      <c r="H630" s="55">
        <v>50</v>
      </c>
      <c r="I630" s="56">
        <v>3</v>
      </c>
      <c r="J630" s="55">
        <f>H630*I630</f>
        <v>150</v>
      </c>
      <c r="K630" s="611">
        <v>0.15</v>
      </c>
      <c r="L630" s="688">
        <v>44001</v>
      </c>
      <c r="M630" s="688"/>
      <c r="N630" s="689">
        <v>44001</v>
      </c>
      <c r="O630" s="690" t="s">
        <v>2400</v>
      </c>
      <c r="P630" s="22"/>
      <c r="Q630" s="100"/>
      <c r="R630" s="7" t="s">
        <v>2401</v>
      </c>
      <c r="S630" s="7" t="s">
        <v>2402</v>
      </c>
      <c r="T630" s="1301"/>
      <c r="U630" s="6"/>
    </row>
    <row r="631" spans="3:22" ht="15">
      <c r="C631" s="6" t="s">
        <v>2398</v>
      </c>
      <c r="D631" s="50" t="s">
        <v>2269</v>
      </c>
      <c r="E631" s="21"/>
      <c r="F631" s="38"/>
      <c r="G631" s="38" t="s">
        <v>13</v>
      </c>
      <c r="H631" s="39" t="s">
        <v>28</v>
      </c>
      <c r="I631" s="94"/>
      <c r="J631" s="93"/>
      <c r="K631" s="611">
        <v>12</v>
      </c>
      <c r="L631" s="688">
        <v>44001</v>
      </c>
      <c r="M631" s="688"/>
      <c r="N631" s="689">
        <v>44001</v>
      </c>
      <c r="O631" s="690" t="s">
        <v>2400</v>
      </c>
      <c r="P631" s="22"/>
      <c r="Q631" s="22"/>
      <c r="R631" s="7"/>
      <c r="U631" s="6"/>
    </row>
    <row r="632" spans="3:22" ht="15.75">
      <c r="C632" s="6"/>
      <c r="D632" s="13"/>
      <c r="E632" s="18" t="s">
        <v>2403</v>
      </c>
      <c r="F632" s="23"/>
      <c r="G632" s="21"/>
      <c r="H632" s="14"/>
      <c r="I632" s="56"/>
      <c r="J632" s="55"/>
      <c r="K632" s="15" t="s">
        <v>47</v>
      </c>
      <c r="L632" s="10"/>
      <c r="M632" s="10"/>
      <c r="N632" s="12"/>
      <c r="O632" s="820"/>
      <c r="P632" s="100"/>
      <c r="Q632" s="100"/>
      <c r="R632" s="7"/>
      <c r="S632" s="7"/>
      <c r="T632" s="1301"/>
      <c r="U632" s="6" t="s">
        <v>11</v>
      </c>
      <c r="V632" s="7"/>
    </row>
    <row r="633" spans="3:22" s="7" customFormat="1" ht="15">
      <c r="C633" s="6" t="s">
        <v>2404</v>
      </c>
      <c r="D633" s="50" t="s">
        <v>2269</v>
      </c>
      <c r="E633" s="21">
        <v>4141</v>
      </c>
      <c r="F633" s="23" t="s">
        <v>2405</v>
      </c>
      <c r="G633" s="21" t="s">
        <v>227</v>
      </c>
      <c r="H633" s="55">
        <v>20</v>
      </c>
      <c r="I633" s="56">
        <v>8</v>
      </c>
      <c r="J633" s="55">
        <f>H633*I633</f>
        <v>160</v>
      </c>
      <c r="K633" s="611">
        <v>1.49</v>
      </c>
      <c r="L633" s="688">
        <v>44001</v>
      </c>
      <c r="M633" s="688"/>
      <c r="N633" s="689">
        <v>44001</v>
      </c>
      <c r="O633" s="690" t="s">
        <v>2400</v>
      </c>
      <c r="P633" s="22"/>
      <c r="Q633" s="100"/>
      <c r="R633" s="7">
        <v>98</v>
      </c>
      <c r="T633" s="1301"/>
      <c r="U633" s="6"/>
    </row>
    <row r="634" spans="3:22" ht="15">
      <c r="C634" s="6" t="s">
        <v>2404</v>
      </c>
      <c r="D634" s="50" t="s">
        <v>2269</v>
      </c>
      <c r="E634" s="48"/>
      <c r="F634" s="38"/>
      <c r="G634" s="38" t="s">
        <v>13</v>
      </c>
      <c r="H634" s="39" t="s">
        <v>28</v>
      </c>
      <c r="I634" s="94"/>
      <c r="J634" s="93"/>
      <c r="K634" s="611">
        <v>12</v>
      </c>
      <c r="L634" s="688">
        <v>44001</v>
      </c>
      <c r="M634" s="688"/>
      <c r="N634" s="689">
        <v>44001</v>
      </c>
      <c r="O634" s="690" t="s">
        <v>2400</v>
      </c>
      <c r="P634" s="22"/>
      <c r="Q634" s="22"/>
      <c r="R634" s="7"/>
      <c r="U634" s="6"/>
    </row>
    <row r="635" spans="3:22" s="7" customFormat="1" ht="15">
      <c r="C635" s="6"/>
      <c r="D635" s="13"/>
      <c r="E635" s="18" t="s">
        <v>19</v>
      </c>
      <c r="F635" s="23"/>
      <c r="G635" s="21"/>
      <c r="H635" s="55"/>
      <c r="I635" s="56"/>
      <c r="J635" s="55"/>
      <c r="K635" s="15" t="s">
        <v>8</v>
      </c>
      <c r="L635" s="10"/>
      <c r="M635" s="10"/>
      <c r="N635" s="13"/>
      <c r="O635" s="13"/>
      <c r="P635" s="100"/>
      <c r="Q635" s="100"/>
      <c r="T635" s="1301"/>
      <c r="U635" s="6" t="s">
        <v>3</v>
      </c>
    </row>
    <row r="636" spans="3:22" s="7" customFormat="1" ht="15">
      <c r="C636" s="6" t="s">
        <v>2406</v>
      </c>
      <c r="D636" s="13" t="s">
        <v>2003</v>
      </c>
      <c r="E636" s="21" t="s">
        <v>2407</v>
      </c>
      <c r="F636" s="23"/>
      <c r="G636" s="21" t="s">
        <v>46</v>
      </c>
      <c r="H636" s="62">
        <v>5</v>
      </c>
      <c r="I636" s="62">
        <v>5</v>
      </c>
      <c r="J636" s="62">
        <v>5</v>
      </c>
      <c r="K636" s="611">
        <v>3.16</v>
      </c>
      <c r="L636" s="688">
        <v>44041</v>
      </c>
      <c r="M636" s="688"/>
      <c r="N636" s="689">
        <v>44041</v>
      </c>
      <c r="O636" s="694" t="s">
        <v>2408</v>
      </c>
      <c r="P636" s="22"/>
      <c r="Q636" s="13"/>
      <c r="R636" s="11">
        <v>153</v>
      </c>
      <c r="S636" s="63" t="s">
        <v>2044</v>
      </c>
      <c r="T636" s="1307"/>
      <c r="U636" s="22"/>
    </row>
    <row r="637" spans="3:22" s="7" customFormat="1" ht="15">
      <c r="C637" s="6" t="s">
        <v>2406</v>
      </c>
      <c r="D637" s="13" t="s">
        <v>2003</v>
      </c>
      <c r="E637" s="21" t="s">
        <v>2409</v>
      </c>
      <c r="F637" s="23"/>
      <c r="G637" s="21" t="s">
        <v>46</v>
      </c>
      <c r="H637" s="62">
        <v>5</v>
      </c>
      <c r="I637" s="62">
        <v>5</v>
      </c>
      <c r="J637" s="62">
        <v>5</v>
      </c>
      <c r="K637" s="611">
        <v>1.41</v>
      </c>
      <c r="L637" s="688">
        <v>44041</v>
      </c>
      <c r="M637" s="688"/>
      <c r="N637" s="689">
        <v>44041</v>
      </c>
      <c r="O637" s="694" t="s">
        <v>2408</v>
      </c>
      <c r="P637" s="22"/>
      <c r="Q637" s="13"/>
      <c r="R637" s="11">
        <v>38</v>
      </c>
      <c r="S637" s="63" t="s">
        <v>2410</v>
      </c>
      <c r="T637" s="1307"/>
      <c r="U637" s="22"/>
    </row>
    <row r="638" spans="3:22" ht="15">
      <c r="C638" s="6" t="s">
        <v>2406</v>
      </c>
      <c r="D638" s="13" t="s">
        <v>2003</v>
      </c>
      <c r="E638" s="21"/>
      <c r="F638" s="38"/>
      <c r="G638" s="38" t="s">
        <v>13</v>
      </c>
      <c r="H638" s="39" t="s">
        <v>28</v>
      </c>
      <c r="I638" s="94"/>
      <c r="J638" s="93"/>
      <c r="K638" s="611">
        <v>12</v>
      </c>
      <c r="L638" s="688">
        <v>44041</v>
      </c>
      <c r="M638" s="688"/>
      <c r="N638" s="689">
        <v>44041</v>
      </c>
      <c r="O638" s="694" t="s">
        <v>2408</v>
      </c>
      <c r="P638" s="22"/>
      <c r="Q638" s="22"/>
      <c r="R638" s="7"/>
      <c r="U638" s="6"/>
    </row>
    <row r="639" spans="3:22" s="7" customFormat="1" ht="18" customHeight="1">
      <c r="C639" s="6"/>
      <c r="D639" s="13"/>
      <c r="E639" s="13" t="s">
        <v>2267</v>
      </c>
      <c r="F639" s="14"/>
      <c r="G639" s="13"/>
      <c r="H639" s="55"/>
      <c r="I639" s="56"/>
      <c r="J639" s="55"/>
      <c r="K639" s="15" t="s">
        <v>8</v>
      </c>
      <c r="L639" s="10"/>
      <c r="M639" s="10"/>
      <c r="N639" s="13"/>
      <c r="O639" s="40"/>
      <c r="P639" s="738"/>
      <c r="Q639" s="100"/>
      <c r="T639" s="1301"/>
      <c r="U639" s="6" t="s">
        <v>3</v>
      </c>
    </row>
    <row r="640" spans="3:22" s="7" customFormat="1" ht="18" customHeight="1">
      <c r="C640" s="6" t="s">
        <v>2411</v>
      </c>
      <c r="D640" s="13" t="s">
        <v>2269</v>
      </c>
      <c r="E640" s="21" t="s">
        <v>2270</v>
      </c>
      <c r="F640" s="134" t="s">
        <v>2271</v>
      </c>
      <c r="G640" s="21" t="s">
        <v>2275</v>
      </c>
      <c r="H640" s="93">
        <v>30</v>
      </c>
      <c r="I640" s="94">
        <v>2</v>
      </c>
      <c r="J640" s="55">
        <f>H640*I640</f>
        <v>60</v>
      </c>
      <c r="K640" s="611">
        <v>0.94</v>
      </c>
      <c r="L640" s="688">
        <v>44061</v>
      </c>
      <c r="M640" s="688"/>
      <c r="N640" s="689">
        <v>44061</v>
      </c>
      <c r="O640" s="694" t="s">
        <v>2412</v>
      </c>
      <c r="P640" s="40"/>
      <c r="Q640" s="40"/>
      <c r="R640" s="7">
        <v>62</v>
      </c>
      <c r="T640" s="1301"/>
      <c r="U640" s="6"/>
    </row>
    <row r="641" spans="3:22" s="7" customFormat="1" ht="15">
      <c r="C641" s="6" t="s">
        <v>2411</v>
      </c>
      <c r="D641" s="13" t="s">
        <v>2269</v>
      </c>
      <c r="E641" s="21"/>
      <c r="F641" s="38"/>
      <c r="G641" s="38" t="s">
        <v>13</v>
      </c>
      <c r="H641" s="39" t="s">
        <v>28</v>
      </c>
      <c r="I641" s="94"/>
      <c r="J641" s="93"/>
      <c r="K641" s="611">
        <v>12</v>
      </c>
      <c r="L641" s="688">
        <v>44061</v>
      </c>
      <c r="M641" s="688"/>
      <c r="N641" s="689">
        <v>44061</v>
      </c>
      <c r="O641" s="694" t="s">
        <v>2412</v>
      </c>
      <c r="P641" s="22"/>
      <c r="Q641" s="22"/>
      <c r="T641" s="1301"/>
      <c r="U641" s="6"/>
    </row>
    <row r="642" spans="3:22" s="7" customFormat="1" ht="15">
      <c r="C642" s="6"/>
      <c r="D642" s="13"/>
      <c r="E642" s="18" t="s">
        <v>2413</v>
      </c>
      <c r="F642" s="23"/>
      <c r="G642" s="21"/>
      <c r="H642" s="55"/>
      <c r="I642" s="56"/>
      <c r="J642" s="55"/>
      <c r="K642" s="15" t="s">
        <v>8</v>
      </c>
      <c r="L642" s="10"/>
      <c r="M642" s="10"/>
      <c r="N642" s="13"/>
      <c r="O642" s="13"/>
      <c r="P642" s="100"/>
      <c r="Q642" s="100"/>
      <c r="T642" s="1301"/>
      <c r="U642" s="6" t="s">
        <v>3</v>
      </c>
      <c r="V642" s="247" t="s">
        <v>2414</v>
      </c>
    </row>
    <row r="643" spans="3:22" s="7" customFormat="1" ht="15">
      <c r="C643" s="6" t="s">
        <v>2415</v>
      </c>
      <c r="D643" s="821" t="s">
        <v>2003</v>
      </c>
      <c r="E643" s="21" t="s">
        <v>2416</v>
      </c>
      <c r="F643" s="23"/>
      <c r="G643" s="21" t="s">
        <v>46</v>
      </c>
      <c r="H643" s="62">
        <v>5</v>
      </c>
      <c r="I643" s="62">
        <v>5</v>
      </c>
      <c r="J643" s="62">
        <v>5</v>
      </c>
      <c r="K643" s="611">
        <v>1.01</v>
      </c>
      <c r="L643" s="688">
        <v>44083</v>
      </c>
      <c r="M643" s="688"/>
      <c r="N643" s="689">
        <v>44083</v>
      </c>
      <c r="O643" s="694" t="s">
        <v>2417</v>
      </c>
      <c r="P643" s="22"/>
      <c r="Q643" s="13"/>
      <c r="R643" s="11">
        <v>50</v>
      </c>
      <c r="S643" s="63" t="s">
        <v>2410</v>
      </c>
      <c r="T643" s="1307"/>
      <c r="U643" s="22"/>
      <c r="V643" s="7" t="s">
        <v>2418</v>
      </c>
    </row>
    <row r="644" spans="3:22" s="7" customFormat="1" ht="15">
      <c r="C644" s="6" t="s">
        <v>2415</v>
      </c>
      <c r="D644" s="821" t="s">
        <v>2003</v>
      </c>
      <c r="E644" s="21" t="s">
        <v>2419</v>
      </c>
      <c r="F644" s="23"/>
      <c r="G644" s="21" t="s">
        <v>46</v>
      </c>
      <c r="H644" s="62">
        <v>5</v>
      </c>
      <c r="I644" s="62">
        <v>5</v>
      </c>
      <c r="J644" s="62">
        <v>5</v>
      </c>
      <c r="K644" s="611">
        <v>0.93</v>
      </c>
      <c r="L644" s="688">
        <v>44083</v>
      </c>
      <c r="M644" s="688"/>
      <c r="N644" s="689">
        <v>44083</v>
      </c>
      <c r="O644" s="694" t="s">
        <v>2417</v>
      </c>
      <c r="P644" s="22"/>
      <c r="Q644" s="13"/>
      <c r="R644" s="11">
        <v>46</v>
      </c>
      <c r="S644" s="63" t="s">
        <v>2410</v>
      </c>
      <c r="T644" s="1307"/>
      <c r="U644" s="22"/>
      <c r="V644" s="7" t="s">
        <v>2418</v>
      </c>
    </row>
    <row r="645" spans="3:22" s="7" customFormat="1" ht="15">
      <c r="C645" s="6" t="s">
        <v>2415</v>
      </c>
      <c r="D645" s="821" t="s">
        <v>2003</v>
      </c>
      <c r="E645" s="21" t="s">
        <v>2420</v>
      </c>
      <c r="F645" s="23"/>
      <c r="G645" s="21" t="s">
        <v>2421</v>
      </c>
      <c r="H645" s="62">
        <v>3</v>
      </c>
      <c r="I645" s="62">
        <v>3</v>
      </c>
      <c r="J645" s="62">
        <v>3</v>
      </c>
      <c r="K645" s="822">
        <v>1.1299999999999999</v>
      </c>
      <c r="L645" s="688">
        <v>44083</v>
      </c>
      <c r="M645" s="688"/>
      <c r="N645" s="689">
        <v>44083</v>
      </c>
      <c r="O645" s="694" t="s">
        <v>2417</v>
      </c>
      <c r="P645" s="22"/>
      <c r="Q645" s="13"/>
      <c r="R645" s="11">
        <v>74</v>
      </c>
      <c r="S645" s="63"/>
      <c r="T645" s="1307"/>
      <c r="U645" s="22"/>
    </row>
    <row r="646" spans="3:22" s="7" customFormat="1" ht="15">
      <c r="C646" s="6" t="s">
        <v>2422</v>
      </c>
      <c r="D646" s="821" t="s">
        <v>2003</v>
      </c>
      <c r="E646" s="21" t="s">
        <v>2423</v>
      </c>
      <c r="F646" s="23"/>
      <c r="G646" s="21" t="s">
        <v>2421</v>
      </c>
      <c r="H646" s="62">
        <v>3</v>
      </c>
      <c r="I646" s="62">
        <v>3</v>
      </c>
      <c r="J646" s="62">
        <v>3</v>
      </c>
      <c r="K646" s="822">
        <v>1.17</v>
      </c>
      <c r="L646" s="688">
        <v>44083</v>
      </c>
      <c r="M646" s="688"/>
      <c r="N646" s="689">
        <v>44083</v>
      </c>
      <c r="O646" s="694" t="s">
        <v>2417</v>
      </c>
      <c r="P646" s="22"/>
      <c r="Q646" s="13"/>
      <c r="R646" s="11">
        <v>77</v>
      </c>
      <c r="S646" s="63"/>
      <c r="T646" s="1307"/>
      <c r="U646" s="22"/>
    </row>
    <row r="647" spans="3:22" s="7" customFormat="1" ht="15">
      <c r="C647" s="6" t="s">
        <v>2422</v>
      </c>
      <c r="D647" s="821" t="s">
        <v>2003</v>
      </c>
      <c r="E647" s="21" t="s">
        <v>2424</v>
      </c>
      <c r="F647" s="23"/>
      <c r="G647" s="21" t="s">
        <v>2421</v>
      </c>
      <c r="H647" s="62">
        <v>3</v>
      </c>
      <c r="I647" s="62">
        <v>3</v>
      </c>
      <c r="J647" s="62">
        <v>3</v>
      </c>
      <c r="K647" s="822">
        <v>2.08</v>
      </c>
      <c r="L647" s="688">
        <v>44083</v>
      </c>
      <c r="M647" s="688"/>
      <c r="N647" s="689">
        <v>44083</v>
      </c>
      <c r="O647" s="694" t="s">
        <v>2417</v>
      </c>
      <c r="P647" s="22"/>
      <c r="Q647" s="13"/>
      <c r="R647" s="11">
        <v>137</v>
      </c>
      <c r="S647" s="63"/>
      <c r="T647" s="1307"/>
      <c r="U647" s="22"/>
    </row>
    <row r="648" spans="3:22" s="7" customFormat="1" ht="15">
      <c r="C648" s="6" t="s">
        <v>2422</v>
      </c>
      <c r="D648" s="821" t="s">
        <v>2003</v>
      </c>
      <c r="E648" s="21" t="s">
        <v>2425</v>
      </c>
      <c r="F648" s="23"/>
      <c r="G648" s="21" t="s">
        <v>2421</v>
      </c>
      <c r="H648" s="62">
        <v>3</v>
      </c>
      <c r="I648" s="62">
        <v>3</v>
      </c>
      <c r="J648" s="62">
        <v>3</v>
      </c>
      <c r="K648" s="822">
        <v>4.2300000000000004</v>
      </c>
      <c r="L648" s="688">
        <v>44083</v>
      </c>
      <c r="M648" s="688"/>
      <c r="N648" s="689">
        <v>44083</v>
      </c>
      <c r="O648" s="694" t="s">
        <v>2417</v>
      </c>
      <c r="P648" s="22"/>
      <c r="Q648" s="13"/>
      <c r="R648" s="11">
        <v>279</v>
      </c>
      <c r="S648" s="63"/>
      <c r="T648" s="1307"/>
      <c r="U648" s="22"/>
    </row>
    <row r="649" spans="3:22" s="7" customFormat="1" ht="15">
      <c r="C649" s="6" t="s">
        <v>2422</v>
      </c>
      <c r="D649" s="821" t="s">
        <v>2003</v>
      </c>
      <c r="E649" s="21" t="s">
        <v>2426</v>
      </c>
      <c r="F649" s="23"/>
      <c r="G649" s="21" t="s">
        <v>2421</v>
      </c>
      <c r="H649" s="62">
        <v>3</v>
      </c>
      <c r="I649" s="62">
        <v>3</v>
      </c>
      <c r="J649" s="62">
        <v>3</v>
      </c>
      <c r="K649" s="822">
        <v>1.05</v>
      </c>
      <c r="L649" s="688">
        <v>44083</v>
      </c>
      <c r="M649" s="688"/>
      <c r="N649" s="689">
        <v>44083</v>
      </c>
      <c r="O649" s="694" t="s">
        <v>2427</v>
      </c>
      <c r="P649" s="22"/>
      <c r="Q649" s="13"/>
      <c r="R649" s="11">
        <v>69</v>
      </c>
      <c r="S649" s="63"/>
      <c r="T649" s="1307"/>
      <c r="U649" s="22"/>
    </row>
    <row r="650" spans="3:22" s="7" customFormat="1" ht="15">
      <c r="C650" s="6" t="s">
        <v>2422</v>
      </c>
      <c r="D650" s="821" t="s">
        <v>2003</v>
      </c>
      <c r="E650" s="21" t="s">
        <v>2428</v>
      </c>
      <c r="F650" s="23"/>
      <c r="G650" s="21" t="s">
        <v>2421</v>
      </c>
      <c r="H650" s="62">
        <v>3</v>
      </c>
      <c r="I650" s="62">
        <v>3</v>
      </c>
      <c r="J650" s="62">
        <v>3</v>
      </c>
      <c r="K650" s="822">
        <v>3.55</v>
      </c>
      <c r="L650" s="688">
        <v>44083</v>
      </c>
      <c r="M650" s="688"/>
      <c r="N650" s="689">
        <v>44083</v>
      </c>
      <c r="O650" s="694" t="s">
        <v>2427</v>
      </c>
      <c r="P650" s="22"/>
      <c r="Q650" s="13"/>
      <c r="R650" s="11">
        <v>234</v>
      </c>
      <c r="S650" s="63"/>
      <c r="T650" s="1307"/>
      <c r="U650" s="22"/>
    </row>
    <row r="651" spans="3:22" s="7" customFormat="1" ht="15">
      <c r="C651" s="6" t="s">
        <v>2422</v>
      </c>
      <c r="D651" s="821" t="s">
        <v>2003</v>
      </c>
      <c r="E651" s="21" t="s">
        <v>2429</v>
      </c>
      <c r="F651" s="23"/>
      <c r="G651" s="21" t="s">
        <v>2421</v>
      </c>
      <c r="H651" s="62">
        <v>3</v>
      </c>
      <c r="I651" s="62">
        <v>3</v>
      </c>
      <c r="J651" s="62">
        <v>3</v>
      </c>
      <c r="K651" s="822">
        <v>2.2599999999999998</v>
      </c>
      <c r="L651" s="688">
        <v>44083</v>
      </c>
      <c r="M651" s="688"/>
      <c r="N651" s="689">
        <v>44083</v>
      </c>
      <c r="O651" s="694" t="s">
        <v>2427</v>
      </c>
      <c r="P651" s="22"/>
      <c r="Q651" s="13"/>
      <c r="R651" s="11">
        <v>149</v>
      </c>
      <c r="S651" s="63"/>
      <c r="T651" s="1307"/>
      <c r="U651" s="22"/>
    </row>
    <row r="652" spans="3:22" s="7" customFormat="1" ht="15">
      <c r="C652" s="6" t="s">
        <v>2422</v>
      </c>
      <c r="D652" s="821" t="s">
        <v>2003</v>
      </c>
      <c r="E652" s="21" t="s">
        <v>2407</v>
      </c>
      <c r="F652" s="23"/>
      <c r="G652" s="21" t="s">
        <v>2421</v>
      </c>
      <c r="H652" s="62">
        <v>3</v>
      </c>
      <c r="I652" s="62">
        <v>3</v>
      </c>
      <c r="J652" s="62">
        <v>3</v>
      </c>
      <c r="K652" s="822">
        <v>2.3199999999999998</v>
      </c>
      <c r="L652" s="688">
        <v>44083</v>
      </c>
      <c r="M652" s="688"/>
      <c r="N652" s="689">
        <v>44083</v>
      </c>
      <c r="O652" s="694" t="s">
        <v>2427</v>
      </c>
      <c r="P652" s="22"/>
      <c r="Q652" s="13"/>
      <c r="R652" s="11">
        <v>153</v>
      </c>
      <c r="S652" s="63"/>
      <c r="T652" s="1307"/>
      <c r="U652" s="22"/>
    </row>
    <row r="653" spans="3:22" s="7" customFormat="1" ht="15">
      <c r="C653" s="6" t="s">
        <v>2422</v>
      </c>
      <c r="D653" s="821" t="s">
        <v>2003</v>
      </c>
      <c r="E653" s="71"/>
      <c r="F653" s="23"/>
      <c r="G653" s="21" t="s">
        <v>2364</v>
      </c>
      <c r="H653" s="823" t="s">
        <v>120</v>
      </c>
      <c r="I653" s="62"/>
      <c r="J653" s="62"/>
      <c r="K653" s="822">
        <v>25</v>
      </c>
      <c r="L653" s="688">
        <v>44083</v>
      </c>
      <c r="M653" s="688"/>
      <c r="N653" s="689">
        <v>44083</v>
      </c>
      <c r="O653" s="694" t="s">
        <v>2427</v>
      </c>
      <c r="P653" s="22"/>
      <c r="Q653" s="13"/>
      <c r="R653" s="11">
        <v>2000</v>
      </c>
      <c r="S653" s="63"/>
      <c r="T653" s="1307"/>
      <c r="U653" s="22"/>
    </row>
    <row r="654" spans="3:22" s="7" customFormat="1" ht="15">
      <c r="C654" s="6" t="s">
        <v>2422</v>
      </c>
      <c r="D654" s="821" t="s">
        <v>2003</v>
      </c>
      <c r="E654" s="21" t="s">
        <v>2430</v>
      </c>
      <c r="F654" s="23"/>
      <c r="G654" s="21" t="s">
        <v>62</v>
      </c>
      <c r="H654" s="62">
        <v>3</v>
      </c>
      <c r="I654" s="62">
        <v>3</v>
      </c>
      <c r="J654" s="62">
        <v>3</v>
      </c>
      <c r="K654" s="822">
        <v>0.82</v>
      </c>
      <c r="L654" s="688">
        <v>44083</v>
      </c>
      <c r="M654" s="688"/>
      <c r="N654" s="689">
        <v>44083</v>
      </c>
      <c r="O654" s="694" t="s">
        <v>2427</v>
      </c>
      <c r="P654" s="22"/>
      <c r="Q654" s="13"/>
      <c r="R654" s="11">
        <v>54</v>
      </c>
      <c r="S654" s="63"/>
      <c r="T654" s="1307"/>
      <c r="U654" s="22"/>
      <c r="V654" s="7" t="s">
        <v>2418</v>
      </c>
    </row>
    <row r="655" spans="3:22" s="7" customFormat="1" ht="15">
      <c r="C655" s="6" t="s">
        <v>2422</v>
      </c>
      <c r="D655" s="821" t="s">
        <v>2003</v>
      </c>
      <c r="E655" s="21" t="s">
        <v>2431</v>
      </c>
      <c r="F655" s="23"/>
      <c r="G655" s="21" t="s">
        <v>62</v>
      </c>
      <c r="H655" s="62">
        <v>3</v>
      </c>
      <c r="I655" s="62">
        <v>3</v>
      </c>
      <c r="J655" s="62">
        <v>3</v>
      </c>
      <c r="K655" s="822">
        <v>2.4</v>
      </c>
      <c r="L655" s="688">
        <v>44083</v>
      </c>
      <c r="M655" s="688"/>
      <c r="N655" s="689">
        <v>44083</v>
      </c>
      <c r="O655" s="694" t="s">
        <v>2427</v>
      </c>
      <c r="P655" s="22"/>
      <c r="Q655" s="13"/>
      <c r="R655" s="11">
        <v>158</v>
      </c>
      <c r="S655" s="63"/>
      <c r="T655" s="1307"/>
      <c r="U655" s="22"/>
      <c r="V655" s="7" t="s">
        <v>2418</v>
      </c>
    </row>
    <row r="656" spans="3:22" s="7" customFormat="1" ht="15">
      <c r="C656" s="6" t="s">
        <v>2422</v>
      </c>
      <c r="D656" s="821" t="s">
        <v>2003</v>
      </c>
      <c r="E656" s="21" t="s">
        <v>2432</v>
      </c>
      <c r="F656" s="23"/>
      <c r="G656" s="21" t="s">
        <v>62</v>
      </c>
      <c r="H656" s="62">
        <v>3</v>
      </c>
      <c r="I656" s="62">
        <v>3</v>
      </c>
      <c r="J656" s="62">
        <v>3</v>
      </c>
      <c r="K656" s="822">
        <v>1.46</v>
      </c>
      <c r="L656" s="688">
        <v>44083</v>
      </c>
      <c r="M656" s="688"/>
      <c r="N656" s="689">
        <v>44083</v>
      </c>
      <c r="O656" s="694" t="s">
        <v>2427</v>
      </c>
      <c r="P656" s="22"/>
      <c r="Q656" s="13"/>
      <c r="R656" s="11">
        <v>96</v>
      </c>
      <c r="S656" s="63"/>
      <c r="T656" s="1307"/>
      <c r="U656" s="22"/>
      <c r="V656" s="7" t="s">
        <v>2418</v>
      </c>
    </row>
    <row r="657" spans="3:22" s="7" customFormat="1" ht="15">
      <c r="C657" s="6" t="s">
        <v>2422</v>
      </c>
      <c r="D657" s="821" t="s">
        <v>2003</v>
      </c>
      <c r="E657" s="21" t="s">
        <v>2433</v>
      </c>
      <c r="F657" s="23"/>
      <c r="G657" s="21" t="s">
        <v>62</v>
      </c>
      <c r="H657" s="62">
        <v>3</v>
      </c>
      <c r="I657" s="62">
        <v>3</v>
      </c>
      <c r="J657" s="62">
        <v>3</v>
      </c>
      <c r="K657" s="822">
        <v>0.97</v>
      </c>
      <c r="L657" s="688">
        <v>44083</v>
      </c>
      <c r="M657" s="688"/>
      <c r="N657" s="689">
        <v>44083</v>
      </c>
      <c r="O657" s="694" t="s">
        <v>2427</v>
      </c>
      <c r="P657" s="22"/>
      <c r="Q657" s="13"/>
      <c r="R657" s="11">
        <v>64</v>
      </c>
      <c r="S657" s="63"/>
      <c r="T657" s="1307"/>
      <c r="U657" s="22"/>
      <c r="V657" s="7" t="s">
        <v>2418</v>
      </c>
    </row>
    <row r="658" spans="3:22" s="7" customFormat="1" ht="15">
      <c r="C658" s="6" t="s">
        <v>2422</v>
      </c>
      <c r="D658" s="821" t="s">
        <v>2003</v>
      </c>
      <c r="E658" s="21" t="s">
        <v>2434</v>
      </c>
      <c r="F658" s="23"/>
      <c r="G658" s="21" t="s">
        <v>62</v>
      </c>
      <c r="H658" s="62">
        <v>3</v>
      </c>
      <c r="I658" s="62">
        <v>3</v>
      </c>
      <c r="J658" s="62">
        <v>3</v>
      </c>
      <c r="K658" s="822">
        <v>0.81</v>
      </c>
      <c r="L658" s="688">
        <v>44083</v>
      </c>
      <c r="M658" s="688"/>
      <c r="N658" s="689">
        <v>44083</v>
      </c>
      <c r="O658" s="694" t="s">
        <v>2427</v>
      </c>
      <c r="P658" s="22"/>
      <c r="Q658" s="13"/>
      <c r="R658" s="11">
        <v>53</v>
      </c>
      <c r="S658" s="63"/>
      <c r="T658" s="1307"/>
      <c r="U658" s="22"/>
      <c r="V658" s="7" t="s">
        <v>2418</v>
      </c>
    </row>
    <row r="659" spans="3:22" s="7" customFormat="1" ht="15">
      <c r="C659" s="6"/>
      <c r="D659" s="13"/>
      <c r="E659" s="18" t="s">
        <v>2413</v>
      </c>
      <c r="F659" s="23"/>
      <c r="G659" s="21"/>
      <c r="H659" s="55"/>
      <c r="I659" s="56"/>
      <c r="J659" s="55"/>
      <c r="K659" s="15" t="s">
        <v>8</v>
      </c>
      <c r="L659" s="10"/>
      <c r="M659" s="10"/>
      <c r="N659" s="13"/>
      <c r="O659" s="13"/>
      <c r="P659" s="100"/>
      <c r="Q659" s="100"/>
      <c r="T659" s="1301"/>
      <c r="U659" s="6" t="s">
        <v>3</v>
      </c>
    </row>
    <row r="660" spans="3:22" s="121" customFormat="1" ht="15">
      <c r="C660" s="119"/>
      <c r="D660" s="123" t="s">
        <v>2003</v>
      </c>
      <c r="E660" s="824" t="s">
        <v>2435</v>
      </c>
      <c r="F660" s="101"/>
      <c r="G660" s="102" t="s">
        <v>46</v>
      </c>
      <c r="H660" s="825">
        <v>3</v>
      </c>
      <c r="I660" s="825">
        <v>3</v>
      </c>
      <c r="J660" s="825">
        <v>3</v>
      </c>
      <c r="K660" s="826" t="s">
        <v>2436</v>
      </c>
      <c r="L660" s="827"/>
      <c r="M660" s="827"/>
      <c r="N660" s="828"/>
      <c r="O660" s="829"/>
      <c r="P660" s="334"/>
      <c r="Q660" s="123"/>
      <c r="R660" s="130"/>
      <c r="S660" s="830"/>
      <c r="T660" s="1316"/>
      <c r="U660" s="334"/>
    </row>
    <row r="661" spans="3:22" s="7" customFormat="1" ht="15">
      <c r="C661" s="6" t="s">
        <v>2415</v>
      </c>
      <c r="D661" s="13" t="s">
        <v>2003</v>
      </c>
      <c r="E661" s="21" t="s">
        <v>2437</v>
      </c>
      <c r="F661" s="23"/>
      <c r="G661" s="21" t="s">
        <v>46</v>
      </c>
      <c r="H661" s="62">
        <v>3</v>
      </c>
      <c r="I661" s="62">
        <v>3</v>
      </c>
      <c r="J661" s="62">
        <v>3</v>
      </c>
      <c r="K661" s="598">
        <v>4.3199999999999994</v>
      </c>
      <c r="L661" s="688">
        <v>44083</v>
      </c>
      <c r="M661" s="688"/>
      <c r="N661" s="689">
        <v>44083</v>
      </c>
      <c r="O661" s="694" t="s">
        <v>2427</v>
      </c>
      <c r="P661" s="22"/>
      <c r="Q661" s="13">
        <f t="shared" ref="Q661:Q693" si="10">ROUNDUP(R661/0.6/110,2)</f>
        <v>4.3199999999999994</v>
      </c>
      <c r="R661" s="11">
        <v>285</v>
      </c>
      <c r="S661" s="63"/>
      <c r="T661" s="1307"/>
      <c r="U661" s="22"/>
      <c r="V661" s="7" t="s">
        <v>2418</v>
      </c>
    </row>
    <row r="662" spans="3:22" s="7" customFormat="1" ht="15">
      <c r="C662" s="6" t="s">
        <v>2415</v>
      </c>
      <c r="D662" s="13" t="s">
        <v>2003</v>
      </c>
      <c r="E662" s="21" t="s">
        <v>2438</v>
      </c>
      <c r="F662" s="23"/>
      <c r="G662" s="21" t="s">
        <v>46</v>
      </c>
      <c r="H662" s="62">
        <v>3</v>
      </c>
      <c r="I662" s="62">
        <v>3</v>
      </c>
      <c r="J662" s="62">
        <v>3</v>
      </c>
      <c r="K662" s="598">
        <v>3.25</v>
      </c>
      <c r="L662" s="688">
        <v>44083</v>
      </c>
      <c r="M662" s="688"/>
      <c r="N662" s="689">
        <v>44083</v>
      </c>
      <c r="O662" s="694" t="s">
        <v>2427</v>
      </c>
      <c r="P662" s="22"/>
      <c r="Q662" s="13">
        <f t="shared" si="10"/>
        <v>3.25</v>
      </c>
      <c r="R662" s="11">
        <v>214</v>
      </c>
      <c r="S662" s="63"/>
      <c r="T662" s="1307"/>
      <c r="U662" s="22"/>
      <c r="V662" s="7" t="s">
        <v>2418</v>
      </c>
    </row>
    <row r="663" spans="3:22" s="7" customFormat="1" ht="15">
      <c r="C663" s="6" t="s">
        <v>2415</v>
      </c>
      <c r="D663" s="13" t="s">
        <v>2003</v>
      </c>
      <c r="E663" s="21" t="s">
        <v>2439</v>
      </c>
      <c r="F663" s="23"/>
      <c r="G663" s="21" t="s">
        <v>46</v>
      </c>
      <c r="H663" s="62">
        <v>3</v>
      </c>
      <c r="I663" s="62">
        <v>3</v>
      </c>
      <c r="J663" s="62">
        <v>3</v>
      </c>
      <c r="K663" s="598">
        <v>1.29</v>
      </c>
      <c r="L663" s="688">
        <v>44083</v>
      </c>
      <c r="M663" s="688"/>
      <c r="N663" s="689">
        <v>44083</v>
      </c>
      <c r="O663" s="694" t="s">
        <v>2427</v>
      </c>
      <c r="P663" s="22"/>
      <c r="Q663" s="13">
        <f t="shared" si="10"/>
        <v>1.29</v>
      </c>
      <c r="R663" s="11">
        <v>85</v>
      </c>
      <c r="S663" s="63"/>
      <c r="T663" s="1307"/>
      <c r="U663" s="22"/>
      <c r="V663" s="7" t="s">
        <v>2418</v>
      </c>
    </row>
    <row r="664" spans="3:22" s="7" customFormat="1" ht="15">
      <c r="C664" s="6" t="s">
        <v>2415</v>
      </c>
      <c r="D664" s="13" t="s">
        <v>2003</v>
      </c>
      <c r="E664" s="21" t="s">
        <v>2440</v>
      </c>
      <c r="F664" s="23"/>
      <c r="G664" s="21" t="s">
        <v>46</v>
      </c>
      <c r="H664" s="62">
        <v>3</v>
      </c>
      <c r="I664" s="62">
        <v>3</v>
      </c>
      <c r="J664" s="62">
        <v>3</v>
      </c>
      <c r="K664" s="598">
        <v>2.13</v>
      </c>
      <c r="L664" s="688">
        <v>44083</v>
      </c>
      <c r="M664" s="688"/>
      <c r="N664" s="689">
        <v>44083</v>
      </c>
      <c r="O664" s="694" t="s">
        <v>2427</v>
      </c>
      <c r="P664" s="22"/>
      <c r="Q664" s="13">
        <f t="shared" si="10"/>
        <v>2.13</v>
      </c>
      <c r="R664" s="11">
        <v>140</v>
      </c>
      <c r="S664" s="63"/>
      <c r="T664" s="1307"/>
      <c r="U664" s="22"/>
      <c r="V664" s="7" t="s">
        <v>2418</v>
      </c>
    </row>
    <row r="665" spans="3:22" s="7" customFormat="1" ht="15">
      <c r="C665" s="6" t="s">
        <v>2422</v>
      </c>
      <c r="D665" s="13" t="s">
        <v>2003</v>
      </c>
      <c r="E665" s="21" t="s">
        <v>2441</v>
      </c>
      <c r="F665" s="23"/>
      <c r="G665" s="21" t="s">
        <v>46</v>
      </c>
      <c r="H665" s="62">
        <v>3</v>
      </c>
      <c r="I665" s="62">
        <v>3</v>
      </c>
      <c r="J665" s="62">
        <v>3</v>
      </c>
      <c r="K665" s="598">
        <v>2.34</v>
      </c>
      <c r="L665" s="688">
        <v>44083</v>
      </c>
      <c r="M665" s="688"/>
      <c r="N665" s="689">
        <v>44083</v>
      </c>
      <c r="O665" s="694" t="s">
        <v>2427</v>
      </c>
      <c r="P665" s="22"/>
      <c r="Q665" s="13">
        <f t="shared" si="10"/>
        <v>2.34</v>
      </c>
      <c r="R665" s="11">
        <v>154</v>
      </c>
      <c r="S665" s="63"/>
      <c r="T665" s="1307"/>
      <c r="U665" s="22"/>
      <c r="V665" s="7" t="s">
        <v>2418</v>
      </c>
    </row>
    <row r="666" spans="3:22" s="7" customFormat="1" ht="15">
      <c r="C666" s="6" t="s">
        <v>2422</v>
      </c>
      <c r="D666" s="13" t="s">
        <v>2003</v>
      </c>
      <c r="E666" s="21" t="s">
        <v>2442</v>
      </c>
      <c r="F666" s="23"/>
      <c r="G666" s="21" t="s">
        <v>46</v>
      </c>
      <c r="H666" s="62">
        <v>3</v>
      </c>
      <c r="I666" s="62">
        <v>3</v>
      </c>
      <c r="J666" s="62">
        <v>3</v>
      </c>
      <c r="K666" s="598">
        <v>1.26</v>
      </c>
      <c r="L666" s="688">
        <v>44083</v>
      </c>
      <c r="M666" s="688"/>
      <c r="N666" s="689">
        <v>44083</v>
      </c>
      <c r="O666" s="694" t="s">
        <v>2427</v>
      </c>
      <c r="P666" s="22"/>
      <c r="Q666" s="13">
        <f t="shared" si="10"/>
        <v>1.26</v>
      </c>
      <c r="R666" s="11">
        <v>83</v>
      </c>
      <c r="S666" s="63"/>
      <c r="T666" s="1307"/>
      <c r="U666" s="22"/>
      <c r="V666" s="7" t="s">
        <v>2418</v>
      </c>
    </row>
    <row r="667" spans="3:22" s="7" customFormat="1" ht="15">
      <c r="C667" s="6" t="s">
        <v>2422</v>
      </c>
      <c r="D667" s="13" t="s">
        <v>2003</v>
      </c>
      <c r="E667" s="21" t="s">
        <v>2443</v>
      </c>
      <c r="F667" s="23"/>
      <c r="G667" s="21" t="s">
        <v>46</v>
      </c>
      <c r="H667" s="62">
        <v>3</v>
      </c>
      <c r="I667" s="62">
        <v>3</v>
      </c>
      <c r="J667" s="62">
        <v>3</v>
      </c>
      <c r="K667" s="598">
        <v>4.25</v>
      </c>
      <c r="L667" s="688">
        <v>44083</v>
      </c>
      <c r="M667" s="688"/>
      <c r="N667" s="689">
        <v>44083</v>
      </c>
      <c r="O667" s="694" t="s">
        <v>2427</v>
      </c>
      <c r="P667" s="22"/>
      <c r="Q667" s="13">
        <f t="shared" si="10"/>
        <v>4.25</v>
      </c>
      <c r="R667" s="11">
        <v>280</v>
      </c>
      <c r="S667" s="63"/>
      <c r="T667" s="1307"/>
      <c r="U667" s="22"/>
      <c r="V667" s="7" t="s">
        <v>2418</v>
      </c>
    </row>
    <row r="668" spans="3:22" s="7" customFormat="1" ht="15">
      <c r="C668" s="6" t="s">
        <v>2422</v>
      </c>
      <c r="D668" s="13" t="s">
        <v>2003</v>
      </c>
      <c r="E668" s="21" t="s">
        <v>2444</v>
      </c>
      <c r="F668" s="23"/>
      <c r="G668" s="21" t="s">
        <v>46</v>
      </c>
      <c r="H668" s="62">
        <v>3</v>
      </c>
      <c r="I668" s="62">
        <v>3</v>
      </c>
      <c r="J668" s="62">
        <v>3</v>
      </c>
      <c r="K668" s="598">
        <v>4.3199999999999994</v>
      </c>
      <c r="L668" s="688">
        <v>44083</v>
      </c>
      <c r="M668" s="688"/>
      <c r="N668" s="689">
        <v>44083</v>
      </c>
      <c r="O668" s="694" t="s">
        <v>2427</v>
      </c>
      <c r="P668" s="22"/>
      <c r="Q668" s="13">
        <f t="shared" si="10"/>
        <v>4.3199999999999994</v>
      </c>
      <c r="R668" s="11">
        <v>285</v>
      </c>
      <c r="S668" s="63"/>
      <c r="T668" s="1307"/>
      <c r="U668" s="22"/>
      <c r="V668" s="7" t="s">
        <v>2418</v>
      </c>
    </row>
    <row r="669" spans="3:22" s="7" customFormat="1" ht="15">
      <c r="C669" s="6" t="s">
        <v>2422</v>
      </c>
      <c r="D669" s="13" t="s">
        <v>2003</v>
      </c>
      <c r="E669" s="21" t="s">
        <v>2445</v>
      </c>
      <c r="F669" s="23"/>
      <c r="G669" s="21" t="s">
        <v>46</v>
      </c>
      <c r="H669" s="62">
        <v>3</v>
      </c>
      <c r="I669" s="62">
        <v>3</v>
      </c>
      <c r="J669" s="62">
        <v>3</v>
      </c>
      <c r="K669" s="598">
        <v>6.1899999999999995</v>
      </c>
      <c r="L669" s="688">
        <v>44083</v>
      </c>
      <c r="M669" s="688"/>
      <c r="N669" s="689">
        <v>44083</v>
      </c>
      <c r="O669" s="694" t="s">
        <v>2427</v>
      </c>
      <c r="P669" s="22"/>
      <c r="Q669" s="13">
        <f t="shared" si="10"/>
        <v>6.1899999999999995</v>
      </c>
      <c r="R669" s="11">
        <v>408</v>
      </c>
      <c r="S669" s="63"/>
      <c r="T669" s="1307"/>
      <c r="U669" s="22"/>
      <c r="V669" s="7" t="s">
        <v>2418</v>
      </c>
    </row>
    <row r="670" spans="3:22" s="7" customFormat="1" ht="15">
      <c r="C670" s="6" t="s">
        <v>2422</v>
      </c>
      <c r="D670" s="13" t="s">
        <v>2003</v>
      </c>
      <c r="E670" s="21" t="s">
        <v>2446</v>
      </c>
      <c r="F670" s="23"/>
      <c r="G670" s="21" t="s">
        <v>46</v>
      </c>
      <c r="H670" s="62">
        <v>3</v>
      </c>
      <c r="I670" s="62">
        <v>3</v>
      </c>
      <c r="J670" s="62">
        <v>3</v>
      </c>
      <c r="K670" s="598">
        <v>3.84</v>
      </c>
      <c r="L670" s="688">
        <v>44083</v>
      </c>
      <c r="M670" s="688"/>
      <c r="N670" s="689">
        <v>44083</v>
      </c>
      <c r="O670" s="694" t="s">
        <v>2427</v>
      </c>
      <c r="P670" s="22"/>
      <c r="Q670" s="13">
        <f t="shared" si="10"/>
        <v>3.84</v>
      </c>
      <c r="R670" s="11">
        <v>253</v>
      </c>
      <c r="S670" s="63"/>
      <c r="T670" s="1307"/>
      <c r="U670" s="22"/>
      <c r="V670" s="7" t="s">
        <v>2418</v>
      </c>
    </row>
    <row r="671" spans="3:22" s="7" customFormat="1" ht="15">
      <c r="C671" s="6" t="s">
        <v>2422</v>
      </c>
      <c r="D671" s="13" t="s">
        <v>2003</v>
      </c>
      <c r="E671" s="21" t="s">
        <v>132</v>
      </c>
      <c r="F671" s="23"/>
      <c r="G671" s="21" t="s">
        <v>46</v>
      </c>
      <c r="H671" s="62">
        <v>3</v>
      </c>
      <c r="I671" s="62">
        <v>3</v>
      </c>
      <c r="J671" s="62">
        <v>3</v>
      </c>
      <c r="K671" s="598">
        <v>1.22</v>
      </c>
      <c r="L671" s="688">
        <v>44083</v>
      </c>
      <c r="M671" s="688"/>
      <c r="N671" s="689">
        <v>44083</v>
      </c>
      <c r="O671" s="694" t="s">
        <v>2427</v>
      </c>
      <c r="P671" s="22"/>
      <c r="Q671" s="13">
        <f t="shared" si="10"/>
        <v>1.22</v>
      </c>
      <c r="R671" s="11">
        <v>80</v>
      </c>
      <c r="S671" s="63"/>
      <c r="T671" s="1307"/>
      <c r="U671" s="22"/>
      <c r="V671" s="7" t="s">
        <v>2418</v>
      </c>
    </row>
    <row r="672" spans="3:22" s="7" customFormat="1" ht="15">
      <c r="C672" s="6" t="s">
        <v>2422</v>
      </c>
      <c r="D672" s="13" t="s">
        <v>2003</v>
      </c>
      <c r="E672" s="21" t="s">
        <v>2447</v>
      </c>
      <c r="F672" s="23"/>
      <c r="G672" s="21" t="s">
        <v>2448</v>
      </c>
      <c r="H672" s="62">
        <v>3</v>
      </c>
      <c r="I672" s="62">
        <v>3</v>
      </c>
      <c r="J672" s="62">
        <v>3</v>
      </c>
      <c r="K672" s="598">
        <v>5.16</v>
      </c>
      <c r="L672" s="688">
        <v>44083</v>
      </c>
      <c r="M672" s="688"/>
      <c r="N672" s="689">
        <v>44083</v>
      </c>
      <c r="O672" s="694" t="s">
        <v>2427</v>
      </c>
      <c r="P672" s="22"/>
      <c r="Q672" s="13">
        <f t="shared" si="10"/>
        <v>5.16</v>
      </c>
      <c r="R672" s="11">
        <v>340</v>
      </c>
      <c r="S672" s="63"/>
      <c r="T672" s="1307"/>
      <c r="U672" s="22"/>
      <c r="V672" s="7" t="s">
        <v>2418</v>
      </c>
    </row>
    <row r="673" spans="3:22" s="7" customFormat="1" ht="15">
      <c r="C673" s="6" t="s">
        <v>2422</v>
      </c>
      <c r="D673" s="13" t="s">
        <v>2003</v>
      </c>
      <c r="E673" s="21" t="s">
        <v>2449</v>
      </c>
      <c r="F673" s="23"/>
      <c r="G673" s="21" t="s">
        <v>200</v>
      </c>
      <c r="H673" s="62">
        <v>3</v>
      </c>
      <c r="I673" s="62">
        <v>3</v>
      </c>
      <c r="J673" s="62">
        <v>3</v>
      </c>
      <c r="K673" s="598">
        <v>0.67</v>
      </c>
      <c r="L673" s="688">
        <v>44083</v>
      </c>
      <c r="M673" s="688"/>
      <c r="N673" s="689">
        <v>44083</v>
      </c>
      <c r="O673" s="694" t="s">
        <v>2427</v>
      </c>
      <c r="P673" s="22"/>
      <c r="Q673" s="13">
        <f t="shared" si="10"/>
        <v>0.67</v>
      </c>
      <c r="R673" s="11">
        <v>44</v>
      </c>
      <c r="S673" s="63"/>
      <c r="T673" s="1307"/>
      <c r="U673" s="22"/>
      <c r="V673" s="7" t="s">
        <v>2418</v>
      </c>
    </row>
    <row r="674" spans="3:22" s="7" customFormat="1" ht="15">
      <c r="C674" s="6" t="s">
        <v>2422</v>
      </c>
      <c r="D674" s="13" t="s">
        <v>2003</v>
      </c>
      <c r="E674" s="21" t="s">
        <v>193</v>
      </c>
      <c r="F674" s="23"/>
      <c r="G674" s="21" t="s">
        <v>46</v>
      </c>
      <c r="H674" s="62">
        <v>3</v>
      </c>
      <c r="I674" s="62">
        <v>3</v>
      </c>
      <c r="J674" s="62">
        <v>3</v>
      </c>
      <c r="K674" s="598">
        <v>1.2</v>
      </c>
      <c r="L674" s="688">
        <v>44083</v>
      </c>
      <c r="M674" s="688"/>
      <c r="N674" s="689">
        <v>44083</v>
      </c>
      <c r="O674" s="694" t="s">
        <v>2427</v>
      </c>
      <c r="P674" s="22"/>
      <c r="Q674" s="13">
        <f t="shared" si="10"/>
        <v>1.2</v>
      </c>
      <c r="R674" s="11">
        <v>79</v>
      </c>
      <c r="S674" s="63"/>
      <c r="T674" s="1307"/>
      <c r="U674" s="22"/>
      <c r="V674" s="7" t="s">
        <v>2418</v>
      </c>
    </row>
    <row r="675" spans="3:22" s="7" customFormat="1" ht="15">
      <c r="C675" s="6" t="s">
        <v>2422</v>
      </c>
      <c r="D675" s="13" t="s">
        <v>2003</v>
      </c>
      <c r="E675" s="21" t="s">
        <v>2450</v>
      </c>
      <c r="F675" s="23"/>
      <c r="G675" s="21" t="s">
        <v>46</v>
      </c>
      <c r="H675" s="62">
        <v>3</v>
      </c>
      <c r="I675" s="62">
        <v>3</v>
      </c>
      <c r="J675" s="62">
        <v>3</v>
      </c>
      <c r="K675" s="598">
        <v>1.81</v>
      </c>
      <c r="L675" s="688">
        <v>44083</v>
      </c>
      <c r="M675" s="688"/>
      <c r="N675" s="689">
        <v>44083</v>
      </c>
      <c r="O675" s="694" t="s">
        <v>2427</v>
      </c>
      <c r="P675" s="22"/>
      <c r="Q675" s="13">
        <f t="shared" si="10"/>
        <v>1.81</v>
      </c>
      <c r="R675" s="11">
        <v>119</v>
      </c>
      <c r="S675" s="63"/>
      <c r="T675" s="1307"/>
      <c r="U675" s="22"/>
      <c r="V675" s="7" t="s">
        <v>2418</v>
      </c>
    </row>
    <row r="676" spans="3:22" s="7" customFormat="1" ht="15">
      <c r="C676" s="6" t="s">
        <v>2422</v>
      </c>
      <c r="D676" s="13" t="s">
        <v>2003</v>
      </c>
      <c r="E676" s="21" t="s">
        <v>293</v>
      </c>
      <c r="F676" s="23"/>
      <c r="G676" s="21" t="s">
        <v>46</v>
      </c>
      <c r="H676" s="62">
        <v>3</v>
      </c>
      <c r="I676" s="62">
        <v>3</v>
      </c>
      <c r="J676" s="62">
        <v>3</v>
      </c>
      <c r="K676" s="598">
        <v>2.8699999999999997</v>
      </c>
      <c r="L676" s="688">
        <v>44083</v>
      </c>
      <c r="M676" s="688"/>
      <c r="N676" s="689">
        <v>44083</v>
      </c>
      <c r="O676" s="694" t="s">
        <v>2427</v>
      </c>
      <c r="P676" s="22"/>
      <c r="Q676" s="13">
        <f t="shared" si="10"/>
        <v>2.8699999999999997</v>
      </c>
      <c r="R676" s="11">
        <v>189</v>
      </c>
      <c r="S676" s="63"/>
      <c r="T676" s="1307"/>
      <c r="U676" s="22"/>
      <c r="V676" s="7" t="s">
        <v>2418</v>
      </c>
    </row>
    <row r="677" spans="3:22" s="7" customFormat="1" ht="15">
      <c r="C677" s="6" t="s">
        <v>2422</v>
      </c>
      <c r="D677" s="13" t="s">
        <v>2003</v>
      </c>
      <c r="E677" s="21" t="s">
        <v>2451</v>
      </c>
      <c r="F677" s="23"/>
      <c r="G677" s="21" t="s">
        <v>46</v>
      </c>
      <c r="H677" s="62">
        <v>3</v>
      </c>
      <c r="I677" s="62">
        <v>3</v>
      </c>
      <c r="J677" s="62">
        <v>3</v>
      </c>
      <c r="K677" s="598">
        <v>1.6</v>
      </c>
      <c r="L677" s="688">
        <v>44083</v>
      </c>
      <c r="M677" s="688"/>
      <c r="N677" s="689">
        <v>44083</v>
      </c>
      <c r="O677" s="694" t="s">
        <v>2427</v>
      </c>
      <c r="P677" s="22"/>
      <c r="Q677" s="13">
        <f t="shared" si="10"/>
        <v>1.6</v>
      </c>
      <c r="R677" s="11">
        <v>105</v>
      </c>
      <c r="S677" s="63"/>
      <c r="T677" s="1307"/>
      <c r="U677" s="22"/>
      <c r="V677" s="7" t="s">
        <v>2418</v>
      </c>
    </row>
    <row r="678" spans="3:22" s="7" customFormat="1" ht="15">
      <c r="C678" s="6" t="s">
        <v>2422</v>
      </c>
      <c r="D678" s="13" t="s">
        <v>2003</v>
      </c>
      <c r="E678" s="21" t="s">
        <v>2452</v>
      </c>
      <c r="F678" s="23"/>
      <c r="G678" s="21" t="s">
        <v>46</v>
      </c>
      <c r="H678" s="62">
        <v>3</v>
      </c>
      <c r="I678" s="62">
        <v>3</v>
      </c>
      <c r="J678" s="62">
        <v>3</v>
      </c>
      <c r="K678" s="598">
        <v>0.69000000000000006</v>
      </c>
      <c r="L678" s="688">
        <v>44083</v>
      </c>
      <c r="M678" s="688"/>
      <c r="N678" s="689">
        <v>44083</v>
      </c>
      <c r="O678" s="694" t="s">
        <v>2427</v>
      </c>
      <c r="P678" s="22"/>
      <c r="Q678" s="13">
        <f t="shared" si="10"/>
        <v>0.69000000000000006</v>
      </c>
      <c r="R678" s="11">
        <v>45</v>
      </c>
      <c r="S678" s="63"/>
      <c r="T678" s="1307"/>
      <c r="U678" s="22"/>
      <c r="V678" s="7" t="s">
        <v>2418</v>
      </c>
    </row>
    <row r="679" spans="3:22" s="7" customFormat="1" ht="15">
      <c r="C679" s="6" t="s">
        <v>2422</v>
      </c>
      <c r="D679" s="13" t="s">
        <v>2003</v>
      </c>
      <c r="E679" s="21" t="s">
        <v>2179</v>
      </c>
      <c r="F679" s="23"/>
      <c r="G679" s="21" t="s">
        <v>46</v>
      </c>
      <c r="H679" s="62">
        <v>3</v>
      </c>
      <c r="I679" s="62">
        <v>3</v>
      </c>
      <c r="J679" s="62">
        <v>3</v>
      </c>
      <c r="K679" s="598">
        <v>1.69</v>
      </c>
      <c r="L679" s="688">
        <v>44083</v>
      </c>
      <c r="M679" s="688"/>
      <c r="N679" s="689">
        <v>44083</v>
      </c>
      <c r="O679" s="694" t="s">
        <v>2427</v>
      </c>
      <c r="P679" s="22"/>
      <c r="Q679" s="13">
        <f t="shared" si="10"/>
        <v>1.69</v>
      </c>
      <c r="R679" s="11">
        <v>111</v>
      </c>
      <c r="S679" s="63"/>
      <c r="T679" s="1307"/>
      <c r="U679" s="22"/>
      <c r="V679" s="7" t="s">
        <v>2418</v>
      </c>
    </row>
    <row r="680" spans="3:22" s="7" customFormat="1" ht="15">
      <c r="C680" s="6" t="s">
        <v>2422</v>
      </c>
      <c r="D680" s="13" t="s">
        <v>2003</v>
      </c>
      <c r="E680" s="21" t="s">
        <v>2453</v>
      </c>
      <c r="F680" s="23"/>
      <c r="G680" s="21" t="s">
        <v>46</v>
      </c>
      <c r="H680" s="62">
        <v>3</v>
      </c>
      <c r="I680" s="62">
        <v>3</v>
      </c>
      <c r="J680" s="62">
        <v>3</v>
      </c>
      <c r="K680" s="598">
        <v>0.69000000000000006</v>
      </c>
      <c r="L680" s="688">
        <v>44083</v>
      </c>
      <c r="M680" s="688"/>
      <c r="N680" s="689">
        <v>44083</v>
      </c>
      <c r="O680" s="694" t="s">
        <v>2427</v>
      </c>
      <c r="P680" s="22"/>
      <c r="Q680" s="13">
        <f t="shared" si="10"/>
        <v>0.69000000000000006</v>
      </c>
      <c r="R680" s="11">
        <v>45</v>
      </c>
      <c r="S680" s="63"/>
      <c r="T680" s="1307"/>
      <c r="U680" s="22"/>
      <c r="V680" s="7" t="s">
        <v>2418</v>
      </c>
    </row>
    <row r="681" spans="3:22" s="7" customFormat="1" ht="15">
      <c r="C681" s="6" t="s">
        <v>2422</v>
      </c>
      <c r="D681" s="13" t="s">
        <v>2003</v>
      </c>
      <c r="E681" s="21" t="s">
        <v>2454</v>
      </c>
      <c r="F681" s="23"/>
      <c r="G681" s="21" t="s">
        <v>46</v>
      </c>
      <c r="H681" s="62">
        <v>3</v>
      </c>
      <c r="I681" s="62">
        <v>3</v>
      </c>
      <c r="J681" s="62">
        <v>3</v>
      </c>
      <c r="K681" s="598">
        <v>0.57999999999999996</v>
      </c>
      <c r="L681" s="688">
        <v>44083</v>
      </c>
      <c r="M681" s="688"/>
      <c r="N681" s="689">
        <v>44083</v>
      </c>
      <c r="O681" s="694" t="s">
        <v>2427</v>
      </c>
      <c r="P681" s="22"/>
      <c r="Q681" s="13">
        <f t="shared" si="10"/>
        <v>0.57999999999999996</v>
      </c>
      <c r="R681" s="11">
        <v>38</v>
      </c>
      <c r="S681" s="63"/>
      <c r="T681" s="1307"/>
      <c r="U681" s="22"/>
      <c r="V681" s="7" t="s">
        <v>2418</v>
      </c>
    </row>
    <row r="682" spans="3:22" s="7" customFormat="1" ht="15">
      <c r="C682" s="6" t="s">
        <v>2422</v>
      </c>
      <c r="D682" s="13" t="s">
        <v>2003</v>
      </c>
      <c r="E682" s="21" t="s">
        <v>2190</v>
      </c>
      <c r="F682" s="23"/>
      <c r="G682" s="21" t="s">
        <v>46</v>
      </c>
      <c r="H682" s="62">
        <v>3</v>
      </c>
      <c r="I682" s="62">
        <v>3</v>
      </c>
      <c r="J682" s="62">
        <v>3</v>
      </c>
      <c r="K682" s="598">
        <v>2.6599999999999997</v>
      </c>
      <c r="L682" s="688">
        <v>44083</v>
      </c>
      <c r="M682" s="688"/>
      <c r="N682" s="689">
        <v>44083</v>
      </c>
      <c r="O682" s="694" t="s">
        <v>2427</v>
      </c>
      <c r="P682" s="22"/>
      <c r="Q682" s="13">
        <f t="shared" si="10"/>
        <v>2.6599999999999997</v>
      </c>
      <c r="R682" s="11">
        <v>175</v>
      </c>
      <c r="S682" s="63"/>
      <c r="T682" s="1307"/>
      <c r="U682" s="22"/>
      <c r="V682" s="7" t="s">
        <v>2418</v>
      </c>
    </row>
    <row r="683" spans="3:22" s="121" customFormat="1" ht="15.75">
      <c r="C683" s="119" t="s">
        <v>2422</v>
      </c>
      <c r="D683" s="123" t="s">
        <v>2003</v>
      </c>
      <c r="E683" s="124" t="s">
        <v>2455</v>
      </c>
      <c r="F683" s="101"/>
      <c r="G683" s="102" t="s">
        <v>2456</v>
      </c>
      <c r="H683" s="825">
        <v>3</v>
      </c>
      <c r="I683" s="825">
        <v>3</v>
      </c>
      <c r="J683" s="825">
        <v>3</v>
      </c>
      <c r="K683" s="831">
        <v>0.61</v>
      </c>
      <c r="L683" s="832"/>
      <c r="M683" s="833"/>
      <c r="N683" s="834"/>
      <c r="O683" s="835" t="s">
        <v>2457</v>
      </c>
      <c r="P683" s="334"/>
      <c r="Q683" s="123">
        <f t="shared" si="10"/>
        <v>0.61</v>
      </c>
      <c r="R683" s="130">
        <v>40</v>
      </c>
      <c r="S683" s="830"/>
      <c r="T683" s="1316"/>
      <c r="U683" s="334"/>
    </row>
    <row r="684" spans="3:22" s="7" customFormat="1" ht="15">
      <c r="C684" s="6" t="s">
        <v>2422</v>
      </c>
      <c r="D684" s="13" t="s">
        <v>2003</v>
      </c>
      <c r="E684" s="21" t="s">
        <v>2458</v>
      </c>
      <c r="F684" s="23"/>
      <c r="G684" s="21" t="s">
        <v>2459</v>
      </c>
      <c r="H684" s="62">
        <v>3</v>
      </c>
      <c r="I684" s="62">
        <v>3</v>
      </c>
      <c r="J684" s="62">
        <v>3</v>
      </c>
      <c r="K684" s="598">
        <v>2.25</v>
      </c>
      <c r="L684" s="688">
        <v>44083</v>
      </c>
      <c r="M684" s="688"/>
      <c r="N684" s="689">
        <v>44083</v>
      </c>
      <c r="O684" s="694" t="s">
        <v>2427</v>
      </c>
      <c r="P684" s="22"/>
      <c r="Q684" s="13">
        <f t="shared" si="10"/>
        <v>2.25</v>
      </c>
      <c r="R684" s="11">
        <v>148</v>
      </c>
      <c r="S684" s="63"/>
      <c r="T684" s="1307"/>
      <c r="U684" s="22"/>
      <c r="V684" s="7" t="s">
        <v>2418</v>
      </c>
    </row>
    <row r="685" spans="3:22" s="7" customFormat="1" ht="15">
      <c r="C685" s="6" t="s">
        <v>2422</v>
      </c>
      <c r="D685" s="13" t="s">
        <v>2003</v>
      </c>
      <c r="E685" s="21" t="s">
        <v>131</v>
      </c>
      <c r="F685" s="23"/>
      <c r="G685" s="21" t="s">
        <v>46</v>
      </c>
      <c r="H685" s="62">
        <v>3</v>
      </c>
      <c r="I685" s="62">
        <v>3</v>
      </c>
      <c r="J685" s="62">
        <v>3</v>
      </c>
      <c r="K685" s="598">
        <v>3.46</v>
      </c>
      <c r="L685" s="688">
        <v>44083</v>
      </c>
      <c r="M685" s="688"/>
      <c r="N685" s="689">
        <v>44083</v>
      </c>
      <c r="O685" s="694" t="s">
        <v>2427</v>
      </c>
      <c r="P685" s="22"/>
      <c r="Q685" s="836">
        <f t="shared" si="10"/>
        <v>3.46</v>
      </c>
      <c r="R685" s="11">
        <v>228</v>
      </c>
      <c r="S685" s="63"/>
      <c r="T685" s="1307"/>
      <c r="U685" s="22"/>
      <c r="V685" s="7" t="s">
        <v>2418</v>
      </c>
    </row>
    <row r="686" spans="3:22" s="7" customFormat="1" ht="15">
      <c r="C686" s="6" t="s">
        <v>2422</v>
      </c>
      <c r="D686" s="13" t="s">
        <v>2003</v>
      </c>
      <c r="E686" s="21" t="s">
        <v>2460</v>
      </c>
      <c r="F686" s="23"/>
      <c r="G686" s="21" t="s">
        <v>46</v>
      </c>
      <c r="H686" s="62">
        <v>3</v>
      </c>
      <c r="I686" s="62">
        <v>3</v>
      </c>
      <c r="J686" s="62">
        <v>3</v>
      </c>
      <c r="K686" s="598">
        <v>2.2199999999999998</v>
      </c>
      <c r="L686" s="688">
        <v>44083</v>
      </c>
      <c r="M686" s="688"/>
      <c r="N686" s="689">
        <v>44083</v>
      </c>
      <c r="O686" s="694" t="s">
        <v>2427</v>
      </c>
      <c r="P686" s="22"/>
      <c r="Q686" s="836">
        <f t="shared" si="10"/>
        <v>2.2199999999999998</v>
      </c>
      <c r="R686" s="11">
        <v>146</v>
      </c>
      <c r="S686" s="63"/>
      <c r="T686" s="1307"/>
      <c r="U686" s="22"/>
      <c r="V686" s="7" t="s">
        <v>2418</v>
      </c>
    </row>
    <row r="687" spans="3:22" s="7" customFormat="1" ht="15">
      <c r="C687" s="6" t="s">
        <v>2422</v>
      </c>
      <c r="D687" s="13" t="s">
        <v>2003</v>
      </c>
      <c r="E687" s="21" t="s">
        <v>67</v>
      </c>
      <c r="F687" s="23"/>
      <c r="G687" s="21" t="s">
        <v>46</v>
      </c>
      <c r="H687" s="62">
        <v>3</v>
      </c>
      <c r="I687" s="62">
        <v>3</v>
      </c>
      <c r="J687" s="62">
        <v>3</v>
      </c>
      <c r="K687" s="598">
        <v>1.75</v>
      </c>
      <c r="L687" s="688">
        <v>44083</v>
      </c>
      <c r="M687" s="688"/>
      <c r="N687" s="689">
        <v>44083</v>
      </c>
      <c r="O687" s="694" t="s">
        <v>2427</v>
      </c>
      <c r="P687" s="22"/>
      <c r="Q687" s="13">
        <f t="shared" si="10"/>
        <v>1.75</v>
      </c>
      <c r="R687" s="11">
        <v>115</v>
      </c>
      <c r="S687" s="63"/>
      <c r="T687" s="1307"/>
      <c r="U687" s="22"/>
      <c r="V687" s="7" t="s">
        <v>2418</v>
      </c>
    </row>
    <row r="688" spans="3:22" s="7" customFormat="1" ht="15">
      <c r="C688" s="6" t="s">
        <v>2422</v>
      </c>
      <c r="D688" s="13" t="s">
        <v>2003</v>
      </c>
      <c r="E688" s="21" t="s">
        <v>124</v>
      </c>
      <c r="F688" s="23"/>
      <c r="G688" s="21" t="s">
        <v>46</v>
      </c>
      <c r="H688" s="62">
        <v>3</v>
      </c>
      <c r="I688" s="62">
        <v>3</v>
      </c>
      <c r="J688" s="62">
        <v>3</v>
      </c>
      <c r="K688" s="598">
        <v>1.26</v>
      </c>
      <c r="L688" s="688">
        <v>44083</v>
      </c>
      <c r="M688" s="688"/>
      <c r="N688" s="689">
        <v>44083</v>
      </c>
      <c r="O688" s="694" t="s">
        <v>2427</v>
      </c>
      <c r="P688" s="22"/>
      <c r="Q688" s="13">
        <f t="shared" si="10"/>
        <v>1.26</v>
      </c>
      <c r="R688" s="11">
        <v>83</v>
      </c>
      <c r="S688" s="63"/>
      <c r="T688" s="1307"/>
      <c r="U688" s="22"/>
      <c r="V688" s="7" t="s">
        <v>2418</v>
      </c>
    </row>
    <row r="689" spans="3:22" s="7" customFormat="1" ht="15">
      <c r="C689" s="6" t="s">
        <v>2422</v>
      </c>
      <c r="D689" s="13" t="s">
        <v>2003</v>
      </c>
      <c r="E689" s="21" t="s">
        <v>2461</v>
      </c>
      <c r="F689" s="23"/>
      <c r="G689" s="21" t="s">
        <v>127</v>
      </c>
      <c r="H689" s="62">
        <v>3</v>
      </c>
      <c r="I689" s="62">
        <v>3</v>
      </c>
      <c r="J689" s="62">
        <v>3</v>
      </c>
      <c r="K689" s="598">
        <v>2.5199999999999996</v>
      </c>
      <c r="L689" s="688">
        <v>44083</v>
      </c>
      <c r="M689" s="688"/>
      <c r="N689" s="689">
        <v>44083</v>
      </c>
      <c r="O689" s="694" t="s">
        <v>2427</v>
      </c>
      <c r="P689" s="22"/>
      <c r="Q689" s="13">
        <f t="shared" si="10"/>
        <v>2.5199999999999996</v>
      </c>
      <c r="R689" s="11">
        <v>166</v>
      </c>
      <c r="S689" s="63"/>
      <c r="T689" s="1307"/>
      <c r="U689" s="22"/>
      <c r="V689" s="7" t="s">
        <v>2418</v>
      </c>
    </row>
    <row r="690" spans="3:22" s="7" customFormat="1" ht="15">
      <c r="C690" s="6" t="s">
        <v>2422</v>
      </c>
      <c r="D690" s="13" t="s">
        <v>2003</v>
      </c>
      <c r="E690" s="21" t="s">
        <v>2462</v>
      </c>
      <c r="F690" s="23"/>
      <c r="G690" s="21" t="s">
        <v>128</v>
      </c>
      <c r="H690" s="62">
        <v>3</v>
      </c>
      <c r="I690" s="62">
        <v>3</v>
      </c>
      <c r="J690" s="62">
        <v>3</v>
      </c>
      <c r="K690" s="598">
        <v>2.5199999999999996</v>
      </c>
      <c r="L690" s="688">
        <v>44083</v>
      </c>
      <c r="M690" s="688"/>
      <c r="N690" s="689">
        <v>44083</v>
      </c>
      <c r="O690" s="694" t="s">
        <v>2427</v>
      </c>
      <c r="P690" s="22"/>
      <c r="Q690" s="13">
        <f t="shared" si="10"/>
        <v>2.5199999999999996</v>
      </c>
      <c r="R690" s="11">
        <v>166</v>
      </c>
      <c r="S690" s="63"/>
      <c r="T690" s="1307"/>
      <c r="U690" s="22"/>
      <c r="V690" s="7" t="s">
        <v>2418</v>
      </c>
    </row>
    <row r="691" spans="3:22" s="7" customFormat="1" ht="15">
      <c r="C691" s="6" t="s">
        <v>2422</v>
      </c>
      <c r="D691" s="13" t="s">
        <v>2003</v>
      </c>
      <c r="E691" s="21" t="s">
        <v>2463</v>
      </c>
      <c r="F691" s="23"/>
      <c r="G691" s="21" t="s">
        <v>46</v>
      </c>
      <c r="H691" s="62">
        <v>3</v>
      </c>
      <c r="I691" s="62">
        <v>3</v>
      </c>
      <c r="J691" s="62">
        <v>3</v>
      </c>
      <c r="K691" s="598">
        <v>1.34</v>
      </c>
      <c r="L691" s="688">
        <v>44083</v>
      </c>
      <c r="M691" s="688"/>
      <c r="N691" s="689">
        <v>44083</v>
      </c>
      <c r="O691" s="694" t="s">
        <v>2427</v>
      </c>
      <c r="P691" s="22"/>
      <c r="Q691" s="13">
        <f t="shared" si="10"/>
        <v>1.34</v>
      </c>
      <c r="R691" s="11">
        <v>88</v>
      </c>
      <c r="S691" s="63"/>
      <c r="T691" s="1307"/>
      <c r="U691" s="22"/>
      <c r="V691" s="7" t="s">
        <v>2418</v>
      </c>
    </row>
    <row r="692" spans="3:22" s="7" customFormat="1" ht="15">
      <c r="C692" s="6" t="s">
        <v>2422</v>
      </c>
      <c r="D692" s="13" t="s">
        <v>2003</v>
      </c>
      <c r="E692" s="21" t="s">
        <v>70</v>
      </c>
      <c r="F692" s="23"/>
      <c r="G692" s="21" t="s">
        <v>46</v>
      </c>
      <c r="H692" s="62">
        <v>3</v>
      </c>
      <c r="I692" s="62">
        <v>3</v>
      </c>
      <c r="J692" s="62">
        <v>3</v>
      </c>
      <c r="K692" s="598">
        <v>1.7</v>
      </c>
      <c r="L692" s="688">
        <v>44083</v>
      </c>
      <c r="M692" s="688"/>
      <c r="N692" s="689">
        <v>44083</v>
      </c>
      <c r="O692" s="694" t="s">
        <v>2427</v>
      </c>
      <c r="P692" s="22"/>
      <c r="Q692" s="836">
        <f t="shared" si="10"/>
        <v>1.7</v>
      </c>
      <c r="R692" s="11">
        <v>112</v>
      </c>
      <c r="S692" s="63"/>
      <c r="T692" s="1307"/>
      <c r="U692" s="22"/>
      <c r="V692" s="7" t="s">
        <v>2418</v>
      </c>
    </row>
    <row r="693" spans="3:22" s="7" customFormat="1" ht="15">
      <c r="C693" s="6" t="s">
        <v>2422</v>
      </c>
      <c r="D693" s="13" t="s">
        <v>2003</v>
      </c>
      <c r="E693" s="21" t="s">
        <v>105</v>
      </c>
      <c r="F693" s="23"/>
      <c r="G693" s="21" t="s">
        <v>46</v>
      </c>
      <c r="H693" s="62">
        <v>3</v>
      </c>
      <c r="I693" s="62">
        <v>3</v>
      </c>
      <c r="J693" s="62">
        <v>3</v>
      </c>
      <c r="K693" s="598">
        <v>0.7</v>
      </c>
      <c r="L693" s="688">
        <v>44083</v>
      </c>
      <c r="M693" s="688"/>
      <c r="N693" s="689">
        <v>44083</v>
      </c>
      <c r="O693" s="694" t="s">
        <v>2427</v>
      </c>
      <c r="P693" s="22"/>
      <c r="Q693" s="836">
        <f t="shared" si="10"/>
        <v>0.7</v>
      </c>
      <c r="R693" s="11">
        <v>46</v>
      </c>
      <c r="S693" s="63"/>
      <c r="T693" s="1307"/>
      <c r="U693" s="22"/>
      <c r="V693" s="7" t="s">
        <v>2418</v>
      </c>
    </row>
    <row r="694" spans="3:22" s="121" customFormat="1" ht="15">
      <c r="C694" s="119" t="s">
        <v>2422</v>
      </c>
      <c r="D694" s="123" t="s">
        <v>2003</v>
      </c>
      <c r="E694" s="124" t="s">
        <v>194</v>
      </c>
      <c r="F694" s="101"/>
      <c r="G694" s="102" t="s">
        <v>46</v>
      </c>
      <c r="H694" s="825">
        <v>3</v>
      </c>
      <c r="I694" s="825">
        <v>3</v>
      </c>
      <c r="J694" s="825">
        <v>3</v>
      </c>
      <c r="K694" s="826" t="s">
        <v>2464</v>
      </c>
      <c r="L694" s="827"/>
      <c r="M694" s="827"/>
      <c r="N694" s="828"/>
      <c r="O694" s="748"/>
      <c r="P694" s="334"/>
      <c r="Q694" s="123"/>
      <c r="R694" s="130"/>
      <c r="S694" s="830"/>
      <c r="T694" s="1316"/>
      <c r="U694" s="334"/>
    </row>
    <row r="695" spans="3:22" s="121" customFormat="1" ht="15">
      <c r="C695" s="119" t="s">
        <v>2422</v>
      </c>
      <c r="D695" s="123" t="s">
        <v>2003</v>
      </c>
      <c r="E695" s="124" t="s">
        <v>136</v>
      </c>
      <c r="F695" s="101"/>
      <c r="G695" s="102" t="s">
        <v>46</v>
      </c>
      <c r="H695" s="825">
        <v>3</v>
      </c>
      <c r="I695" s="825">
        <v>3</v>
      </c>
      <c r="J695" s="825">
        <v>3</v>
      </c>
      <c r="K695" s="826" t="s">
        <v>2464</v>
      </c>
      <c r="L695" s="827"/>
      <c r="M695" s="827"/>
      <c r="N695" s="828"/>
      <c r="O695" s="748"/>
      <c r="P695" s="334"/>
      <c r="Q695" s="123"/>
      <c r="R695" s="130"/>
      <c r="S695" s="830"/>
      <c r="T695" s="1316"/>
      <c r="U695" s="334"/>
    </row>
    <row r="696" spans="3:22" s="121" customFormat="1" ht="15">
      <c r="C696" s="119" t="s">
        <v>2422</v>
      </c>
      <c r="D696" s="123" t="s">
        <v>2003</v>
      </c>
      <c r="E696" s="124" t="s">
        <v>2465</v>
      </c>
      <c r="F696" s="101"/>
      <c r="G696" s="102" t="s">
        <v>46</v>
      </c>
      <c r="H696" s="825">
        <v>3</v>
      </c>
      <c r="I696" s="825">
        <v>3</v>
      </c>
      <c r="J696" s="825">
        <v>3</v>
      </c>
      <c r="K696" s="831">
        <v>2.3499999999999996</v>
      </c>
      <c r="L696" s="837"/>
      <c r="M696" s="838"/>
      <c r="N696" s="839"/>
      <c r="O696" s="840" t="s">
        <v>2457</v>
      </c>
      <c r="P696" s="334"/>
      <c r="Q696" s="123">
        <f>ROUNDUP(R696/0.6/110,2)</f>
        <v>2.3499999999999996</v>
      </c>
      <c r="R696" s="130">
        <v>155</v>
      </c>
      <c r="S696" s="830"/>
      <c r="T696" s="1316"/>
      <c r="U696" s="334"/>
    </row>
    <row r="697" spans="3:22" s="121" customFormat="1" ht="15">
      <c r="C697" s="119" t="s">
        <v>2422</v>
      </c>
      <c r="D697" s="123" t="s">
        <v>2003</v>
      </c>
      <c r="E697" s="124" t="s">
        <v>2466</v>
      </c>
      <c r="F697" s="101"/>
      <c r="G697" s="102" t="s">
        <v>46</v>
      </c>
      <c r="H697" s="825">
        <v>3</v>
      </c>
      <c r="I697" s="825">
        <v>3</v>
      </c>
      <c r="J697" s="825">
        <v>3</v>
      </c>
      <c r="K697" s="831">
        <v>2.0499999999999998</v>
      </c>
      <c r="L697" s="841"/>
      <c r="M697" s="842"/>
      <c r="N697" s="843"/>
      <c r="O697" s="844"/>
      <c r="P697" s="334"/>
      <c r="Q697" s="123">
        <f>ROUNDUP(R697/0.6/110,2)</f>
        <v>2.0499999999999998</v>
      </c>
      <c r="R697" s="130">
        <v>135</v>
      </c>
      <c r="S697" s="830"/>
      <c r="T697" s="1316"/>
      <c r="U697" s="334"/>
    </row>
    <row r="698" spans="3:22" s="121" customFormat="1" ht="15">
      <c r="C698" s="119" t="s">
        <v>2422</v>
      </c>
      <c r="D698" s="123" t="s">
        <v>2003</v>
      </c>
      <c r="E698" s="124" t="s">
        <v>2467</v>
      </c>
      <c r="F698" s="101"/>
      <c r="G698" s="102" t="s">
        <v>46</v>
      </c>
      <c r="H698" s="825">
        <v>3</v>
      </c>
      <c r="I698" s="825">
        <v>3</v>
      </c>
      <c r="J698" s="825">
        <v>3</v>
      </c>
      <c r="K698" s="831">
        <v>1.67</v>
      </c>
      <c r="L698" s="845"/>
      <c r="M698" s="846"/>
      <c r="N698" s="847"/>
      <c r="O698" s="848"/>
      <c r="P698" s="334"/>
      <c r="Q698" s="123">
        <f>ROUNDUP(R698/0.6/110,2)</f>
        <v>1.67</v>
      </c>
      <c r="R698" s="130">
        <v>110</v>
      </c>
      <c r="S698" s="830"/>
      <c r="T698" s="1316"/>
      <c r="U698" s="334"/>
    </row>
    <row r="699" spans="3:22" s="7" customFormat="1" ht="15">
      <c r="C699" s="6" t="s">
        <v>2415</v>
      </c>
      <c r="D699" s="13" t="s">
        <v>2003</v>
      </c>
      <c r="E699" s="21" t="s">
        <v>2468</v>
      </c>
      <c r="F699" s="23"/>
      <c r="G699" s="21" t="s">
        <v>46</v>
      </c>
      <c r="H699" s="62">
        <v>3</v>
      </c>
      <c r="I699" s="62">
        <v>3</v>
      </c>
      <c r="J699" s="62">
        <v>3</v>
      </c>
      <c r="K699" s="598">
        <v>1.9</v>
      </c>
      <c r="L699" s="688">
        <v>44083</v>
      </c>
      <c r="M699" s="688"/>
      <c r="N699" s="689">
        <v>44083</v>
      </c>
      <c r="O699" s="694" t="s">
        <v>2427</v>
      </c>
      <c r="P699" s="22"/>
      <c r="Q699" s="13">
        <f t="shared" ref="Q699:Q710" si="11">ROUNDUP(R699/0.6/110,2)</f>
        <v>1.9</v>
      </c>
      <c r="R699" s="11">
        <v>125</v>
      </c>
      <c r="S699" s="63"/>
      <c r="T699" s="1307"/>
      <c r="U699" s="22"/>
      <c r="V699" s="7" t="s">
        <v>2418</v>
      </c>
    </row>
    <row r="700" spans="3:22" s="7" customFormat="1" ht="15">
      <c r="C700" s="6" t="s">
        <v>2422</v>
      </c>
      <c r="D700" s="13" t="s">
        <v>2003</v>
      </c>
      <c r="E700" s="21" t="s">
        <v>2469</v>
      </c>
      <c r="F700" s="23"/>
      <c r="G700" s="21" t="s">
        <v>46</v>
      </c>
      <c r="H700" s="62">
        <v>3</v>
      </c>
      <c r="I700" s="62">
        <v>3</v>
      </c>
      <c r="J700" s="62">
        <v>3</v>
      </c>
      <c r="K700" s="598">
        <v>2.5799999999999996</v>
      </c>
      <c r="L700" s="688">
        <v>44083</v>
      </c>
      <c r="M700" s="688"/>
      <c r="N700" s="689">
        <v>44083</v>
      </c>
      <c r="O700" s="694" t="s">
        <v>2427</v>
      </c>
      <c r="P700" s="22"/>
      <c r="Q700" s="13">
        <f t="shared" si="11"/>
        <v>2.5799999999999996</v>
      </c>
      <c r="R700" s="11">
        <v>170</v>
      </c>
      <c r="S700" s="63"/>
      <c r="T700" s="1307"/>
      <c r="U700" s="22"/>
      <c r="V700" s="7" t="s">
        <v>2418</v>
      </c>
    </row>
    <row r="701" spans="3:22" s="121" customFormat="1" ht="15.75">
      <c r="C701" s="119" t="s">
        <v>2422</v>
      </c>
      <c r="D701" s="123" t="s">
        <v>2003</v>
      </c>
      <c r="E701" s="124" t="s">
        <v>2470</v>
      </c>
      <c r="F701" s="101"/>
      <c r="G701" s="102" t="s">
        <v>46</v>
      </c>
      <c r="H701" s="825">
        <v>3</v>
      </c>
      <c r="I701" s="825">
        <v>3</v>
      </c>
      <c r="J701" s="825">
        <v>3</v>
      </c>
      <c r="K701" s="831">
        <v>2.88</v>
      </c>
      <c r="L701" s="832"/>
      <c r="M701" s="833"/>
      <c r="N701" s="834"/>
      <c r="O701" s="849" t="s">
        <v>32</v>
      </c>
      <c r="P701" s="334"/>
      <c r="Q701" s="123">
        <f t="shared" si="11"/>
        <v>2.88</v>
      </c>
      <c r="R701" s="130">
        <v>190</v>
      </c>
      <c r="S701" s="830"/>
      <c r="T701" s="1316"/>
      <c r="U701" s="334"/>
    </row>
    <row r="702" spans="3:22" s="7" customFormat="1" ht="15">
      <c r="C702" s="6" t="s">
        <v>2422</v>
      </c>
      <c r="D702" s="13" t="s">
        <v>2003</v>
      </c>
      <c r="E702" s="21" t="s">
        <v>2471</v>
      </c>
      <c r="F702" s="23"/>
      <c r="G702" s="21" t="s">
        <v>46</v>
      </c>
      <c r="H702" s="62">
        <v>3</v>
      </c>
      <c r="I702" s="62">
        <v>3</v>
      </c>
      <c r="J702" s="62">
        <v>3</v>
      </c>
      <c r="K702" s="598">
        <v>4.8199999999999994</v>
      </c>
      <c r="L702" s="688">
        <v>44083</v>
      </c>
      <c r="M702" s="688"/>
      <c r="N702" s="689">
        <v>44083</v>
      </c>
      <c r="O702" s="694" t="s">
        <v>2427</v>
      </c>
      <c r="P702" s="22"/>
      <c r="Q702" s="836">
        <f t="shared" si="11"/>
        <v>4.8199999999999994</v>
      </c>
      <c r="R702" s="11">
        <v>318</v>
      </c>
      <c r="S702" s="63"/>
      <c r="T702" s="1307"/>
      <c r="U702" s="22"/>
      <c r="V702" s="7" t="s">
        <v>2418</v>
      </c>
    </row>
    <row r="703" spans="3:22" s="7" customFormat="1" ht="15">
      <c r="C703" s="6" t="s">
        <v>2422</v>
      </c>
      <c r="D703" s="13" t="s">
        <v>2003</v>
      </c>
      <c r="E703" s="21" t="s">
        <v>2472</v>
      </c>
      <c r="F703" s="23"/>
      <c r="G703" s="21" t="s">
        <v>46</v>
      </c>
      <c r="H703" s="62">
        <v>3</v>
      </c>
      <c r="I703" s="62">
        <v>3</v>
      </c>
      <c r="J703" s="62">
        <v>3</v>
      </c>
      <c r="K703" s="598">
        <v>4.29</v>
      </c>
      <c r="L703" s="688">
        <v>44083</v>
      </c>
      <c r="M703" s="688"/>
      <c r="N703" s="689">
        <v>44083</v>
      </c>
      <c r="O703" s="694" t="s">
        <v>2427</v>
      </c>
      <c r="P703" s="22"/>
      <c r="Q703" s="836">
        <f t="shared" si="11"/>
        <v>4.29</v>
      </c>
      <c r="R703" s="11">
        <v>283</v>
      </c>
      <c r="S703" s="63"/>
      <c r="T703" s="1307"/>
      <c r="U703" s="22"/>
      <c r="V703" s="7" t="s">
        <v>2418</v>
      </c>
    </row>
    <row r="704" spans="3:22" s="7" customFormat="1" ht="15">
      <c r="C704" s="6" t="s">
        <v>2422</v>
      </c>
      <c r="D704" s="13" t="s">
        <v>2003</v>
      </c>
      <c r="E704" s="21" t="s">
        <v>2473</v>
      </c>
      <c r="F704" s="23"/>
      <c r="G704" s="21" t="s">
        <v>46</v>
      </c>
      <c r="H704" s="62">
        <v>3</v>
      </c>
      <c r="I704" s="62">
        <v>3</v>
      </c>
      <c r="J704" s="62">
        <v>3</v>
      </c>
      <c r="K704" s="598">
        <v>4.7</v>
      </c>
      <c r="L704" s="688">
        <v>44083</v>
      </c>
      <c r="M704" s="688"/>
      <c r="N704" s="689">
        <v>44083</v>
      </c>
      <c r="O704" s="694" t="s">
        <v>2427</v>
      </c>
      <c r="P704" s="22"/>
      <c r="Q704" s="836">
        <f t="shared" si="11"/>
        <v>4.7</v>
      </c>
      <c r="R704" s="11">
        <v>310</v>
      </c>
      <c r="S704" s="63"/>
      <c r="T704" s="1307"/>
      <c r="U704" s="22"/>
      <c r="V704" s="7" t="s">
        <v>2418</v>
      </c>
    </row>
    <row r="705" spans="3:22" s="7" customFormat="1" ht="15">
      <c r="C705" s="6" t="s">
        <v>2422</v>
      </c>
      <c r="D705" s="13" t="s">
        <v>2003</v>
      </c>
      <c r="E705" s="21" t="s">
        <v>2474</v>
      </c>
      <c r="F705" s="23"/>
      <c r="G705" s="21" t="s">
        <v>46</v>
      </c>
      <c r="H705" s="62">
        <v>3</v>
      </c>
      <c r="I705" s="62">
        <v>3</v>
      </c>
      <c r="J705" s="62">
        <v>3</v>
      </c>
      <c r="K705" s="598">
        <v>4.55</v>
      </c>
      <c r="L705" s="688">
        <v>44083</v>
      </c>
      <c r="M705" s="688"/>
      <c r="N705" s="689">
        <v>44083</v>
      </c>
      <c r="O705" s="694" t="s">
        <v>2427</v>
      </c>
      <c r="P705" s="22"/>
      <c r="Q705" s="836">
        <f t="shared" si="11"/>
        <v>4.55</v>
      </c>
      <c r="R705" s="11">
        <v>300</v>
      </c>
      <c r="S705" s="63"/>
      <c r="T705" s="1307"/>
      <c r="U705" s="22"/>
      <c r="V705" s="7" t="s">
        <v>2418</v>
      </c>
    </row>
    <row r="706" spans="3:22" s="7" customFormat="1" ht="15">
      <c r="C706" s="6" t="s">
        <v>2422</v>
      </c>
      <c r="D706" s="13" t="s">
        <v>2003</v>
      </c>
      <c r="E706" s="21" t="s">
        <v>2475</v>
      </c>
      <c r="F706" s="23"/>
      <c r="G706" s="21" t="s">
        <v>46</v>
      </c>
      <c r="H706" s="62">
        <v>3</v>
      </c>
      <c r="I706" s="62">
        <v>3</v>
      </c>
      <c r="J706" s="62">
        <v>3</v>
      </c>
      <c r="K706" s="598">
        <v>1.17</v>
      </c>
      <c r="L706" s="688">
        <v>44083</v>
      </c>
      <c r="M706" s="688"/>
      <c r="N706" s="689">
        <v>44083</v>
      </c>
      <c r="O706" s="694" t="s">
        <v>2427</v>
      </c>
      <c r="P706" s="22"/>
      <c r="Q706" s="836">
        <f t="shared" si="11"/>
        <v>1.17</v>
      </c>
      <c r="R706" s="11">
        <v>77</v>
      </c>
      <c r="S706" s="63"/>
      <c r="T706" s="1307"/>
      <c r="U706" s="22"/>
      <c r="V706" s="7" t="s">
        <v>2418</v>
      </c>
    </row>
    <row r="707" spans="3:22" s="7" customFormat="1" ht="15">
      <c r="C707" s="6" t="s">
        <v>2422</v>
      </c>
      <c r="D707" s="13" t="s">
        <v>2003</v>
      </c>
      <c r="E707" s="21" t="s">
        <v>2476</v>
      </c>
      <c r="F707" s="23"/>
      <c r="G707" s="21" t="s">
        <v>46</v>
      </c>
      <c r="H707" s="62">
        <v>3</v>
      </c>
      <c r="I707" s="62">
        <v>3</v>
      </c>
      <c r="J707" s="62">
        <v>3</v>
      </c>
      <c r="K707" s="598">
        <v>1.82</v>
      </c>
      <c r="L707" s="688">
        <v>44083</v>
      </c>
      <c r="M707" s="688"/>
      <c r="N707" s="689">
        <v>44083</v>
      </c>
      <c r="O707" s="694" t="s">
        <v>2427</v>
      </c>
      <c r="P707" s="22"/>
      <c r="Q707" s="836">
        <f t="shared" si="11"/>
        <v>1.82</v>
      </c>
      <c r="R707" s="11">
        <v>120</v>
      </c>
      <c r="S707" s="63"/>
      <c r="T707" s="1307"/>
      <c r="U707" s="22"/>
      <c r="V707" s="7" t="s">
        <v>2418</v>
      </c>
    </row>
    <row r="708" spans="3:22" s="7" customFormat="1" ht="15">
      <c r="C708" s="6" t="s">
        <v>2422</v>
      </c>
      <c r="D708" s="13" t="s">
        <v>2003</v>
      </c>
      <c r="E708" s="21" t="s">
        <v>2477</v>
      </c>
      <c r="F708" s="23"/>
      <c r="G708" s="21" t="s">
        <v>46</v>
      </c>
      <c r="H708" s="62">
        <v>3</v>
      </c>
      <c r="I708" s="62">
        <v>3</v>
      </c>
      <c r="J708" s="62">
        <v>3</v>
      </c>
      <c r="K708" s="598">
        <v>3.6399999999999997</v>
      </c>
      <c r="L708" s="688">
        <v>44083</v>
      </c>
      <c r="M708" s="688"/>
      <c r="N708" s="689">
        <v>44083</v>
      </c>
      <c r="O708" s="694" t="s">
        <v>2427</v>
      </c>
      <c r="P708" s="22"/>
      <c r="Q708" s="836">
        <f t="shared" si="11"/>
        <v>3.6399999999999997</v>
      </c>
      <c r="R708" s="11">
        <v>240</v>
      </c>
      <c r="S708" s="63"/>
      <c r="T708" s="1307"/>
      <c r="U708" s="22"/>
      <c r="V708" s="7" t="s">
        <v>2418</v>
      </c>
    </row>
    <row r="709" spans="3:22" s="7" customFormat="1" ht="15">
      <c r="C709" s="6" t="s">
        <v>2422</v>
      </c>
      <c r="D709" s="13" t="s">
        <v>2003</v>
      </c>
      <c r="E709" s="21" t="s">
        <v>2478</v>
      </c>
      <c r="F709" s="23"/>
      <c r="G709" s="21" t="s">
        <v>46</v>
      </c>
      <c r="H709" s="62">
        <v>3</v>
      </c>
      <c r="I709" s="62">
        <v>3</v>
      </c>
      <c r="J709" s="62">
        <v>3</v>
      </c>
      <c r="K709" s="598">
        <v>3</v>
      </c>
      <c r="L709" s="688">
        <v>44083</v>
      </c>
      <c r="M709" s="688"/>
      <c r="N709" s="689">
        <v>44083</v>
      </c>
      <c r="O709" s="694" t="s">
        <v>2427</v>
      </c>
      <c r="P709" s="22"/>
      <c r="Q709" s="836">
        <f t="shared" si="11"/>
        <v>3</v>
      </c>
      <c r="R709" s="11">
        <v>198</v>
      </c>
      <c r="S709" s="63"/>
      <c r="T709" s="1307"/>
      <c r="U709" s="22"/>
      <c r="V709" s="7" t="s">
        <v>2418</v>
      </c>
    </row>
    <row r="710" spans="3:22" s="7" customFormat="1" ht="15">
      <c r="C710" s="6" t="s">
        <v>2422</v>
      </c>
      <c r="D710" s="13" t="s">
        <v>2003</v>
      </c>
      <c r="E710" s="21" t="s">
        <v>2479</v>
      </c>
      <c r="F710" s="23"/>
      <c r="G710" s="21" t="s">
        <v>46</v>
      </c>
      <c r="H710" s="62">
        <v>3</v>
      </c>
      <c r="I710" s="62">
        <v>3</v>
      </c>
      <c r="J710" s="62">
        <v>3</v>
      </c>
      <c r="K710" s="598">
        <v>1.44</v>
      </c>
      <c r="L710" s="688">
        <v>44083</v>
      </c>
      <c r="M710" s="688"/>
      <c r="N710" s="689">
        <v>44083</v>
      </c>
      <c r="O710" s="694" t="s">
        <v>2427</v>
      </c>
      <c r="P710" s="22"/>
      <c r="Q710" s="836">
        <f t="shared" si="11"/>
        <v>1.44</v>
      </c>
      <c r="R710" s="11">
        <v>95</v>
      </c>
      <c r="S710" s="63"/>
      <c r="T710" s="1307"/>
      <c r="U710" s="22"/>
      <c r="V710" s="7" t="s">
        <v>2418</v>
      </c>
    </row>
    <row r="711" spans="3:22" s="7" customFormat="1" ht="15">
      <c r="C711" s="6" t="s">
        <v>2422</v>
      </c>
      <c r="D711" s="13" t="s">
        <v>2003</v>
      </c>
      <c r="E711" s="21" t="s">
        <v>2480</v>
      </c>
      <c r="F711" s="23"/>
      <c r="G711" s="21" t="s">
        <v>46</v>
      </c>
      <c r="H711" s="62">
        <v>3</v>
      </c>
      <c r="I711" s="62">
        <v>3</v>
      </c>
      <c r="J711" s="62">
        <v>3</v>
      </c>
      <c r="K711" s="598">
        <v>1.9</v>
      </c>
      <c r="L711" s="688">
        <v>44083</v>
      </c>
      <c r="M711" s="688"/>
      <c r="N711" s="689">
        <v>44083</v>
      </c>
      <c r="O711" s="694" t="s">
        <v>2427</v>
      </c>
      <c r="P711" s="22"/>
      <c r="Q711" s="836">
        <f>ROUNDUP(R711/0.6/110,2)</f>
        <v>1.9</v>
      </c>
      <c r="R711" s="11">
        <v>125</v>
      </c>
      <c r="S711" s="63"/>
      <c r="T711" s="1307"/>
      <c r="U711" s="22"/>
      <c r="V711" s="7" t="s">
        <v>2418</v>
      </c>
    </row>
    <row r="712" spans="3:22" s="121" customFormat="1" ht="15">
      <c r="C712" s="119" t="s">
        <v>2422</v>
      </c>
      <c r="D712" s="123" t="s">
        <v>2003</v>
      </c>
      <c r="E712" s="824" t="s">
        <v>2481</v>
      </c>
      <c r="F712" s="101"/>
      <c r="G712" s="102" t="s">
        <v>46</v>
      </c>
      <c r="H712" s="825">
        <v>3</v>
      </c>
      <c r="I712" s="825">
        <v>3</v>
      </c>
      <c r="J712" s="825">
        <v>3</v>
      </c>
      <c r="K712" s="826" t="s">
        <v>2464</v>
      </c>
      <c r="L712" s="827"/>
      <c r="M712" s="827"/>
      <c r="N712" s="828"/>
      <c r="O712" s="748"/>
      <c r="P712" s="334"/>
      <c r="Q712" s="123"/>
      <c r="R712" s="130"/>
      <c r="S712" s="830"/>
      <c r="T712" s="1316"/>
      <c r="U712" s="334"/>
    </row>
    <row r="713" spans="3:22" s="7" customFormat="1" ht="15">
      <c r="C713" s="6" t="s">
        <v>2415</v>
      </c>
      <c r="D713" s="13" t="s">
        <v>2003</v>
      </c>
      <c r="E713" s="21" t="s">
        <v>2482</v>
      </c>
      <c r="F713" s="23"/>
      <c r="G713" s="21" t="s">
        <v>46</v>
      </c>
      <c r="H713" s="62">
        <v>3</v>
      </c>
      <c r="I713" s="62">
        <v>3</v>
      </c>
      <c r="J713" s="62">
        <v>3</v>
      </c>
      <c r="K713" s="598">
        <v>1.41</v>
      </c>
      <c r="L713" s="688">
        <v>44083</v>
      </c>
      <c r="M713" s="688"/>
      <c r="N713" s="689">
        <v>44083</v>
      </c>
      <c r="O713" s="694" t="s">
        <v>2427</v>
      </c>
      <c r="P713" s="22"/>
      <c r="Q713" s="13">
        <f>ROUNDUP(R713/0.6/110,2)</f>
        <v>1.41</v>
      </c>
      <c r="R713" s="11">
        <v>93</v>
      </c>
      <c r="S713" s="63"/>
      <c r="T713" s="1307"/>
      <c r="U713" s="22"/>
      <c r="V713" s="7" t="s">
        <v>2418</v>
      </c>
    </row>
    <row r="714" spans="3:22" s="7" customFormat="1" ht="15">
      <c r="C714" s="6" t="s">
        <v>2422</v>
      </c>
      <c r="D714" s="13" t="s">
        <v>2003</v>
      </c>
      <c r="E714" s="21" t="s">
        <v>2483</v>
      </c>
      <c r="F714" s="23"/>
      <c r="G714" s="21" t="s">
        <v>46</v>
      </c>
      <c r="H714" s="62">
        <v>3</v>
      </c>
      <c r="I714" s="62">
        <v>3</v>
      </c>
      <c r="J714" s="62">
        <v>3</v>
      </c>
      <c r="K714" s="598">
        <v>1.04</v>
      </c>
      <c r="L714" s="688">
        <v>44083</v>
      </c>
      <c r="M714" s="688"/>
      <c r="N714" s="689">
        <v>44083</v>
      </c>
      <c r="O714" s="694" t="s">
        <v>2427</v>
      </c>
      <c r="P714" s="22"/>
      <c r="Q714" s="13">
        <f>ROUNDUP(R714/0.6/110,2)</f>
        <v>1.04</v>
      </c>
      <c r="R714" s="11">
        <v>68</v>
      </c>
      <c r="S714" s="63"/>
      <c r="T714" s="1307"/>
      <c r="U714" s="22"/>
      <c r="V714" s="7" t="s">
        <v>2418</v>
      </c>
    </row>
    <row r="715" spans="3:22" s="7" customFormat="1" ht="15">
      <c r="C715" s="6" t="s">
        <v>2422</v>
      </c>
      <c r="D715" s="13" t="s">
        <v>2003</v>
      </c>
      <c r="E715" s="21"/>
      <c r="F715" s="38"/>
      <c r="G715" s="38" t="s">
        <v>13</v>
      </c>
      <c r="H715" s="39" t="s">
        <v>28</v>
      </c>
      <c r="I715" s="94"/>
      <c r="J715" s="93"/>
      <c r="K715" s="611">
        <v>50</v>
      </c>
      <c r="L715" s="688">
        <v>44083</v>
      </c>
      <c r="M715" s="688"/>
      <c r="N715" s="689">
        <v>44083</v>
      </c>
      <c r="O715" s="694" t="s">
        <v>2427</v>
      </c>
      <c r="P715" s="22"/>
      <c r="Q715" s="22"/>
      <c r="T715" s="1301"/>
      <c r="U715" s="6"/>
    </row>
    <row r="716" spans="3:22" ht="18" customHeight="1">
      <c r="C716" s="850"/>
      <c r="D716" s="851"/>
      <c r="E716" s="852" t="s">
        <v>1889</v>
      </c>
      <c r="F716" s="853"/>
      <c r="G716" s="854"/>
      <c r="H716" s="855"/>
      <c r="I716" s="856"/>
      <c r="J716" s="855"/>
      <c r="K716" s="857" t="s">
        <v>8</v>
      </c>
      <c r="L716" s="858"/>
      <c r="M716" s="859"/>
      <c r="N716" s="860"/>
      <c r="O716" s="752" t="s">
        <v>2484</v>
      </c>
      <c r="P716" s="34"/>
      <c r="Q716" s="50"/>
      <c r="U716" s="343"/>
    </row>
    <row r="717" spans="3:22" ht="18" customHeight="1">
      <c r="C717" s="861" t="s">
        <v>2485</v>
      </c>
      <c r="D717" s="851" t="s">
        <v>1853</v>
      </c>
      <c r="E717" s="862" t="s">
        <v>1891</v>
      </c>
      <c r="F717" s="853">
        <v>112</v>
      </c>
      <c r="G717" s="854" t="s">
        <v>1892</v>
      </c>
      <c r="H717" s="120">
        <v>23</v>
      </c>
      <c r="I717" s="333">
        <v>1</v>
      </c>
      <c r="J717" s="120">
        <f>H717*I717</f>
        <v>23</v>
      </c>
      <c r="K717" s="748">
        <v>21.43</v>
      </c>
      <c r="L717" s="863"/>
      <c r="M717" s="864"/>
      <c r="N717" s="865"/>
      <c r="O717" s="866"/>
      <c r="P717" s="34"/>
      <c r="Q717" s="683"/>
      <c r="R717" s="1">
        <v>1650</v>
      </c>
      <c r="U717" s="4"/>
    </row>
    <row r="718" spans="3:22" ht="18" customHeight="1">
      <c r="C718" s="861" t="s">
        <v>2485</v>
      </c>
      <c r="D718" s="851" t="s">
        <v>1853</v>
      </c>
      <c r="E718" s="854"/>
      <c r="F718" s="867"/>
      <c r="G718" s="867" t="s">
        <v>13</v>
      </c>
      <c r="H718" s="868">
        <v>1</v>
      </c>
      <c r="I718" s="856"/>
      <c r="J718" s="855"/>
      <c r="K718" s="748">
        <v>12</v>
      </c>
      <c r="L718" s="869"/>
      <c r="M718" s="870"/>
      <c r="N718" s="871"/>
      <c r="O718" s="872"/>
      <c r="P718" s="34"/>
      <c r="Q718" s="683"/>
      <c r="R718" t="s">
        <v>1894</v>
      </c>
      <c r="U718" s="4"/>
    </row>
    <row r="719" spans="3:22" s="7" customFormat="1" ht="15">
      <c r="C719" s="6"/>
      <c r="D719" s="13"/>
      <c r="E719" s="18" t="s">
        <v>19</v>
      </c>
      <c r="F719" s="23"/>
      <c r="G719" s="21"/>
      <c r="H719" s="55"/>
      <c r="I719" s="56"/>
      <c r="J719" s="55"/>
      <c r="K719" s="15" t="s">
        <v>8</v>
      </c>
      <c r="L719" s="10"/>
      <c r="M719" s="10"/>
      <c r="N719" s="13"/>
      <c r="O719" s="13"/>
      <c r="P719" s="100"/>
      <c r="Q719" s="100"/>
      <c r="T719" s="1301"/>
      <c r="U719" s="6" t="s">
        <v>3</v>
      </c>
    </row>
    <row r="720" spans="3:22" s="7" customFormat="1" ht="15">
      <c r="C720" s="6" t="s">
        <v>2486</v>
      </c>
      <c r="D720" s="13" t="s">
        <v>2277</v>
      </c>
      <c r="E720" s="739">
        <v>258176</v>
      </c>
      <c r="F720" s="23"/>
      <c r="G720" s="21" t="s">
        <v>25</v>
      </c>
      <c r="H720" s="93">
        <v>13.7</v>
      </c>
      <c r="I720" s="94">
        <v>22</v>
      </c>
      <c r="J720" s="108">
        <f>H720*I720</f>
        <v>301.39999999999998</v>
      </c>
      <c r="K720" s="597">
        <v>2.27</v>
      </c>
      <c r="L720" s="688">
        <v>44137</v>
      </c>
      <c r="M720" s="688"/>
      <c r="N720" s="689">
        <v>44137</v>
      </c>
      <c r="O720" s="690" t="s">
        <v>2487</v>
      </c>
      <c r="P720" s="22"/>
      <c r="Q720" s="13"/>
      <c r="R720" s="11">
        <v>187</v>
      </c>
      <c r="S720" s="11">
        <f>R720*J720</f>
        <v>56361.799999999996</v>
      </c>
      <c r="T720" s="1311"/>
      <c r="U720" s="22"/>
    </row>
    <row r="721" spans="3:21" ht="15">
      <c r="C721" s="6" t="s">
        <v>2486</v>
      </c>
      <c r="D721" s="13" t="s">
        <v>2277</v>
      </c>
      <c r="E721" s="48"/>
      <c r="F721" s="38"/>
      <c r="G721" s="38" t="s">
        <v>13</v>
      </c>
      <c r="H721" s="39" t="s">
        <v>28</v>
      </c>
      <c r="I721" s="94"/>
      <c r="J721" s="93"/>
      <c r="K721" s="611">
        <v>12</v>
      </c>
      <c r="L721" s="688">
        <v>44137</v>
      </c>
      <c r="M721" s="688"/>
      <c r="N721" s="689">
        <v>44137</v>
      </c>
      <c r="O721" s="690" t="s">
        <v>2487</v>
      </c>
      <c r="P721" s="22"/>
      <c r="Q721" s="22"/>
      <c r="R721" s="7"/>
      <c r="U721" s="6"/>
    </row>
    <row r="722" spans="3:21" s="7" customFormat="1" ht="15">
      <c r="C722" s="6"/>
      <c r="D722" s="13"/>
      <c r="E722" s="18" t="s">
        <v>2488</v>
      </c>
      <c r="F722" s="23"/>
      <c r="G722" s="21"/>
      <c r="H722" s="55"/>
      <c r="I722" s="56"/>
      <c r="J722" s="55"/>
      <c r="K722" s="15" t="s">
        <v>8</v>
      </c>
      <c r="L722" s="10"/>
      <c r="M722" s="10"/>
      <c r="N722" s="13"/>
      <c r="O722" s="13"/>
      <c r="P722" s="100"/>
      <c r="Q722" s="100"/>
      <c r="T722" s="1301"/>
      <c r="U722" s="6" t="s">
        <v>3</v>
      </c>
    </row>
    <row r="723" spans="3:21" ht="18" customHeight="1">
      <c r="C723" s="54" t="s">
        <v>2489</v>
      </c>
      <c r="D723" s="50" t="s">
        <v>1853</v>
      </c>
      <c r="E723" s="47" t="s">
        <v>2490</v>
      </c>
      <c r="F723" s="52" t="s">
        <v>2491</v>
      </c>
      <c r="G723" s="47" t="s">
        <v>2492</v>
      </c>
      <c r="H723" s="55">
        <v>20</v>
      </c>
      <c r="I723" s="56">
        <v>1</v>
      </c>
      <c r="J723" s="55">
        <f>H723*I723</f>
        <v>20</v>
      </c>
      <c r="K723" s="611">
        <v>12.75</v>
      </c>
      <c r="L723" s="688">
        <v>44118</v>
      </c>
      <c r="M723" s="688"/>
      <c r="N723" s="689">
        <v>44118</v>
      </c>
      <c r="O723" s="690" t="s">
        <v>2493</v>
      </c>
      <c r="P723" s="34"/>
      <c r="Q723" s="683"/>
      <c r="R723" s="1">
        <v>1100</v>
      </c>
      <c r="S723" s="7">
        <f t="shared" ref="S723:S786" si="12">P723</f>
        <v>0</v>
      </c>
      <c r="T723" s="1318">
        <f>Q723</f>
        <v>0</v>
      </c>
      <c r="U723" s="4"/>
    </row>
    <row r="724" spans="3:21" ht="15">
      <c r="C724" s="54" t="s">
        <v>2489</v>
      </c>
      <c r="D724" s="50" t="s">
        <v>1853</v>
      </c>
      <c r="E724" s="48"/>
      <c r="F724" s="38"/>
      <c r="G724" s="38" t="s">
        <v>2494</v>
      </c>
      <c r="H724" s="39"/>
      <c r="I724" s="94"/>
      <c r="J724" s="93"/>
      <c r="K724" s="611">
        <v>60</v>
      </c>
      <c r="L724" s="688">
        <v>44118</v>
      </c>
      <c r="M724" s="688"/>
      <c r="N724" s="689">
        <v>44118</v>
      </c>
      <c r="O724" s="690" t="s">
        <v>2493</v>
      </c>
      <c r="P724" s="22"/>
      <c r="Q724" s="22"/>
      <c r="R724" s="7">
        <v>300</v>
      </c>
      <c r="S724" s="7">
        <f t="shared" si="12"/>
        <v>0</v>
      </c>
      <c r="T724" s="1318">
        <f t="shared" ref="T724:T787" si="13">Q724</f>
        <v>0</v>
      </c>
      <c r="U724" s="6"/>
    </row>
    <row r="725" spans="3:21" ht="15">
      <c r="C725" s="54" t="s">
        <v>2489</v>
      </c>
      <c r="D725" s="50" t="s">
        <v>1853</v>
      </c>
      <c r="E725" s="48"/>
      <c r="F725" s="38"/>
      <c r="G725" s="38" t="s">
        <v>13</v>
      </c>
      <c r="H725" s="39"/>
      <c r="I725" s="94"/>
      <c r="J725" s="93"/>
      <c r="K725" s="611">
        <v>15</v>
      </c>
      <c r="L725" s="688">
        <v>44118</v>
      </c>
      <c r="M725" s="688"/>
      <c r="N725" s="689">
        <v>44118</v>
      </c>
      <c r="O725" s="690" t="s">
        <v>2493</v>
      </c>
      <c r="P725" s="22"/>
      <c r="Q725" s="22"/>
      <c r="R725" s="7"/>
      <c r="S725" s="7">
        <f t="shared" si="12"/>
        <v>0</v>
      </c>
      <c r="T725" s="1318">
        <f t="shared" si="13"/>
        <v>0</v>
      </c>
      <c r="U725" s="6"/>
    </row>
    <row r="726" spans="3:21" s="7" customFormat="1" ht="15">
      <c r="C726" s="6"/>
      <c r="D726" s="13"/>
      <c r="E726" s="18" t="s">
        <v>19</v>
      </c>
      <c r="F726" s="23"/>
      <c r="G726" s="21"/>
      <c r="H726" s="55"/>
      <c r="I726" s="56"/>
      <c r="J726" s="55"/>
      <c r="K726" s="15" t="s">
        <v>8</v>
      </c>
      <c r="L726" s="10"/>
      <c r="M726" s="10"/>
      <c r="N726" s="13"/>
      <c r="O726" s="13"/>
      <c r="P726" s="100"/>
      <c r="Q726" s="100"/>
      <c r="S726" s="7">
        <f t="shared" si="12"/>
        <v>0</v>
      </c>
      <c r="T726" s="1318">
        <f t="shared" si="13"/>
        <v>0</v>
      </c>
      <c r="U726" s="6" t="s">
        <v>3</v>
      </c>
    </row>
    <row r="727" spans="3:21" s="7" customFormat="1" ht="15">
      <c r="C727" s="6" t="s">
        <v>2495</v>
      </c>
      <c r="D727" s="13" t="s">
        <v>2277</v>
      </c>
      <c r="E727" s="740" t="s">
        <v>2280</v>
      </c>
      <c r="F727" s="23"/>
      <c r="G727" s="21" t="s">
        <v>25</v>
      </c>
      <c r="H727" s="93">
        <v>13.7</v>
      </c>
      <c r="I727" s="94">
        <v>7</v>
      </c>
      <c r="J727" s="108">
        <f>H727*I727</f>
        <v>95.899999999999991</v>
      </c>
      <c r="K727" s="597">
        <v>5.46</v>
      </c>
      <c r="L727" s="688">
        <v>44120</v>
      </c>
      <c r="M727" s="688"/>
      <c r="N727" s="689">
        <v>44120</v>
      </c>
      <c r="O727" s="690">
        <v>2720</v>
      </c>
      <c r="P727" s="22"/>
      <c r="Q727" s="13"/>
      <c r="R727" s="11">
        <v>450</v>
      </c>
      <c r="S727" s="7">
        <f t="shared" si="12"/>
        <v>0</v>
      </c>
      <c r="T727" s="1318">
        <f t="shared" si="13"/>
        <v>0</v>
      </c>
      <c r="U727" s="22"/>
    </row>
    <row r="728" spans="3:21" s="7" customFormat="1" ht="15">
      <c r="C728" s="6" t="s">
        <v>2495</v>
      </c>
      <c r="D728" s="13" t="s">
        <v>2277</v>
      </c>
      <c r="E728" s="739">
        <v>221184</v>
      </c>
      <c r="F728" s="23"/>
      <c r="G728" s="21" t="s">
        <v>25</v>
      </c>
      <c r="H728" s="93">
        <v>13.7</v>
      </c>
      <c r="I728" s="94">
        <v>4</v>
      </c>
      <c r="J728" s="108">
        <f>H728*I728</f>
        <v>54.8</v>
      </c>
      <c r="K728" s="597">
        <v>9.2200000000000006</v>
      </c>
      <c r="L728" s="688">
        <v>44120</v>
      </c>
      <c r="M728" s="688"/>
      <c r="N728" s="689">
        <v>44120</v>
      </c>
      <c r="O728" s="690">
        <v>2720</v>
      </c>
      <c r="P728" s="22"/>
      <c r="Q728" s="13"/>
      <c r="R728" s="11">
        <v>760</v>
      </c>
      <c r="S728" s="7">
        <f t="shared" si="12"/>
        <v>0</v>
      </c>
      <c r="T728" s="1318">
        <f t="shared" si="13"/>
        <v>0</v>
      </c>
      <c r="U728" s="22"/>
    </row>
    <row r="729" spans="3:21" ht="15">
      <c r="C729" s="6" t="s">
        <v>2495</v>
      </c>
      <c r="D729" s="13" t="s">
        <v>2277</v>
      </c>
      <c r="E729" s="48"/>
      <c r="F729" s="38"/>
      <c r="G729" s="38" t="s">
        <v>13</v>
      </c>
      <c r="H729" s="39"/>
      <c r="I729" s="94"/>
      <c r="J729" s="93"/>
      <c r="K729" s="611">
        <v>12</v>
      </c>
      <c r="L729" s="688">
        <v>44120</v>
      </c>
      <c r="M729" s="688"/>
      <c r="N729" s="689">
        <v>44120</v>
      </c>
      <c r="O729" s="690">
        <v>2720</v>
      </c>
      <c r="P729" s="22"/>
      <c r="Q729" s="22"/>
      <c r="R729" s="7"/>
      <c r="S729" s="7">
        <f t="shared" si="12"/>
        <v>0</v>
      </c>
      <c r="T729" s="1318">
        <f t="shared" si="13"/>
        <v>0</v>
      </c>
      <c r="U729" s="6"/>
    </row>
    <row r="730" spans="3:21" s="7" customFormat="1" ht="15">
      <c r="C730" s="6"/>
      <c r="D730" s="13"/>
      <c r="E730" s="18" t="s">
        <v>19</v>
      </c>
      <c r="F730" s="23"/>
      <c r="G730" s="21"/>
      <c r="H730" s="55"/>
      <c r="I730" s="56"/>
      <c r="J730" s="55"/>
      <c r="K730" s="15" t="s">
        <v>8</v>
      </c>
      <c r="L730" s="10"/>
      <c r="M730" s="10"/>
      <c r="N730" s="13"/>
      <c r="O730" s="13"/>
      <c r="P730" s="100"/>
      <c r="Q730" s="100"/>
      <c r="S730" s="7">
        <f t="shared" si="12"/>
        <v>0</v>
      </c>
      <c r="T730" s="1318">
        <f t="shared" si="13"/>
        <v>0</v>
      </c>
      <c r="U730" s="6" t="s">
        <v>3</v>
      </c>
    </row>
    <row r="731" spans="3:21" s="7" customFormat="1" ht="15">
      <c r="C731" s="6" t="s">
        <v>2496</v>
      </c>
      <c r="D731" s="13" t="s">
        <v>2084</v>
      </c>
      <c r="E731" s="740" t="s">
        <v>2497</v>
      </c>
      <c r="F731" s="23"/>
      <c r="G731" s="21" t="s">
        <v>25</v>
      </c>
      <c r="H731" s="55">
        <v>10</v>
      </c>
      <c r="I731" s="55">
        <v>10</v>
      </c>
      <c r="J731" s="55">
        <v>10</v>
      </c>
      <c r="K731" s="597">
        <v>0.86</v>
      </c>
      <c r="L731" s="688">
        <v>44127</v>
      </c>
      <c r="M731" s="688"/>
      <c r="N731" s="689">
        <v>44127</v>
      </c>
      <c r="O731" s="690" t="s">
        <v>2498</v>
      </c>
      <c r="P731" s="22"/>
      <c r="Q731" s="13"/>
      <c r="R731" s="11">
        <v>66</v>
      </c>
      <c r="S731" s="7">
        <f t="shared" si="12"/>
        <v>0</v>
      </c>
      <c r="T731" s="1318">
        <f t="shared" si="13"/>
        <v>0</v>
      </c>
      <c r="U731" s="22"/>
    </row>
    <row r="732" spans="3:21" s="7" customFormat="1" ht="15">
      <c r="C732" s="6" t="s">
        <v>2496</v>
      </c>
      <c r="D732" s="13" t="s">
        <v>2084</v>
      </c>
      <c r="E732" s="740" t="s">
        <v>217</v>
      </c>
      <c r="F732" s="23"/>
      <c r="G732" s="21" t="s">
        <v>25</v>
      </c>
      <c r="H732" s="55">
        <v>10</v>
      </c>
      <c r="I732" s="55">
        <v>10</v>
      </c>
      <c r="J732" s="55">
        <v>10</v>
      </c>
      <c r="K732" s="597">
        <v>0.95</v>
      </c>
      <c r="L732" s="688">
        <v>44127</v>
      </c>
      <c r="M732" s="688"/>
      <c r="N732" s="689">
        <v>44127</v>
      </c>
      <c r="O732" s="690" t="s">
        <v>2498</v>
      </c>
      <c r="P732" s="22"/>
      <c r="Q732" s="13"/>
      <c r="R732" s="11">
        <v>73</v>
      </c>
      <c r="S732" s="7">
        <f t="shared" si="12"/>
        <v>0</v>
      </c>
      <c r="T732" s="1318">
        <f t="shared" si="13"/>
        <v>0</v>
      </c>
      <c r="U732" s="22"/>
    </row>
    <row r="733" spans="3:21" ht="15">
      <c r="C733" s="6" t="s">
        <v>2496</v>
      </c>
      <c r="D733" s="13" t="s">
        <v>2084</v>
      </c>
      <c r="E733" s="48"/>
      <c r="F733" s="38"/>
      <c r="G733" s="38" t="s">
        <v>13</v>
      </c>
      <c r="H733" s="39"/>
      <c r="I733" s="94"/>
      <c r="J733" s="93"/>
      <c r="K733" s="611">
        <v>15</v>
      </c>
      <c r="L733" s="688">
        <v>44127</v>
      </c>
      <c r="M733" s="688"/>
      <c r="N733" s="689">
        <v>44127</v>
      </c>
      <c r="O733" s="690" t="s">
        <v>2498</v>
      </c>
      <c r="P733" s="22"/>
      <c r="Q733" s="22"/>
      <c r="R733" s="7">
        <v>1700</v>
      </c>
      <c r="S733" s="7">
        <f t="shared" si="12"/>
        <v>0</v>
      </c>
      <c r="T733" s="1318">
        <f t="shared" si="13"/>
        <v>0</v>
      </c>
      <c r="U733" s="6"/>
    </row>
    <row r="734" spans="3:21" s="148" customFormat="1" ht="15">
      <c r="C734" s="103"/>
      <c r="D734" s="180"/>
      <c r="E734" s="873"/>
      <c r="F734" s="112"/>
      <c r="G734" s="112"/>
      <c r="H734" s="182"/>
      <c r="I734" s="603"/>
      <c r="J734" s="602"/>
      <c r="K734" s="874"/>
      <c r="L734" s="875"/>
      <c r="M734" s="875"/>
      <c r="N734" s="876"/>
      <c r="O734" s="877"/>
      <c r="P734" s="181"/>
      <c r="S734" s="7">
        <f t="shared" si="12"/>
        <v>0</v>
      </c>
      <c r="T734" s="1318">
        <f t="shared" si="13"/>
        <v>0</v>
      </c>
      <c r="U734" s="878"/>
    </row>
    <row r="735" spans="3:21" s="7" customFormat="1" ht="15">
      <c r="C735" s="6" t="s">
        <v>2499</v>
      </c>
      <c r="D735" s="13" t="s">
        <v>2084</v>
      </c>
      <c r="E735" s="18" t="s">
        <v>19</v>
      </c>
      <c r="F735" s="23"/>
      <c r="G735" s="21"/>
      <c r="H735" s="55"/>
      <c r="I735" s="56"/>
      <c r="J735" s="55"/>
      <c r="K735" s="15" t="s">
        <v>8</v>
      </c>
      <c r="L735" s="688">
        <v>44137</v>
      </c>
      <c r="M735" s="688"/>
      <c r="N735" s="689">
        <v>44137</v>
      </c>
      <c r="O735" s="690" t="s">
        <v>2500</v>
      </c>
      <c r="P735" s="83"/>
      <c r="Q735" s="83"/>
      <c r="S735" s="7">
        <f t="shared" si="12"/>
        <v>0</v>
      </c>
      <c r="T735" s="1318">
        <f t="shared" si="13"/>
        <v>0</v>
      </c>
      <c r="U735" s="100"/>
    </row>
    <row r="736" spans="3:21" s="7" customFormat="1" ht="15">
      <c r="C736" s="6" t="s">
        <v>2499</v>
      </c>
      <c r="D736" s="13" t="s">
        <v>2084</v>
      </c>
      <c r="E736" s="740" t="s">
        <v>2501</v>
      </c>
      <c r="F736" s="23"/>
      <c r="G736" s="21" t="s">
        <v>25</v>
      </c>
      <c r="H736" s="55">
        <v>10</v>
      </c>
      <c r="I736" s="55">
        <v>10</v>
      </c>
      <c r="J736" s="55">
        <v>10</v>
      </c>
      <c r="K736" s="597">
        <v>0.65</v>
      </c>
      <c r="L736" s="688">
        <v>44137</v>
      </c>
      <c r="M736" s="688"/>
      <c r="N736" s="689">
        <v>44137</v>
      </c>
      <c r="O736" s="690" t="s">
        <v>2500</v>
      </c>
      <c r="P736" s="83">
        <v>50</v>
      </c>
      <c r="Q736" s="83">
        <f t="shared" ref="Q736:Q741" si="14">P736*J736</f>
        <v>500</v>
      </c>
      <c r="S736" s="7">
        <f t="shared" si="12"/>
        <v>50</v>
      </c>
      <c r="T736" s="1318">
        <f t="shared" si="13"/>
        <v>500</v>
      </c>
      <c r="U736" s="13"/>
    </row>
    <row r="737" spans="3:21" s="7" customFormat="1" ht="15">
      <c r="C737" s="6" t="s">
        <v>2499</v>
      </c>
      <c r="D737" s="13" t="s">
        <v>2084</v>
      </c>
      <c r="E737" s="740" t="s">
        <v>2502</v>
      </c>
      <c r="F737" s="23"/>
      <c r="G737" s="21" t="s">
        <v>25</v>
      </c>
      <c r="H737" s="55">
        <v>10</v>
      </c>
      <c r="I737" s="55">
        <v>10</v>
      </c>
      <c r="J737" s="55">
        <v>10</v>
      </c>
      <c r="K737" s="597">
        <v>1.56</v>
      </c>
      <c r="L737" s="688">
        <v>44137</v>
      </c>
      <c r="M737" s="688"/>
      <c r="N737" s="689">
        <v>44137</v>
      </c>
      <c r="O737" s="690" t="s">
        <v>2500</v>
      </c>
      <c r="P737" s="83">
        <v>120</v>
      </c>
      <c r="Q737" s="83">
        <f t="shared" si="14"/>
        <v>1200</v>
      </c>
      <c r="S737" s="7">
        <f t="shared" si="12"/>
        <v>120</v>
      </c>
      <c r="T737" s="1318">
        <f t="shared" si="13"/>
        <v>1200</v>
      </c>
      <c r="U737" s="13"/>
    </row>
    <row r="738" spans="3:21" s="7" customFormat="1" ht="15">
      <c r="C738" s="6" t="s">
        <v>2499</v>
      </c>
      <c r="D738" s="13" t="s">
        <v>2084</v>
      </c>
      <c r="E738" s="740" t="s">
        <v>2503</v>
      </c>
      <c r="F738" s="23"/>
      <c r="G738" s="21" t="s">
        <v>25</v>
      </c>
      <c r="H738" s="55">
        <v>10</v>
      </c>
      <c r="I738" s="55">
        <v>10</v>
      </c>
      <c r="J738" s="55">
        <v>10</v>
      </c>
      <c r="K738" s="597">
        <v>2.95</v>
      </c>
      <c r="L738" s="688">
        <v>44137</v>
      </c>
      <c r="M738" s="688"/>
      <c r="N738" s="689">
        <v>44137</v>
      </c>
      <c r="O738" s="690" t="s">
        <v>2500</v>
      </c>
      <c r="P738" s="83">
        <v>227</v>
      </c>
      <c r="Q738" s="83">
        <f t="shared" si="14"/>
        <v>2270</v>
      </c>
      <c r="S738" s="7">
        <f t="shared" si="12"/>
        <v>227</v>
      </c>
      <c r="T738" s="1318">
        <f t="shared" si="13"/>
        <v>2270</v>
      </c>
      <c r="U738" s="13"/>
    </row>
    <row r="739" spans="3:21" s="7" customFormat="1" ht="15">
      <c r="C739" s="6" t="s">
        <v>2499</v>
      </c>
      <c r="D739" s="13" t="s">
        <v>2084</v>
      </c>
      <c r="E739" s="740" t="s">
        <v>2504</v>
      </c>
      <c r="F739" s="23"/>
      <c r="G739" s="21" t="s">
        <v>25</v>
      </c>
      <c r="H739" s="55">
        <v>10</v>
      </c>
      <c r="I739" s="55">
        <v>10</v>
      </c>
      <c r="J739" s="55">
        <v>10</v>
      </c>
      <c r="K739" s="597">
        <v>3.02</v>
      </c>
      <c r="L739" s="688">
        <v>44137</v>
      </c>
      <c r="M739" s="688"/>
      <c r="N739" s="689">
        <v>44137</v>
      </c>
      <c r="O739" s="690" t="s">
        <v>2500</v>
      </c>
      <c r="P739" s="83">
        <v>232</v>
      </c>
      <c r="Q739" s="83">
        <f t="shared" si="14"/>
        <v>2320</v>
      </c>
      <c r="S739" s="7">
        <f t="shared" si="12"/>
        <v>232</v>
      </c>
      <c r="T739" s="1318">
        <f t="shared" si="13"/>
        <v>2320</v>
      </c>
      <c r="U739" s="13"/>
    </row>
    <row r="740" spans="3:21" s="7" customFormat="1" ht="15">
      <c r="C740" s="6" t="s">
        <v>2499</v>
      </c>
      <c r="D740" s="13" t="s">
        <v>2084</v>
      </c>
      <c r="E740" s="740" t="s">
        <v>2505</v>
      </c>
      <c r="F740" s="23"/>
      <c r="G740" s="21" t="s">
        <v>25</v>
      </c>
      <c r="H740" s="55">
        <v>10</v>
      </c>
      <c r="I740" s="55">
        <v>10</v>
      </c>
      <c r="J740" s="55">
        <v>10</v>
      </c>
      <c r="K740" s="597">
        <v>1.95</v>
      </c>
      <c r="L740" s="688">
        <v>44137</v>
      </c>
      <c r="M740" s="688"/>
      <c r="N740" s="689">
        <v>44137</v>
      </c>
      <c r="O740" s="690" t="s">
        <v>2500</v>
      </c>
      <c r="P740" s="83">
        <v>150</v>
      </c>
      <c r="Q740" s="83">
        <f t="shared" si="14"/>
        <v>1500</v>
      </c>
      <c r="S740" s="7">
        <f t="shared" si="12"/>
        <v>150</v>
      </c>
      <c r="T740" s="1318">
        <f t="shared" si="13"/>
        <v>1500</v>
      </c>
      <c r="U740" s="13"/>
    </row>
    <row r="741" spans="3:21" s="7" customFormat="1" ht="15">
      <c r="C741" s="6" t="s">
        <v>2499</v>
      </c>
      <c r="D741" s="13" t="s">
        <v>2084</v>
      </c>
      <c r="E741" s="740" t="s">
        <v>2506</v>
      </c>
      <c r="F741" s="23"/>
      <c r="G741" s="21" t="s">
        <v>52</v>
      </c>
      <c r="H741" s="55">
        <v>14</v>
      </c>
      <c r="I741" s="55">
        <v>14</v>
      </c>
      <c r="J741" s="55">
        <v>14</v>
      </c>
      <c r="K741" s="597">
        <v>1.17</v>
      </c>
      <c r="L741" s="688">
        <v>44137</v>
      </c>
      <c r="M741" s="688"/>
      <c r="N741" s="689">
        <v>44137</v>
      </c>
      <c r="O741" s="690" t="s">
        <v>2500</v>
      </c>
      <c r="P741" s="83">
        <v>90</v>
      </c>
      <c r="Q741" s="83">
        <f t="shared" si="14"/>
        <v>1260</v>
      </c>
      <c r="S741" s="7">
        <f t="shared" si="12"/>
        <v>90</v>
      </c>
      <c r="T741" s="1318">
        <f t="shared" si="13"/>
        <v>1260</v>
      </c>
      <c r="U741" s="13"/>
    </row>
    <row r="742" spans="3:21" ht="15">
      <c r="C742" s="6" t="s">
        <v>2499</v>
      </c>
      <c r="D742" s="13" t="s">
        <v>2084</v>
      </c>
      <c r="E742" s="21"/>
      <c r="F742" s="38"/>
      <c r="G742" s="38" t="s">
        <v>13</v>
      </c>
      <c r="H742" s="39"/>
      <c r="I742" s="94"/>
      <c r="J742" s="93"/>
      <c r="K742" s="611">
        <v>25</v>
      </c>
      <c r="L742" s="688">
        <v>44137</v>
      </c>
      <c r="M742" s="688"/>
      <c r="N742" s="689">
        <v>44137</v>
      </c>
      <c r="O742" s="690" t="s">
        <v>2500</v>
      </c>
      <c r="P742" s="83">
        <f>800+900+900+490</f>
        <v>3090</v>
      </c>
      <c r="Q742" s="83">
        <f>800+900+900+490</f>
        <v>3090</v>
      </c>
      <c r="S742" s="7">
        <f t="shared" si="12"/>
        <v>3090</v>
      </c>
      <c r="T742" s="1318">
        <f t="shared" si="13"/>
        <v>3090</v>
      </c>
      <c r="U742" s="22"/>
    </row>
    <row r="743" spans="3:21" s="159" customFormat="1" ht="15">
      <c r="C743" s="149" t="s">
        <v>2499</v>
      </c>
      <c r="D743" s="150" t="s">
        <v>2084</v>
      </c>
      <c r="E743" s="151"/>
      <c r="F743" s="152"/>
      <c r="G743" s="152" t="s">
        <v>168</v>
      </c>
      <c r="H743" s="154" t="s">
        <v>169</v>
      </c>
      <c r="I743" s="155"/>
      <c r="J743" s="153"/>
      <c r="K743" s="600">
        <v>0</v>
      </c>
      <c r="L743" s="601">
        <v>44137</v>
      </c>
      <c r="M743" s="601"/>
      <c r="N743" s="879">
        <v>44137</v>
      </c>
      <c r="O743" s="880" t="s">
        <v>2500</v>
      </c>
      <c r="P743" s="164">
        <v>0</v>
      </c>
      <c r="Q743" s="165">
        <v>0</v>
      </c>
      <c r="S743" s="7">
        <f t="shared" si="12"/>
        <v>0</v>
      </c>
      <c r="T743" s="1318">
        <f t="shared" si="13"/>
        <v>0</v>
      </c>
      <c r="U743" s="268"/>
    </row>
    <row r="744" spans="3:21" s="7" customFormat="1" ht="15">
      <c r="C744" s="6" t="s">
        <v>2507</v>
      </c>
      <c r="D744" s="13" t="s">
        <v>2269</v>
      </c>
      <c r="E744" s="18" t="s">
        <v>55</v>
      </c>
      <c r="F744" s="23"/>
      <c r="G744" s="21"/>
      <c r="H744" s="55"/>
      <c r="I744" s="56"/>
      <c r="J744" s="55"/>
      <c r="K744" s="9" t="s">
        <v>8</v>
      </c>
      <c r="L744" s="688">
        <v>44144</v>
      </c>
      <c r="M744" s="688"/>
      <c r="N744" s="689">
        <v>44144</v>
      </c>
      <c r="O744" s="690" t="s">
        <v>2508</v>
      </c>
      <c r="P744" s="83"/>
      <c r="Q744" s="83"/>
      <c r="S744" s="7">
        <f t="shared" si="12"/>
        <v>0</v>
      </c>
      <c r="T744" s="1318">
        <f t="shared" si="13"/>
        <v>0</v>
      </c>
      <c r="U744" s="100"/>
    </row>
    <row r="745" spans="3:21" s="7" customFormat="1" ht="15">
      <c r="C745" s="6" t="s">
        <v>2507</v>
      </c>
      <c r="D745" s="13" t="s">
        <v>2269</v>
      </c>
      <c r="E745" s="21">
        <v>12701</v>
      </c>
      <c r="F745" s="23">
        <v>4</v>
      </c>
      <c r="G745" s="21" t="s">
        <v>74</v>
      </c>
      <c r="H745" s="55">
        <v>40</v>
      </c>
      <c r="I745" s="56">
        <v>1</v>
      </c>
      <c r="J745" s="8">
        <f>H745*I745</f>
        <v>40</v>
      </c>
      <c r="K745" s="611">
        <v>0.56000000000000005</v>
      </c>
      <c r="L745" s="688">
        <v>44144</v>
      </c>
      <c r="M745" s="688"/>
      <c r="N745" s="689">
        <v>44144</v>
      </c>
      <c r="O745" s="690" t="s">
        <v>2508</v>
      </c>
      <c r="P745" s="83">
        <v>32.700000000000003</v>
      </c>
      <c r="Q745" s="83">
        <f>P745*J745</f>
        <v>1308</v>
      </c>
      <c r="S745" s="7">
        <f t="shared" si="12"/>
        <v>32.700000000000003</v>
      </c>
      <c r="T745" s="1318">
        <f t="shared" si="13"/>
        <v>1308</v>
      </c>
      <c r="U745" s="100" t="s">
        <v>2509</v>
      </c>
    </row>
    <row r="746" spans="3:21" s="7" customFormat="1" ht="15">
      <c r="C746" s="6" t="s">
        <v>2507</v>
      </c>
      <c r="D746" s="13" t="s">
        <v>2269</v>
      </c>
      <c r="E746" s="18" t="s">
        <v>2510</v>
      </c>
      <c r="F746" s="23"/>
      <c r="G746" s="21"/>
      <c r="H746" s="55"/>
      <c r="I746" s="56"/>
      <c r="J746" s="55"/>
      <c r="K746" s="9" t="s">
        <v>8</v>
      </c>
      <c r="L746" s="688">
        <v>44144</v>
      </c>
      <c r="M746" s="688"/>
      <c r="N746" s="689">
        <v>44144</v>
      </c>
      <c r="O746" s="690" t="s">
        <v>2508</v>
      </c>
      <c r="P746" s="83"/>
      <c r="Q746" s="83"/>
      <c r="S746" s="7">
        <f t="shared" si="12"/>
        <v>0</v>
      </c>
      <c r="T746" s="1318">
        <f t="shared" si="13"/>
        <v>0</v>
      </c>
      <c r="U746" s="100"/>
    </row>
    <row r="747" spans="3:21" s="7" customFormat="1" ht="15">
      <c r="C747" s="6" t="s">
        <v>2507</v>
      </c>
      <c r="D747" s="13" t="s">
        <v>2269</v>
      </c>
      <c r="E747" s="21">
        <v>11700</v>
      </c>
      <c r="F747" s="23">
        <v>3</v>
      </c>
      <c r="G747" s="21" t="s">
        <v>2511</v>
      </c>
      <c r="H747" s="55">
        <v>40</v>
      </c>
      <c r="I747" s="56">
        <v>1</v>
      </c>
      <c r="J747" s="8">
        <f>H747*I747</f>
        <v>40</v>
      </c>
      <c r="K747" s="611">
        <v>0.96</v>
      </c>
      <c r="L747" s="688">
        <v>44144</v>
      </c>
      <c r="M747" s="688"/>
      <c r="N747" s="689">
        <v>44144</v>
      </c>
      <c r="O747" s="690" t="s">
        <v>2508</v>
      </c>
      <c r="P747" s="83">
        <v>62.95</v>
      </c>
      <c r="Q747" s="83">
        <f>P747*J747</f>
        <v>2518</v>
      </c>
      <c r="S747" s="7">
        <f t="shared" si="12"/>
        <v>62.95</v>
      </c>
      <c r="T747" s="1318">
        <f t="shared" si="13"/>
        <v>2518</v>
      </c>
      <c r="U747" s="100"/>
    </row>
    <row r="748" spans="3:21" s="7" customFormat="1" ht="15">
      <c r="C748" s="6" t="s">
        <v>2507</v>
      </c>
      <c r="D748" s="13" t="s">
        <v>2269</v>
      </c>
      <c r="E748" s="18" t="s">
        <v>2512</v>
      </c>
      <c r="F748" s="23"/>
      <c r="G748" s="21"/>
      <c r="H748" s="55"/>
      <c r="I748" s="56"/>
      <c r="J748" s="55"/>
      <c r="K748" s="9" t="s">
        <v>8</v>
      </c>
      <c r="L748" s="688">
        <v>44144</v>
      </c>
      <c r="M748" s="688"/>
      <c r="N748" s="689">
        <v>44144</v>
      </c>
      <c r="O748" s="690" t="s">
        <v>2508</v>
      </c>
      <c r="P748" s="83"/>
      <c r="Q748" s="83"/>
      <c r="S748" s="7">
        <f t="shared" si="12"/>
        <v>0</v>
      </c>
      <c r="T748" s="1318">
        <f t="shared" si="13"/>
        <v>0</v>
      </c>
      <c r="U748" s="100"/>
    </row>
    <row r="749" spans="3:21" s="7" customFormat="1" ht="15">
      <c r="C749" s="6" t="s">
        <v>2507</v>
      </c>
      <c r="D749" s="13" t="s">
        <v>2269</v>
      </c>
      <c r="E749" s="21">
        <v>11707</v>
      </c>
      <c r="F749" s="23">
        <v>6</v>
      </c>
      <c r="G749" s="21" t="s">
        <v>36</v>
      </c>
      <c r="H749" s="55">
        <v>10</v>
      </c>
      <c r="I749" s="56">
        <v>1</v>
      </c>
      <c r="J749" s="8">
        <f>H749*I749</f>
        <v>10</v>
      </c>
      <c r="K749" s="611">
        <v>1.05</v>
      </c>
      <c r="L749" s="688">
        <v>44144</v>
      </c>
      <c r="M749" s="688"/>
      <c r="N749" s="689">
        <v>44144</v>
      </c>
      <c r="O749" s="690" t="s">
        <v>2508</v>
      </c>
      <c r="P749" s="83">
        <v>68.8</v>
      </c>
      <c r="Q749" s="83">
        <f>P749*J749</f>
        <v>688</v>
      </c>
      <c r="S749" s="7">
        <f t="shared" si="12"/>
        <v>68.8</v>
      </c>
      <c r="T749" s="1318">
        <f t="shared" si="13"/>
        <v>688</v>
      </c>
      <c r="U749" s="100"/>
    </row>
    <row r="750" spans="3:21" s="7" customFormat="1" ht="15">
      <c r="C750" s="6" t="s">
        <v>2507</v>
      </c>
      <c r="D750" s="13" t="s">
        <v>2269</v>
      </c>
      <c r="E750" s="21"/>
      <c r="F750" s="23"/>
      <c r="G750" s="21" t="s">
        <v>13</v>
      </c>
      <c r="H750" s="39">
        <v>1</v>
      </c>
      <c r="I750" s="56"/>
      <c r="J750" s="55"/>
      <c r="K750" s="611">
        <v>12</v>
      </c>
      <c r="L750" s="688">
        <v>44144</v>
      </c>
      <c r="M750" s="688"/>
      <c r="N750" s="689">
        <v>44144</v>
      </c>
      <c r="O750" s="690" t="s">
        <v>2508</v>
      </c>
      <c r="P750" s="83">
        <v>0</v>
      </c>
      <c r="Q750" s="83">
        <v>0</v>
      </c>
      <c r="S750" s="7">
        <f t="shared" si="12"/>
        <v>0</v>
      </c>
      <c r="T750" s="1318">
        <f t="shared" si="13"/>
        <v>0</v>
      </c>
      <c r="U750" s="100"/>
    </row>
    <row r="751" spans="3:21" s="159" customFormat="1" ht="15">
      <c r="C751" s="149" t="s">
        <v>2507</v>
      </c>
      <c r="D751" s="150" t="s">
        <v>2269</v>
      </c>
      <c r="E751" s="151"/>
      <c r="F751" s="152"/>
      <c r="G751" s="152" t="s">
        <v>168</v>
      </c>
      <c r="H751" s="154" t="s">
        <v>169</v>
      </c>
      <c r="I751" s="155"/>
      <c r="J751" s="153"/>
      <c r="K751" s="600">
        <v>0</v>
      </c>
      <c r="L751" s="601">
        <v>44144</v>
      </c>
      <c r="M751" s="601"/>
      <c r="N751" s="879">
        <v>44144</v>
      </c>
      <c r="O751" s="880" t="s">
        <v>2508</v>
      </c>
      <c r="P751" s="164">
        <v>0</v>
      </c>
      <c r="Q751" s="165">
        <v>0</v>
      </c>
      <c r="S751" s="7">
        <f t="shared" si="12"/>
        <v>0</v>
      </c>
      <c r="T751" s="1318">
        <f t="shared" si="13"/>
        <v>0</v>
      </c>
      <c r="U751" s="268"/>
    </row>
    <row r="752" spans="3:21" s="7" customFormat="1" ht="15">
      <c r="C752" s="6" t="s">
        <v>2513</v>
      </c>
      <c r="D752" s="13" t="s">
        <v>1870</v>
      </c>
      <c r="E752" s="18" t="s">
        <v>2185</v>
      </c>
      <c r="F752" s="23"/>
      <c r="G752" s="21"/>
      <c r="H752" s="55"/>
      <c r="I752" s="56"/>
      <c r="J752" s="55"/>
      <c r="K752" s="15" t="s">
        <v>8</v>
      </c>
      <c r="L752" s="688">
        <v>44162</v>
      </c>
      <c r="M752" s="688"/>
      <c r="N752" s="689">
        <v>44162</v>
      </c>
      <c r="O752" s="690">
        <v>2764</v>
      </c>
      <c r="P752" s="83"/>
      <c r="Q752" s="83"/>
      <c r="S752" s="7">
        <f t="shared" si="12"/>
        <v>0</v>
      </c>
      <c r="T752" s="1318">
        <f t="shared" si="13"/>
        <v>0</v>
      </c>
      <c r="U752" s="100"/>
    </row>
    <row r="753" spans="3:21" s="7" customFormat="1" ht="15">
      <c r="C753" s="6" t="s">
        <v>2513</v>
      </c>
      <c r="D753" s="13" t="s">
        <v>1870</v>
      </c>
      <c r="E753" s="21" t="s">
        <v>2387</v>
      </c>
      <c r="F753" s="23"/>
      <c r="G753" s="21" t="s">
        <v>2388</v>
      </c>
      <c r="H753" s="93">
        <v>13.7</v>
      </c>
      <c r="I753" s="35">
        <v>22</v>
      </c>
      <c r="J753" s="17">
        <f>H753*I753</f>
        <v>301.39999999999998</v>
      </c>
      <c r="K753" s="611">
        <v>1.99</v>
      </c>
      <c r="L753" s="688">
        <v>44162</v>
      </c>
      <c r="M753" s="688"/>
      <c r="N753" s="689">
        <v>44162</v>
      </c>
      <c r="O753" s="690">
        <v>2764</v>
      </c>
      <c r="P753" s="881">
        <v>153</v>
      </c>
      <c r="Q753" s="83">
        <f>P753*J753</f>
        <v>46114.2</v>
      </c>
      <c r="S753" s="7">
        <f t="shared" si="12"/>
        <v>153</v>
      </c>
      <c r="T753" s="1318">
        <f t="shared" si="13"/>
        <v>46114.2</v>
      </c>
      <c r="U753" s="13" t="s">
        <v>2514</v>
      </c>
    </row>
    <row r="754" spans="3:21" s="7" customFormat="1" ht="15">
      <c r="C754" s="6" t="s">
        <v>2513</v>
      </c>
      <c r="D754" s="13" t="s">
        <v>1870</v>
      </c>
      <c r="E754" s="21" t="s">
        <v>2392</v>
      </c>
      <c r="F754" s="23"/>
      <c r="G754" s="21" t="s">
        <v>2393</v>
      </c>
      <c r="H754" s="93">
        <v>13.7</v>
      </c>
      <c r="I754" s="35">
        <v>10</v>
      </c>
      <c r="J754" s="17">
        <f>H754*I754</f>
        <v>137</v>
      </c>
      <c r="K754" s="611">
        <v>2.06</v>
      </c>
      <c r="L754" s="688">
        <v>44162</v>
      </c>
      <c r="M754" s="688"/>
      <c r="N754" s="689">
        <v>44162</v>
      </c>
      <c r="O754" s="690">
        <v>2764</v>
      </c>
      <c r="P754" s="881">
        <v>158</v>
      </c>
      <c r="Q754" s="83">
        <f>P754*J754</f>
        <v>21646</v>
      </c>
      <c r="S754" s="7">
        <f t="shared" si="12"/>
        <v>158</v>
      </c>
      <c r="T754" s="1318">
        <f t="shared" si="13"/>
        <v>21646</v>
      </c>
      <c r="U754" s="13"/>
    </row>
    <row r="755" spans="3:21" s="7" customFormat="1" ht="15">
      <c r="C755" s="6" t="s">
        <v>2513</v>
      </c>
      <c r="D755" s="13" t="s">
        <v>1870</v>
      </c>
      <c r="E755" s="21" t="s">
        <v>2390</v>
      </c>
      <c r="F755" s="23"/>
      <c r="G755" s="21" t="s">
        <v>2391</v>
      </c>
      <c r="H755" s="93">
        <v>13.7</v>
      </c>
      <c r="I755" s="35">
        <v>48</v>
      </c>
      <c r="J755" s="17">
        <f>H755*I755</f>
        <v>657.59999999999991</v>
      </c>
      <c r="K755" s="611">
        <v>1.99</v>
      </c>
      <c r="L755" s="688">
        <v>44162</v>
      </c>
      <c r="M755" s="688"/>
      <c r="N755" s="689">
        <v>44162</v>
      </c>
      <c r="O755" s="690">
        <v>2764</v>
      </c>
      <c r="P755" s="881">
        <v>153</v>
      </c>
      <c r="Q755" s="83">
        <f>P755*J755</f>
        <v>100612.79999999999</v>
      </c>
      <c r="S755" s="7">
        <f t="shared" si="12"/>
        <v>153</v>
      </c>
      <c r="T755" s="1318">
        <f t="shared" si="13"/>
        <v>100612.79999999999</v>
      </c>
      <c r="U755" s="13" t="s">
        <v>2514</v>
      </c>
    </row>
    <row r="756" spans="3:21" s="159" customFormat="1" ht="15">
      <c r="C756" s="149" t="s">
        <v>2513</v>
      </c>
      <c r="D756" s="150" t="s">
        <v>1870</v>
      </c>
      <c r="E756" s="151"/>
      <c r="F756" s="152"/>
      <c r="G756" s="152" t="s">
        <v>168</v>
      </c>
      <c r="H756" s="154" t="s">
        <v>169</v>
      </c>
      <c r="I756" s="155"/>
      <c r="J756" s="153"/>
      <c r="K756" s="600"/>
      <c r="L756" s="601">
        <v>44162</v>
      </c>
      <c r="M756" s="601"/>
      <c r="N756" s="879">
        <v>44162</v>
      </c>
      <c r="O756" s="880">
        <v>2764</v>
      </c>
      <c r="P756" s="164">
        <v>0</v>
      </c>
      <c r="Q756" s="165">
        <v>0</v>
      </c>
      <c r="S756" s="7">
        <f t="shared" si="12"/>
        <v>0</v>
      </c>
      <c r="T756" s="1318">
        <f t="shared" si="13"/>
        <v>0</v>
      </c>
      <c r="U756" s="268"/>
    </row>
    <row r="757" spans="3:21" s="7" customFormat="1" ht="15">
      <c r="C757" s="6" t="s">
        <v>2515</v>
      </c>
      <c r="D757" s="13" t="s">
        <v>2269</v>
      </c>
      <c r="E757" s="18" t="s">
        <v>2516</v>
      </c>
      <c r="F757" s="23"/>
      <c r="G757" s="21"/>
      <c r="H757" s="55"/>
      <c r="I757" s="56"/>
      <c r="J757" s="55"/>
      <c r="K757" s="15" t="s">
        <v>148</v>
      </c>
      <c r="L757" s="688">
        <v>44148</v>
      </c>
      <c r="M757" s="688"/>
      <c r="N757" s="689">
        <v>44148</v>
      </c>
      <c r="O757" s="690" t="s">
        <v>2517</v>
      </c>
      <c r="P757" s="83"/>
      <c r="Q757" s="83"/>
      <c r="S757" s="7">
        <f t="shared" si="12"/>
        <v>0</v>
      </c>
      <c r="T757" s="1318">
        <f t="shared" si="13"/>
        <v>0</v>
      </c>
      <c r="U757" s="100"/>
    </row>
    <row r="758" spans="3:21" s="7" customFormat="1" ht="15">
      <c r="C758" s="6" t="s">
        <v>2515</v>
      </c>
      <c r="D758" s="13" t="s">
        <v>2269</v>
      </c>
      <c r="E758" s="740" t="s">
        <v>2518</v>
      </c>
      <c r="F758" s="23"/>
      <c r="G758" s="21" t="s">
        <v>25</v>
      </c>
      <c r="H758" s="882">
        <v>10</v>
      </c>
      <c r="I758" s="882">
        <v>10</v>
      </c>
      <c r="J758" s="882">
        <v>10</v>
      </c>
      <c r="K758" s="597">
        <v>2.15</v>
      </c>
      <c r="L758" s="688">
        <v>44148</v>
      </c>
      <c r="M758" s="688"/>
      <c r="N758" s="689">
        <v>44148</v>
      </c>
      <c r="O758" s="690" t="s">
        <v>2517</v>
      </c>
      <c r="P758" s="83">
        <v>165</v>
      </c>
      <c r="Q758" s="83">
        <f>P758*J758</f>
        <v>1650</v>
      </c>
      <c r="S758" s="7">
        <f t="shared" si="12"/>
        <v>165</v>
      </c>
      <c r="T758" s="1318">
        <f t="shared" si="13"/>
        <v>1650</v>
      </c>
      <c r="U758" s="13"/>
    </row>
    <row r="759" spans="3:21" s="7" customFormat="1" ht="15">
      <c r="C759" s="6" t="s">
        <v>2515</v>
      </c>
      <c r="D759" s="13" t="s">
        <v>2269</v>
      </c>
      <c r="E759" s="740" t="s">
        <v>2519</v>
      </c>
      <c r="F759" s="23"/>
      <c r="G759" s="21" t="s">
        <v>25</v>
      </c>
      <c r="H759" s="882">
        <v>10</v>
      </c>
      <c r="I759" s="882">
        <v>10</v>
      </c>
      <c r="J759" s="882">
        <v>10</v>
      </c>
      <c r="K759" s="597">
        <v>2.15</v>
      </c>
      <c r="L759" s="688">
        <v>44148</v>
      </c>
      <c r="M759" s="688"/>
      <c r="N759" s="689">
        <v>44148</v>
      </c>
      <c r="O759" s="690" t="s">
        <v>2517</v>
      </c>
      <c r="P759" s="83">
        <v>165</v>
      </c>
      <c r="Q759" s="83">
        <f>P759*J759</f>
        <v>1650</v>
      </c>
      <c r="S759" s="7">
        <f t="shared" si="12"/>
        <v>165</v>
      </c>
      <c r="T759" s="1318">
        <f t="shared" si="13"/>
        <v>1650</v>
      </c>
      <c r="U759" s="13"/>
    </row>
    <row r="760" spans="3:21" s="7" customFormat="1" ht="15">
      <c r="C760" s="6" t="s">
        <v>2515</v>
      </c>
      <c r="D760" s="13" t="s">
        <v>2269</v>
      </c>
      <c r="E760" s="21"/>
      <c r="F760" s="23"/>
      <c r="G760" s="21" t="s">
        <v>13</v>
      </c>
      <c r="H760" s="39"/>
      <c r="I760" s="56"/>
      <c r="J760" s="39">
        <v>1</v>
      </c>
      <c r="K760" s="611">
        <v>12</v>
      </c>
      <c r="L760" s="688">
        <v>44148</v>
      </c>
      <c r="M760" s="688"/>
      <c r="N760" s="689">
        <v>44148</v>
      </c>
      <c r="O760" s="690" t="s">
        <v>2517</v>
      </c>
      <c r="P760" s="83">
        <v>900</v>
      </c>
      <c r="Q760" s="83">
        <f>P760*J760</f>
        <v>900</v>
      </c>
      <c r="S760" s="7">
        <f t="shared" si="12"/>
        <v>900</v>
      </c>
      <c r="T760" s="1318">
        <f t="shared" si="13"/>
        <v>900</v>
      </c>
      <c r="U760" s="100"/>
    </row>
    <row r="761" spans="3:21" s="159" customFormat="1" ht="15">
      <c r="C761" s="149" t="s">
        <v>2515</v>
      </c>
      <c r="D761" s="150" t="s">
        <v>2269</v>
      </c>
      <c r="E761" s="151"/>
      <c r="F761" s="152"/>
      <c r="G761" s="152" t="s">
        <v>168</v>
      </c>
      <c r="H761" s="154" t="s">
        <v>169</v>
      </c>
      <c r="I761" s="155"/>
      <c r="J761" s="153"/>
      <c r="K761" s="600">
        <v>0</v>
      </c>
      <c r="L761" s="601">
        <v>44148</v>
      </c>
      <c r="M761" s="601"/>
      <c r="N761" s="879">
        <v>44148</v>
      </c>
      <c r="O761" s="880" t="s">
        <v>2517</v>
      </c>
      <c r="P761" s="164">
        <v>0</v>
      </c>
      <c r="Q761" s="165">
        <v>0</v>
      </c>
      <c r="S761" s="7">
        <f t="shared" si="12"/>
        <v>0</v>
      </c>
      <c r="T761" s="1318">
        <f t="shared" si="13"/>
        <v>0</v>
      </c>
      <c r="U761" s="268"/>
    </row>
    <row r="762" spans="3:21" s="7" customFormat="1" ht="15">
      <c r="C762" s="6" t="s">
        <v>2520</v>
      </c>
      <c r="D762" s="13" t="s">
        <v>2521</v>
      </c>
      <c r="E762" s="18" t="s">
        <v>262</v>
      </c>
      <c r="F762" s="23"/>
      <c r="G762" s="21"/>
      <c r="H762" s="55"/>
      <c r="I762" s="56"/>
      <c r="J762" s="55"/>
      <c r="K762" s="15" t="s">
        <v>8</v>
      </c>
      <c r="L762" s="688">
        <v>44151</v>
      </c>
      <c r="M762" s="688"/>
      <c r="N762" s="689">
        <v>44151</v>
      </c>
      <c r="O762" s="690" t="s">
        <v>2522</v>
      </c>
      <c r="P762" s="83"/>
      <c r="Q762" s="83"/>
      <c r="S762" s="7">
        <f t="shared" si="12"/>
        <v>0</v>
      </c>
      <c r="T762" s="1318">
        <f t="shared" si="13"/>
        <v>0</v>
      </c>
      <c r="U762" s="100"/>
    </row>
    <row r="763" spans="3:21" ht="18" customHeight="1">
      <c r="C763" s="6" t="s">
        <v>2520</v>
      </c>
      <c r="D763" s="13" t="s">
        <v>2521</v>
      </c>
      <c r="E763" s="47" t="s">
        <v>2523</v>
      </c>
      <c r="F763" s="52">
        <v>112</v>
      </c>
      <c r="G763" s="47" t="s">
        <v>2492</v>
      </c>
      <c r="H763" s="55">
        <v>5</v>
      </c>
      <c r="I763" s="56">
        <v>1</v>
      </c>
      <c r="J763" s="55">
        <f>H763*I763</f>
        <v>5</v>
      </c>
      <c r="K763" s="611">
        <v>7.39</v>
      </c>
      <c r="L763" s="688">
        <v>44151</v>
      </c>
      <c r="M763" s="688"/>
      <c r="N763" s="689">
        <v>44151</v>
      </c>
      <c r="O763" s="690" t="s">
        <v>2522</v>
      </c>
      <c r="P763" s="83">
        <v>630</v>
      </c>
      <c r="Q763" s="83">
        <f>P763*J763</f>
        <v>3150</v>
      </c>
      <c r="S763" s="7">
        <f t="shared" si="12"/>
        <v>630</v>
      </c>
      <c r="T763" s="1318">
        <f t="shared" si="13"/>
        <v>3150</v>
      </c>
      <c r="U763" s="883" t="s">
        <v>2524</v>
      </c>
    </row>
    <row r="764" spans="3:21" ht="18" customHeight="1">
      <c r="C764" s="6" t="s">
        <v>2520</v>
      </c>
      <c r="D764" s="13" t="s">
        <v>2521</v>
      </c>
      <c r="E764" s="47" t="s">
        <v>2523</v>
      </c>
      <c r="F764" s="52">
        <v>112</v>
      </c>
      <c r="G764" s="47" t="s">
        <v>2525</v>
      </c>
      <c r="H764" s="55">
        <v>1</v>
      </c>
      <c r="I764" s="56">
        <v>1</v>
      </c>
      <c r="J764" s="55">
        <f>H764*I764</f>
        <v>1</v>
      </c>
      <c r="K764" s="611">
        <v>7.39</v>
      </c>
      <c r="L764" s="688">
        <v>44151</v>
      </c>
      <c r="M764" s="688"/>
      <c r="N764" s="689">
        <v>44151</v>
      </c>
      <c r="O764" s="690" t="s">
        <v>2522</v>
      </c>
      <c r="P764" s="83">
        <v>630</v>
      </c>
      <c r="Q764" s="83">
        <f>P764*J764</f>
        <v>630</v>
      </c>
      <c r="S764" s="7">
        <f t="shared" si="12"/>
        <v>630</v>
      </c>
      <c r="T764" s="1318">
        <f t="shared" si="13"/>
        <v>630</v>
      </c>
      <c r="U764" s="883" t="s">
        <v>2524</v>
      </c>
    </row>
    <row r="765" spans="3:21" ht="15">
      <c r="C765" s="6" t="s">
        <v>2520</v>
      </c>
      <c r="D765" s="13" t="s">
        <v>2521</v>
      </c>
      <c r="E765" s="48"/>
      <c r="F765" s="38"/>
      <c r="G765" s="38" t="s">
        <v>2526</v>
      </c>
      <c r="H765" s="39"/>
      <c r="I765" s="94"/>
      <c r="J765" s="93"/>
      <c r="K765" s="611">
        <v>30</v>
      </c>
      <c r="L765" s="688">
        <v>44151</v>
      </c>
      <c r="M765" s="688"/>
      <c r="N765" s="689">
        <v>44151</v>
      </c>
      <c r="O765" s="690" t="s">
        <v>2522</v>
      </c>
      <c r="P765" s="83">
        <v>2500</v>
      </c>
      <c r="Q765" s="83">
        <v>2500</v>
      </c>
      <c r="S765" s="7">
        <f t="shared" si="12"/>
        <v>2500</v>
      </c>
      <c r="T765" s="1318">
        <f t="shared" si="13"/>
        <v>2500</v>
      </c>
      <c r="U765" s="22"/>
    </row>
    <row r="766" spans="3:21" ht="15">
      <c r="C766" s="6" t="s">
        <v>2520</v>
      </c>
      <c r="D766" s="13" t="s">
        <v>2521</v>
      </c>
      <c r="E766" s="48"/>
      <c r="F766" s="38"/>
      <c r="G766" s="38" t="s">
        <v>13</v>
      </c>
      <c r="H766" s="39"/>
      <c r="I766" s="94"/>
      <c r="J766" s="93"/>
      <c r="K766" s="611">
        <v>12</v>
      </c>
      <c r="L766" s="688">
        <v>44151</v>
      </c>
      <c r="M766" s="688"/>
      <c r="N766" s="689">
        <v>44151</v>
      </c>
      <c r="O766" s="690" t="s">
        <v>2522</v>
      </c>
      <c r="P766" s="83">
        <v>0</v>
      </c>
      <c r="Q766" s="83">
        <f>P766*J766</f>
        <v>0</v>
      </c>
      <c r="S766" s="7">
        <f t="shared" si="12"/>
        <v>0</v>
      </c>
      <c r="T766" s="1318">
        <f t="shared" si="13"/>
        <v>0</v>
      </c>
      <c r="U766" s="22"/>
    </row>
    <row r="767" spans="3:21" s="159" customFormat="1" ht="15">
      <c r="C767" s="149" t="s">
        <v>2520</v>
      </c>
      <c r="D767" s="150" t="s">
        <v>2521</v>
      </c>
      <c r="E767" s="151"/>
      <c r="F767" s="152"/>
      <c r="G767" s="152" t="s">
        <v>168</v>
      </c>
      <c r="H767" s="154" t="s">
        <v>169</v>
      </c>
      <c r="I767" s="155"/>
      <c r="J767" s="153"/>
      <c r="K767" s="600">
        <v>0</v>
      </c>
      <c r="L767" s="601">
        <v>44151</v>
      </c>
      <c r="M767" s="601"/>
      <c r="N767" s="879">
        <v>44151</v>
      </c>
      <c r="O767" s="880" t="s">
        <v>2522</v>
      </c>
      <c r="P767" s="164">
        <v>0</v>
      </c>
      <c r="Q767" s="165">
        <v>0</v>
      </c>
      <c r="S767" s="7">
        <f t="shared" si="12"/>
        <v>0</v>
      </c>
      <c r="T767" s="1318">
        <f t="shared" si="13"/>
        <v>0</v>
      </c>
      <c r="U767" s="268"/>
    </row>
    <row r="768" spans="3:21" s="7" customFormat="1" ht="15">
      <c r="C768" s="6" t="s">
        <v>2527</v>
      </c>
      <c r="D768" s="13" t="s">
        <v>2084</v>
      </c>
      <c r="E768" s="18" t="s">
        <v>19</v>
      </c>
      <c r="F768" s="23"/>
      <c r="G768" s="21"/>
      <c r="H768" s="55"/>
      <c r="I768" s="56"/>
      <c r="J768" s="55"/>
      <c r="K768" s="15" t="s">
        <v>8</v>
      </c>
      <c r="L768" s="688">
        <v>44154</v>
      </c>
      <c r="M768" s="688"/>
      <c r="N768" s="689">
        <v>44154</v>
      </c>
      <c r="O768" s="690" t="s">
        <v>2528</v>
      </c>
      <c r="P768" s="83"/>
      <c r="Q768" s="83"/>
      <c r="S768" s="7">
        <f t="shared" si="12"/>
        <v>0</v>
      </c>
      <c r="T768" s="1318">
        <f t="shared" si="13"/>
        <v>0</v>
      </c>
      <c r="U768" s="100"/>
    </row>
    <row r="769" spans="3:21" s="7" customFormat="1" ht="15">
      <c r="C769" s="6" t="s">
        <v>2527</v>
      </c>
      <c r="D769" s="13" t="s">
        <v>2084</v>
      </c>
      <c r="E769" s="740" t="s">
        <v>2529</v>
      </c>
      <c r="F769" s="23"/>
      <c r="G769" s="21" t="s">
        <v>25</v>
      </c>
      <c r="H769" s="17">
        <v>14</v>
      </c>
      <c r="I769" s="56">
        <v>1</v>
      </c>
      <c r="J769" s="17">
        <f>H769*I769</f>
        <v>14</v>
      </c>
      <c r="K769" s="597">
        <v>4.9400000000000004</v>
      </c>
      <c r="L769" s="688">
        <v>44154</v>
      </c>
      <c r="M769" s="688"/>
      <c r="N769" s="689">
        <v>44154</v>
      </c>
      <c r="O769" s="690" t="s">
        <v>2528</v>
      </c>
      <c r="P769" s="83">
        <v>380</v>
      </c>
      <c r="Q769" s="83">
        <f>P769*J769</f>
        <v>5320</v>
      </c>
      <c r="S769" s="7">
        <f t="shared" si="12"/>
        <v>380</v>
      </c>
      <c r="T769" s="1318">
        <f t="shared" si="13"/>
        <v>5320</v>
      </c>
      <c r="U769" s="13"/>
    </row>
    <row r="770" spans="3:21" s="7" customFormat="1" ht="15">
      <c r="C770" s="6" t="s">
        <v>2527</v>
      </c>
      <c r="D770" s="13" t="s">
        <v>2084</v>
      </c>
      <c r="E770" s="740" t="s">
        <v>210</v>
      </c>
      <c r="F770" s="23"/>
      <c r="G770" s="21" t="s">
        <v>25</v>
      </c>
      <c r="H770" s="17">
        <v>5</v>
      </c>
      <c r="I770" s="56">
        <v>1</v>
      </c>
      <c r="J770" s="17">
        <f>H770*I770</f>
        <v>5</v>
      </c>
      <c r="K770" s="597">
        <v>1.1299999999999999</v>
      </c>
      <c r="L770" s="688">
        <v>44154</v>
      </c>
      <c r="M770" s="688"/>
      <c r="N770" s="689">
        <v>44154</v>
      </c>
      <c r="O770" s="690" t="s">
        <v>2528</v>
      </c>
      <c r="P770" s="83">
        <v>87</v>
      </c>
      <c r="Q770" s="83">
        <f>P770*J770</f>
        <v>435</v>
      </c>
      <c r="S770" s="7">
        <f t="shared" si="12"/>
        <v>87</v>
      </c>
      <c r="T770" s="1318">
        <f t="shared" si="13"/>
        <v>435</v>
      </c>
      <c r="U770" s="13"/>
    </row>
    <row r="771" spans="3:21" s="7" customFormat="1" ht="15">
      <c r="C771" s="6" t="s">
        <v>2527</v>
      </c>
      <c r="D771" s="13" t="s">
        <v>2084</v>
      </c>
      <c r="E771" s="740" t="s">
        <v>210</v>
      </c>
      <c r="F771" s="23"/>
      <c r="G771" s="21" t="s">
        <v>25</v>
      </c>
      <c r="H771" s="17">
        <v>4</v>
      </c>
      <c r="I771" s="56">
        <v>1</v>
      </c>
      <c r="J771" s="17">
        <f>H771*I771</f>
        <v>4</v>
      </c>
      <c r="K771" s="597">
        <v>1.1299999999999999</v>
      </c>
      <c r="L771" s="688">
        <v>44154</v>
      </c>
      <c r="M771" s="688"/>
      <c r="N771" s="689">
        <v>44154</v>
      </c>
      <c r="O771" s="690" t="s">
        <v>2528</v>
      </c>
      <c r="P771" s="83">
        <v>87</v>
      </c>
      <c r="Q771" s="83">
        <f>P771*J771</f>
        <v>348</v>
      </c>
      <c r="S771" s="7">
        <f t="shared" si="12"/>
        <v>87</v>
      </c>
      <c r="T771" s="1318">
        <f t="shared" si="13"/>
        <v>348</v>
      </c>
      <c r="U771" s="13"/>
    </row>
    <row r="772" spans="3:21" s="7" customFormat="1" ht="15">
      <c r="C772" s="6" t="s">
        <v>2527</v>
      </c>
      <c r="D772" s="13" t="s">
        <v>2084</v>
      </c>
      <c r="E772" s="740" t="s">
        <v>210</v>
      </c>
      <c r="F772" s="23"/>
      <c r="G772" s="21" t="s">
        <v>25</v>
      </c>
      <c r="H772" s="17">
        <v>2.2999999999999998</v>
      </c>
      <c r="I772" s="56">
        <v>1</v>
      </c>
      <c r="J772" s="17">
        <f>H772*I772</f>
        <v>2.2999999999999998</v>
      </c>
      <c r="K772" s="597">
        <v>1.1299999999999999</v>
      </c>
      <c r="L772" s="688">
        <v>44154</v>
      </c>
      <c r="M772" s="688"/>
      <c r="N772" s="689">
        <v>44154</v>
      </c>
      <c r="O772" s="690" t="s">
        <v>2528</v>
      </c>
      <c r="P772" s="83">
        <v>87</v>
      </c>
      <c r="Q772" s="83">
        <f>P772*J772</f>
        <v>200.1</v>
      </c>
      <c r="S772" s="7">
        <f t="shared" si="12"/>
        <v>87</v>
      </c>
      <c r="T772" s="1318">
        <f t="shared" si="13"/>
        <v>200.1</v>
      </c>
      <c r="U772" s="13"/>
    </row>
    <row r="773" spans="3:21" ht="15">
      <c r="C773" s="6" t="s">
        <v>2527</v>
      </c>
      <c r="D773" s="13" t="s">
        <v>2084</v>
      </c>
      <c r="E773" s="21"/>
      <c r="F773" s="38"/>
      <c r="G773" s="38" t="s">
        <v>13</v>
      </c>
      <c r="H773" s="39"/>
      <c r="I773" s="94"/>
      <c r="J773" s="39">
        <v>1</v>
      </c>
      <c r="K773" s="611">
        <v>12</v>
      </c>
      <c r="L773" s="688">
        <v>44154</v>
      </c>
      <c r="M773" s="688"/>
      <c r="N773" s="689">
        <v>44154</v>
      </c>
      <c r="O773" s="690" t="s">
        <v>2528</v>
      </c>
      <c r="P773" s="83">
        <v>490</v>
      </c>
      <c r="Q773" s="83">
        <f>P773*J773</f>
        <v>490</v>
      </c>
      <c r="S773" s="7">
        <f t="shared" si="12"/>
        <v>490</v>
      </c>
      <c r="T773" s="1318">
        <f t="shared" si="13"/>
        <v>490</v>
      </c>
      <c r="U773" s="22"/>
    </row>
    <row r="774" spans="3:21" s="159" customFormat="1" ht="15">
      <c r="C774" s="149" t="s">
        <v>2527</v>
      </c>
      <c r="D774" s="150" t="s">
        <v>2084</v>
      </c>
      <c r="E774" s="151"/>
      <c r="F774" s="152"/>
      <c r="G774" s="152" t="s">
        <v>168</v>
      </c>
      <c r="H774" s="154" t="s">
        <v>169</v>
      </c>
      <c r="I774" s="155"/>
      <c r="J774" s="153"/>
      <c r="K774" s="600">
        <v>0</v>
      </c>
      <c r="L774" s="601">
        <v>44154</v>
      </c>
      <c r="M774" s="601"/>
      <c r="N774" s="879">
        <v>44154</v>
      </c>
      <c r="O774" s="880" t="s">
        <v>2528</v>
      </c>
      <c r="P774" s="164">
        <v>0</v>
      </c>
      <c r="Q774" s="165">
        <v>0</v>
      </c>
      <c r="S774" s="7">
        <f t="shared" si="12"/>
        <v>0</v>
      </c>
      <c r="T774" s="1318">
        <f t="shared" si="13"/>
        <v>0</v>
      </c>
      <c r="U774" s="268"/>
    </row>
    <row r="775" spans="3:21" s="7" customFormat="1" ht="15">
      <c r="C775" s="6" t="s">
        <v>2530</v>
      </c>
      <c r="D775" s="13" t="s">
        <v>2521</v>
      </c>
      <c r="E775" s="18" t="s">
        <v>262</v>
      </c>
      <c r="F775" s="23"/>
      <c r="G775" s="21"/>
      <c r="H775" s="55"/>
      <c r="I775" s="56"/>
      <c r="J775" s="55"/>
      <c r="K775" s="15" t="s">
        <v>8</v>
      </c>
      <c r="L775" s="688">
        <v>44160</v>
      </c>
      <c r="M775" s="688"/>
      <c r="N775" s="689">
        <v>44160</v>
      </c>
      <c r="O775" s="690" t="s">
        <v>2531</v>
      </c>
      <c r="P775" s="83"/>
      <c r="Q775" s="83"/>
      <c r="S775" s="7">
        <f t="shared" si="12"/>
        <v>0</v>
      </c>
      <c r="T775" s="1318">
        <f t="shared" si="13"/>
        <v>0</v>
      </c>
      <c r="U775" s="100"/>
    </row>
    <row r="776" spans="3:21" ht="18" customHeight="1">
      <c r="C776" s="6" t="s">
        <v>2530</v>
      </c>
      <c r="D776" s="13" t="s">
        <v>2521</v>
      </c>
      <c r="E776" s="47" t="s">
        <v>2523</v>
      </c>
      <c r="F776" s="52">
        <v>112</v>
      </c>
      <c r="G776" s="47" t="s">
        <v>2492</v>
      </c>
      <c r="H776" s="17">
        <v>47</v>
      </c>
      <c r="I776" s="56">
        <v>1</v>
      </c>
      <c r="J776" s="17">
        <f>H776*I776</f>
        <v>47</v>
      </c>
      <c r="K776" s="611">
        <v>7.39</v>
      </c>
      <c r="L776" s="688">
        <v>44160</v>
      </c>
      <c r="M776" s="688"/>
      <c r="N776" s="689">
        <v>44160</v>
      </c>
      <c r="O776" s="690" t="s">
        <v>2531</v>
      </c>
      <c r="P776" s="83">
        <v>630</v>
      </c>
      <c r="Q776" s="83">
        <f>P776*J776</f>
        <v>29610</v>
      </c>
      <c r="S776" s="7">
        <f t="shared" si="12"/>
        <v>630</v>
      </c>
      <c r="T776" s="1318">
        <f t="shared" si="13"/>
        <v>29610</v>
      </c>
      <c r="U776" s="883" t="s">
        <v>2524</v>
      </c>
    </row>
    <row r="777" spans="3:21" ht="18" customHeight="1">
      <c r="C777" s="6" t="s">
        <v>2530</v>
      </c>
      <c r="D777" s="13" t="s">
        <v>2521</v>
      </c>
      <c r="E777" s="47" t="s">
        <v>2523</v>
      </c>
      <c r="F777" s="52">
        <v>112</v>
      </c>
      <c r="G777" s="47" t="s">
        <v>2525</v>
      </c>
      <c r="H777" s="17">
        <v>32.200000000000003</v>
      </c>
      <c r="I777" s="56">
        <v>1</v>
      </c>
      <c r="J777" s="17">
        <f>H777*I777</f>
        <v>32.200000000000003</v>
      </c>
      <c r="K777" s="611">
        <v>7.39</v>
      </c>
      <c r="L777" s="688">
        <v>44160</v>
      </c>
      <c r="M777" s="688"/>
      <c r="N777" s="689">
        <v>44160</v>
      </c>
      <c r="O777" s="690" t="s">
        <v>2531</v>
      </c>
      <c r="P777" s="83">
        <v>630</v>
      </c>
      <c r="Q777" s="83">
        <f>P777*J777</f>
        <v>20286</v>
      </c>
      <c r="S777" s="7">
        <f t="shared" si="12"/>
        <v>630</v>
      </c>
      <c r="T777" s="1318">
        <f t="shared" si="13"/>
        <v>20286</v>
      </c>
      <c r="U777" s="883" t="s">
        <v>2524</v>
      </c>
    </row>
    <row r="778" spans="3:21" ht="15">
      <c r="C778" s="6" t="s">
        <v>2530</v>
      </c>
      <c r="D778" s="13" t="s">
        <v>2521</v>
      </c>
      <c r="E778" s="48"/>
      <c r="F778" s="38"/>
      <c r="G778" s="38" t="s">
        <v>13</v>
      </c>
      <c r="H778" s="39"/>
      <c r="I778" s="94"/>
      <c r="J778" s="93"/>
      <c r="K778" s="611">
        <v>12</v>
      </c>
      <c r="L778" s="688">
        <v>44160</v>
      </c>
      <c r="M778" s="688"/>
      <c r="N778" s="689">
        <v>44160</v>
      </c>
      <c r="O778" s="690" t="s">
        <v>2531</v>
      </c>
      <c r="P778" s="83">
        <v>0</v>
      </c>
      <c r="Q778" s="83">
        <v>0</v>
      </c>
      <c r="S778" s="7">
        <f t="shared" si="12"/>
        <v>0</v>
      </c>
      <c r="T778" s="1318">
        <f t="shared" si="13"/>
        <v>0</v>
      </c>
      <c r="U778" s="22"/>
    </row>
    <row r="779" spans="3:21" s="159" customFormat="1" ht="15">
      <c r="C779" s="149" t="s">
        <v>2530</v>
      </c>
      <c r="D779" s="150" t="s">
        <v>2521</v>
      </c>
      <c r="E779" s="151"/>
      <c r="F779" s="152"/>
      <c r="G779" s="152" t="s">
        <v>168</v>
      </c>
      <c r="H779" s="154" t="s">
        <v>169</v>
      </c>
      <c r="I779" s="155"/>
      <c r="J779" s="153"/>
      <c r="K779" s="600">
        <v>0</v>
      </c>
      <c r="L779" s="601">
        <v>44160</v>
      </c>
      <c r="M779" s="601"/>
      <c r="N779" s="879">
        <v>44160</v>
      </c>
      <c r="O779" s="880" t="s">
        <v>2531</v>
      </c>
      <c r="P779" s="164">
        <v>0</v>
      </c>
      <c r="Q779" s="165">
        <v>0</v>
      </c>
      <c r="S779" s="7">
        <f t="shared" si="12"/>
        <v>0</v>
      </c>
      <c r="T779" s="1318">
        <f t="shared" si="13"/>
        <v>0</v>
      </c>
      <c r="U779" s="268"/>
    </row>
    <row r="780" spans="3:21" s="7" customFormat="1" ht="15">
      <c r="C780" s="6" t="s">
        <v>2532</v>
      </c>
      <c r="D780" s="50" t="s">
        <v>1979</v>
      </c>
      <c r="E780" s="18" t="s">
        <v>147</v>
      </c>
      <c r="F780" s="23"/>
      <c r="G780" s="21"/>
      <c r="H780" s="55"/>
      <c r="I780" s="56"/>
      <c r="J780" s="55"/>
      <c r="K780" s="15" t="s">
        <v>8</v>
      </c>
      <c r="L780" s="688">
        <v>44161</v>
      </c>
      <c r="M780" s="688"/>
      <c r="N780" s="689">
        <v>44161</v>
      </c>
      <c r="O780" s="690" t="s">
        <v>2533</v>
      </c>
      <c r="P780" s="83"/>
      <c r="Q780" s="83"/>
      <c r="S780" s="7">
        <f t="shared" si="12"/>
        <v>0</v>
      </c>
      <c r="T780" s="1318">
        <f t="shared" si="13"/>
        <v>0</v>
      </c>
      <c r="U780" s="100"/>
    </row>
    <row r="781" spans="3:21" s="7" customFormat="1" ht="15">
      <c r="C781" s="6" t="s">
        <v>2532</v>
      </c>
      <c r="D781" s="50" t="s">
        <v>1979</v>
      </c>
      <c r="E781" s="21">
        <v>1962</v>
      </c>
      <c r="F781" s="23" t="s">
        <v>215</v>
      </c>
      <c r="G781" s="21" t="s">
        <v>219</v>
      </c>
      <c r="H781" s="55">
        <v>30</v>
      </c>
      <c r="I781" s="56">
        <v>1</v>
      </c>
      <c r="J781" s="55">
        <v>30</v>
      </c>
      <c r="K781" s="611">
        <v>0.73</v>
      </c>
      <c r="L781" s="688">
        <v>44161</v>
      </c>
      <c r="M781" s="688"/>
      <c r="N781" s="689">
        <v>44161</v>
      </c>
      <c r="O781" s="690" t="s">
        <v>2533</v>
      </c>
      <c r="P781" s="83">
        <v>48</v>
      </c>
      <c r="Q781" s="83">
        <f>P781*J781</f>
        <v>1440</v>
      </c>
      <c r="S781" s="7">
        <f t="shared" si="12"/>
        <v>48</v>
      </c>
      <c r="T781" s="1318">
        <f t="shared" si="13"/>
        <v>1440</v>
      </c>
      <c r="U781" s="22"/>
    </row>
    <row r="782" spans="3:21" s="7" customFormat="1" ht="15">
      <c r="C782" s="6" t="s">
        <v>2532</v>
      </c>
      <c r="D782" s="50" t="s">
        <v>1979</v>
      </c>
      <c r="E782" s="21">
        <v>1962</v>
      </c>
      <c r="F782" s="23" t="s">
        <v>215</v>
      </c>
      <c r="G782" s="21" t="s">
        <v>146</v>
      </c>
      <c r="H782" s="55">
        <v>30</v>
      </c>
      <c r="I782" s="56">
        <v>1</v>
      </c>
      <c r="J782" s="55">
        <v>30</v>
      </c>
      <c r="K782" s="611">
        <v>0.73</v>
      </c>
      <c r="L782" s="688">
        <v>44161</v>
      </c>
      <c r="M782" s="688"/>
      <c r="N782" s="689">
        <v>44161</v>
      </c>
      <c r="O782" s="690" t="s">
        <v>2533</v>
      </c>
      <c r="P782" s="83">
        <v>48</v>
      </c>
      <c r="Q782" s="83">
        <f>P782*J782</f>
        <v>1440</v>
      </c>
      <c r="S782" s="7">
        <f t="shared" si="12"/>
        <v>48</v>
      </c>
      <c r="T782" s="1318">
        <f t="shared" si="13"/>
        <v>1440</v>
      </c>
      <c r="U782" s="22"/>
    </row>
    <row r="783" spans="3:21" s="7" customFormat="1" ht="15">
      <c r="C783" s="6" t="s">
        <v>2532</v>
      </c>
      <c r="D783" s="50" t="s">
        <v>1979</v>
      </c>
      <c r="E783" s="21"/>
      <c r="F783" s="38"/>
      <c r="G783" s="38" t="s">
        <v>13</v>
      </c>
      <c r="H783" s="39"/>
      <c r="I783" s="94"/>
      <c r="J783" s="39">
        <v>1</v>
      </c>
      <c r="K783" s="611">
        <v>12</v>
      </c>
      <c r="L783" s="688">
        <v>44161</v>
      </c>
      <c r="M783" s="688"/>
      <c r="N783" s="689">
        <v>44161</v>
      </c>
      <c r="O783" s="690" t="s">
        <v>2533</v>
      </c>
      <c r="P783" s="83">
        <v>900</v>
      </c>
      <c r="Q783" s="83">
        <f>P783*J783</f>
        <v>900</v>
      </c>
      <c r="S783" s="7">
        <f t="shared" si="12"/>
        <v>900</v>
      </c>
      <c r="T783" s="1318">
        <f t="shared" si="13"/>
        <v>900</v>
      </c>
      <c r="U783" s="22"/>
    </row>
    <row r="784" spans="3:21" s="159" customFormat="1" ht="15">
      <c r="C784" s="149" t="s">
        <v>2532</v>
      </c>
      <c r="D784" s="234" t="s">
        <v>1979</v>
      </c>
      <c r="E784" s="151"/>
      <c r="F784" s="152"/>
      <c r="G784" s="152" t="s">
        <v>168</v>
      </c>
      <c r="H784" s="154" t="s">
        <v>169</v>
      </c>
      <c r="I784" s="155"/>
      <c r="J784" s="153"/>
      <c r="K784" s="600">
        <v>0</v>
      </c>
      <c r="L784" s="601">
        <v>44161</v>
      </c>
      <c r="M784" s="601"/>
      <c r="N784" s="879">
        <v>44161</v>
      </c>
      <c r="O784" s="880" t="s">
        <v>2533</v>
      </c>
      <c r="P784" s="164">
        <v>0</v>
      </c>
      <c r="Q784" s="165">
        <v>0</v>
      </c>
      <c r="S784" s="7">
        <f t="shared" si="12"/>
        <v>0</v>
      </c>
      <c r="T784" s="1318">
        <f t="shared" si="13"/>
        <v>0</v>
      </c>
      <c r="U784" s="268"/>
    </row>
    <row r="785" spans="3:21" s="7" customFormat="1" ht="15">
      <c r="C785" s="6" t="s">
        <v>2534</v>
      </c>
      <c r="D785" s="13" t="s">
        <v>2269</v>
      </c>
      <c r="E785" s="18" t="s">
        <v>2516</v>
      </c>
      <c r="F785" s="23"/>
      <c r="G785" s="21"/>
      <c r="H785" s="55"/>
      <c r="I785" s="56"/>
      <c r="J785" s="55"/>
      <c r="K785" s="15" t="s">
        <v>148</v>
      </c>
      <c r="L785" s="688">
        <v>44193</v>
      </c>
      <c r="M785" s="688"/>
      <c r="N785" s="689">
        <v>44193</v>
      </c>
      <c r="O785" s="690" t="s">
        <v>2535</v>
      </c>
      <c r="P785" s="83"/>
      <c r="Q785" s="83"/>
      <c r="S785" s="7">
        <f t="shared" si="12"/>
        <v>0</v>
      </c>
      <c r="T785" s="1318">
        <f t="shared" si="13"/>
        <v>0</v>
      </c>
      <c r="U785" s="100"/>
    </row>
    <row r="786" spans="3:21" s="7" customFormat="1" ht="15">
      <c r="C786" s="6" t="s">
        <v>2534</v>
      </c>
      <c r="D786" s="13" t="s">
        <v>2269</v>
      </c>
      <c r="E786" s="740" t="s">
        <v>2519</v>
      </c>
      <c r="F786" s="23"/>
      <c r="G786" s="21" t="s">
        <v>52</v>
      </c>
      <c r="H786" s="882">
        <v>20</v>
      </c>
      <c r="I786" s="882">
        <v>20</v>
      </c>
      <c r="J786" s="882">
        <v>20</v>
      </c>
      <c r="K786" s="597">
        <v>2.15</v>
      </c>
      <c r="L786" s="688">
        <v>44193</v>
      </c>
      <c r="M786" s="688"/>
      <c r="N786" s="689">
        <v>44193</v>
      </c>
      <c r="O786" s="690" t="s">
        <v>2535</v>
      </c>
      <c r="P786" s="83">
        <v>165</v>
      </c>
      <c r="Q786" s="83">
        <f>P786*J786</f>
        <v>3300</v>
      </c>
      <c r="S786" s="7">
        <f t="shared" si="12"/>
        <v>165</v>
      </c>
      <c r="T786" s="1318">
        <f t="shared" si="13"/>
        <v>3300</v>
      </c>
      <c r="U786" s="13"/>
    </row>
    <row r="787" spans="3:21" s="7" customFormat="1" ht="15">
      <c r="C787" s="6" t="s">
        <v>2534</v>
      </c>
      <c r="D787" s="13" t="s">
        <v>2269</v>
      </c>
      <c r="E787" s="21"/>
      <c r="F787" s="23"/>
      <c r="G787" s="21" t="s">
        <v>71</v>
      </c>
      <c r="H787" s="39"/>
      <c r="I787" s="56"/>
      <c r="J787" s="39">
        <v>1</v>
      </c>
      <c r="K787" s="611">
        <v>125</v>
      </c>
      <c r="L787" s="688">
        <v>44193</v>
      </c>
      <c r="M787" s="688"/>
      <c r="N787" s="689">
        <v>44193</v>
      </c>
      <c r="O787" s="690" t="s">
        <v>2535</v>
      </c>
      <c r="P787" s="83">
        <v>11000</v>
      </c>
      <c r="Q787" s="83">
        <f>P787*J787</f>
        <v>11000</v>
      </c>
      <c r="S787" s="7">
        <f t="shared" ref="S787:S850" si="15">P787</f>
        <v>11000</v>
      </c>
      <c r="T787" s="1318">
        <f t="shared" si="13"/>
        <v>11000</v>
      </c>
      <c r="U787" s="100"/>
    </row>
    <row r="788" spans="3:21" s="7" customFormat="1" ht="15">
      <c r="C788" s="6" t="s">
        <v>2534</v>
      </c>
      <c r="D788" s="13" t="s">
        <v>2269</v>
      </c>
      <c r="E788" s="21"/>
      <c r="F788" s="23"/>
      <c r="G788" s="21" t="s">
        <v>13</v>
      </c>
      <c r="H788" s="39"/>
      <c r="I788" s="56"/>
      <c r="J788" s="39">
        <v>1</v>
      </c>
      <c r="K788" s="611">
        <v>12</v>
      </c>
      <c r="L788" s="688">
        <v>44193</v>
      </c>
      <c r="M788" s="688"/>
      <c r="N788" s="689">
        <v>44193</v>
      </c>
      <c r="O788" s="690" t="s">
        <v>2535</v>
      </c>
      <c r="P788" s="83">
        <v>0</v>
      </c>
      <c r="Q788" s="83">
        <f>P788*J788</f>
        <v>0</v>
      </c>
      <c r="S788" s="7">
        <f t="shared" si="15"/>
        <v>0</v>
      </c>
      <c r="T788" s="1318">
        <f t="shared" ref="T788:T851" si="16">Q788</f>
        <v>0</v>
      </c>
      <c r="U788" s="100"/>
    </row>
    <row r="789" spans="3:21" s="159" customFormat="1" ht="15">
      <c r="C789" s="149" t="s">
        <v>2534</v>
      </c>
      <c r="D789" s="150" t="s">
        <v>2269</v>
      </c>
      <c r="E789" s="151"/>
      <c r="F789" s="152"/>
      <c r="G789" s="152" t="s">
        <v>168</v>
      </c>
      <c r="H789" s="154" t="s">
        <v>169</v>
      </c>
      <c r="I789" s="155"/>
      <c r="J789" s="153"/>
      <c r="K789" s="600">
        <v>0</v>
      </c>
      <c r="L789" s="601">
        <v>44193</v>
      </c>
      <c r="M789" s="601"/>
      <c r="N789" s="879">
        <v>44193</v>
      </c>
      <c r="O789" s="880" t="s">
        <v>2535</v>
      </c>
      <c r="P789" s="164">
        <v>0</v>
      </c>
      <c r="Q789" s="165">
        <v>0</v>
      </c>
      <c r="S789" s="7">
        <f t="shared" si="15"/>
        <v>0</v>
      </c>
      <c r="T789" s="1318">
        <f t="shared" si="16"/>
        <v>0</v>
      </c>
      <c r="U789" s="268"/>
    </row>
    <row r="790" spans="3:21" s="7" customFormat="1" ht="15">
      <c r="C790" s="6" t="s">
        <v>2536</v>
      </c>
      <c r="D790" s="13" t="s">
        <v>2084</v>
      </c>
      <c r="E790" s="18" t="s">
        <v>19</v>
      </c>
      <c r="F790" s="23"/>
      <c r="G790" s="21"/>
      <c r="H790" s="55"/>
      <c r="I790" s="56"/>
      <c r="J790" s="55"/>
      <c r="K790" s="15" t="s">
        <v>8</v>
      </c>
      <c r="L790" s="688">
        <v>44176</v>
      </c>
      <c r="M790" s="688"/>
      <c r="N790" s="689">
        <v>44176</v>
      </c>
      <c r="O790" s="690" t="s">
        <v>2537</v>
      </c>
      <c r="P790" s="83"/>
      <c r="Q790" s="83"/>
      <c r="S790" s="7">
        <f t="shared" si="15"/>
        <v>0</v>
      </c>
      <c r="T790" s="1318">
        <f t="shared" si="16"/>
        <v>0</v>
      </c>
      <c r="U790" s="100"/>
    </row>
    <row r="791" spans="3:21" s="7" customFormat="1" ht="15">
      <c r="C791" s="6" t="s">
        <v>2536</v>
      </c>
      <c r="D791" s="13" t="s">
        <v>2084</v>
      </c>
      <c r="E791" s="740" t="s">
        <v>2505</v>
      </c>
      <c r="F791" s="23"/>
      <c r="G791" s="21" t="s">
        <v>25</v>
      </c>
      <c r="H791" s="55">
        <v>40</v>
      </c>
      <c r="I791" s="55">
        <v>40</v>
      </c>
      <c r="J791" s="55">
        <v>40</v>
      </c>
      <c r="K791" s="597">
        <v>1.95</v>
      </c>
      <c r="L791" s="688">
        <v>44176</v>
      </c>
      <c r="M791" s="688"/>
      <c r="N791" s="689">
        <v>44176</v>
      </c>
      <c r="O791" s="690" t="s">
        <v>2537</v>
      </c>
      <c r="P791" s="83">
        <v>150</v>
      </c>
      <c r="Q791" s="83">
        <f>P791*J791</f>
        <v>6000</v>
      </c>
      <c r="S791" s="7">
        <f t="shared" si="15"/>
        <v>150</v>
      </c>
      <c r="T791" s="1318">
        <f t="shared" si="16"/>
        <v>6000</v>
      </c>
      <c r="U791" s="13"/>
    </row>
    <row r="792" spans="3:21" s="7" customFormat="1" ht="15">
      <c r="C792" s="6" t="s">
        <v>2536</v>
      </c>
      <c r="D792" s="13" t="s">
        <v>2084</v>
      </c>
      <c r="E792" s="740" t="s">
        <v>183</v>
      </c>
      <c r="F792" s="23"/>
      <c r="G792" s="21" t="s">
        <v>25</v>
      </c>
      <c r="H792" s="55">
        <v>14</v>
      </c>
      <c r="I792" s="55">
        <v>14</v>
      </c>
      <c r="J792" s="55">
        <v>14</v>
      </c>
      <c r="K792" s="597">
        <v>1.17</v>
      </c>
      <c r="L792" s="688">
        <v>44176</v>
      </c>
      <c r="M792" s="688"/>
      <c r="N792" s="689">
        <v>44176</v>
      </c>
      <c r="O792" s="690" t="s">
        <v>2537</v>
      </c>
      <c r="P792" s="83">
        <v>90</v>
      </c>
      <c r="Q792" s="83">
        <f>P792*J792</f>
        <v>1260</v>
      </c>
      <c r="S792" s="7">
        <f t="shared" si="15"/>
        <v>90</v>
      </c>
      <c r="T792" s="1318">
        <f t="shared" si="16"/>
        <v>1260</v>
      </c>
      <c r="U792" s="13"/>
    </row>
    <row r="793" spans="3:21" ht="15">
      <c r="C793" s="6" t="s">
        <v>2536</v>
      </c>
      <c r="D793" s="13" t="s">
        <v>2084</v>
      </c>
      <c r="E793" s="21"/>
      <c r="F793" s="38"/>
      <c r="G793" s="38" t="s">
        <v>13</v>
      </c>
      <c r="H793" s="39"/>
      <c r="I793" s="94"/>
      <c r="J793" s="93"/>
      <c r="K793" s="611">
        <v>20</v>
      </c>
      <c r="L793" s="688">
        <v>44176</v>
      </c>
      <c r="M793" s="688"/>
      <c r="N793" s="689">
        <v>44176</v>
      </c>
      <c r="O793" s="690" t="s">
        <v>2537</v>
      </c>
      <c r="P793" s="83">
        <v>1390</v>
      </c>
      <c r="Q793" s="83">
        <v>1390</v>
      </c>
      <c r="S793" s="7">
        <f t="shared" si="15"/>
        <v>1390</v>
      </c>
      <c r="T793" s="1318">
        <f t="shared" si="16"/>
        <v>1390</v>
      </c>
      <c r="U793" s="22"/>
    </row>
    <row r="794" spans="3:21" s="159" customFormat="1" ht="15">
      <c r="C794" s="149" t="s">
        <v>2536</v>
      </c>
      <c r="D794" s="150" t="s">
        <v>2084</v>
      </c>
      <c r="E794" s="151"/>
      <c r="F794" s="152"/>
      <c r="G794" s="152" t="s">
        <v>168</v>
      </c>
      <c r="H794" s="154" t="s">
        <v>169</v>
      </c>
      <c r="I794" s="155"/>
      <c r="J794" s="153"/>
      <c r="K794" s="600">
        <v>0</v>
      </c>
      <c r="L794" s="601">
        <v>44176</v>
      </c>
      <c r="M794" s="601"/>
      <c r="N794" s="879">
        <v>44176</v>
      </c>
      <c r="O794" s="880" t="s">
        <v>2537</v>
      </c>
      <c r="P794" s="164">
        <v>0</v>
      </c>
      <c r="Q794" s="165">
        <v>0</v>
      </c>
      <c r="S794" s="7">
        <f t="shared" si="15"/>
        <v>0</v>
      </c>
      <c r="T794" s="1318">
        <f t="shared" si="16"/>
        <v>0</v>
      </c>
      <c r="U794" s="268"/>
    </row>
    <row r="795" spans="3:21" s="7" customFormat="1" ht="18" customHeight="1">
      <c r="C795" s="6" t="s">
        <v>2538</v>
      </c>
      <c r="D795" s="13" t="s">
        <v>2539</v>
      </c>
      <c r="E795" s="18" t="s">
        <v>12</v>
      </c>
      <c r="F795" s="92"/>
      <c r="G795" s="21"/>
      <c r="H795" s="93"/>
      <c r="I795" s="94"/>
      <c r="J795" s="93"/>
      <c r="K795" s="28" t="s">
        <v>8</v>
      </c>
      <c r="L795" s="688">
        <v>44186</v>
      </c>
      <c r="M795" s="688"/>
      <c r="N795" s="689">
        <v>44186</v>
      </c>
      <c r="O795" s="690" t="s">
        <v>2540</v>
      </c>
      <c r="P795" s="83"/>
      <c r="Q795" s="83"/>
      <c r="S795" s="7">
        <f t="shared" si="15"/>
        <v>0</v>
      </c>
      <c r="T795" s="1318">
        <f t="shared" si="16"/>
        <v>0</v>
      </c>
      <c r="U795" s="13"/>
    </row>
    <row r="796" spans="3:21" s="7" customFormat="1" ht="18" customHeight="1">
      <c r="C796" s="6" t="s">
        <v>2538</v>
      </c>
      <c r="D796" s="13" t="s">
        <v>2539</v>
      </c>
      <c r="E796" s="21" t="s">
        <v>9</v>
      </c>
      <c r="F796" s="92">
        <v>160</v>
      </c>
      <c r="G796" s="21" t="s">
        <v>2541</v>
      </c>
      <c r="H796" s="8">
        <v>5</v>
      </c>
      <c r="I796" s="8">
        <v>5</v>
      </c>
      <c r="J796" s="8">
        <v>5</v>
      </c>
      <c r="K796" s="40">
        <v>4.45</v>
      </c>
      <c r="L796" s="688">
        <v>44186</v>
      </c>
      <c r="M796" s="688"/>
      <c r="N796" s="689">
        <v>44186</v>
      </c>
      <c r="O796" s="690" t="s">
        <v>2540</v>
      </c>
      <c r="P796" s="83">
        <v>320</v>
      </c>
      <c r="Q796" s="83">
        <f>P796*J796</f>
        <v>1600</v>
      </c>
      <c r="S796" s="7">
        <f t="shared" si="15"/>
        <v>320</v>
      </c>
      <c r="T796" s="1318">
        <f t="shared" si="16"/>
        <v>1600</v>
      </c>
      <c r="U796" s="20"/>
    </row>
    <row r="797" spans="3:21" s="7" customFormat="1" ht="18" customHeight="1">
      <c r="C797" s="6" t="s">
        <v>2538</v>
      </c>
      <c r="D797" s="13" t="s">
        <v>2539</v>
      </c>
      <c r="E797" s="21" t="s">
        <v>9</v>
      </c>
      <c r="F797" s="92">
        <v>160</v>
      </c>
      <c r="G797" s="21" t="s">
        <v>2542</v>
      </c>
      <c r="H797" s="8">
        <v>5</v>
      </c>
      <c r="I797" s="8">
        <v>5</v>
      </c>
      <c r="J797" s="8">
        <v>5</v>
      </c>
      <c r="K797" s="40">
        <v>4.45</v>
      </c>
      <c r="L797" s="688">
        <v>44186</v>
      </c>
      <c r="M797" s="688"/>
      <c r="N797" s="689">
        <v>44186</v>
      </c>
      <c r="O797" s="690" t="s">
        <v>2540</v>
      </c>
      <c r="P797" s="83">
        <v>320</v>
      </c>
      <c r="Q797" s="83">
        <f>P797*J797</f>
        <v>1600</v>
      </c>
      <c r="S797" s="7">
        <f t="shared" si="15"/>
        <v>320</v>
      </c>
      <c r="T797" s="1318">
        <f t="shared" si="16"/>
        <v>1600</v>
      </c>
      <c r="U797" s="20"/>
    </row>
    <row r="798" spans="3:21" s="7" customFormat="1" ht="16.899999999999999" customHeight="1">
      <c r="C798" s="6" t="s">
        <v>2538</v>
      </c>
      <c r="D798" s="13" t="s">
        <v>2539</v>
      </c>
      <c r="E798" s="21"/>
      <c r="F798" s="285"/>
      <c r="G798" s="38" t="s">
        <v>2543</v>
      </c>
      <c r="H798" s="8"/>
      <c r="I798" s="94" ph="1"/>
      <c r="J798" s="39">
        <v>2</v>
      </c>
      <c r="K798" s="40">
        <v>30</v>
      </c>
      <c r="L798" s="688">
        <v>44186</v>
      </c>
      <c r="M798" s="688"/>
      <c r="N798" s="689">
        <v>44186</v>
      </c>
      <c r="O798" s="690" t="s">
        <v>2540</v>
      </c>
      <c r="P798" s="83">
        <v>1000</v>
      </c>
      <c r="Q798" s="83">
        <f>P798*J798</f>
        <v>2000</v>
      </c>
      <c r="S798" s="7">
        <f t="shared" si="15"/>
        <v>1000</v>
      </c>
      <c r="T798" s="1318">
        <f t="shared" si="16"/>
        <v>2000</v>
      </c>
      <c r="U798" s="20"/>
    </row>
    <row r="799" spans="3:21" s="7" customFormat="1" ht="16.899999999999999" customHeight="1">
      <c r="C799" s="6" t="s">
        <v>2538</v>
      </c>
      <c r="D799" s="13" t="s">
        <v>2539</v>
      </c>
      <c r="E799" s="21"/>
      <c r="F799" s="285"/>
      <c r="G799" s="38" t="s">
        <v>13</v>
      </c>
      <c r="H799" s="8"/>
      <c r="I799" s="94" ph="1"/>
      <c r="J799" s="39">
        <v>1</v>
      </c>
      <c r="K799" s="40">
        <v>20</v>
      </c>
      <c r="L799" s="688">
        <v>44186</v>
      </c>
      <c r="M799" s="688"/>
      <c r="N799" s="689">
        <v>44186</v>
      </c>
      <c r="O799" s="690" t="s">
        <v>2540</v>
      </c>
      <c r="P799" s="83">
        <v>1000</v>
      </c>
      <c r="Q799" s="83">
        <f>P799*J799</f>
        <v>1000</v>
      </c>
      <c r="S799" s="7">
        <f t="shared" si="15"/>
        <v>1000</v>
      </c>
      <c r="T799" s="1318">
        <f t="shared" si="16"/>
        <v>1000</v>
      </c>
      <c r="U799" s="20"/>
    </row>
    <row r="800" spans="3:21" s="159" customFormat="1" ht="15">
      <c r="C800" s="149" t="s">
        <v>2538</v>
      </c>
      <c r="D800" s="150" t="s">
        <v>2539</v>
      </c>
      <c r="E800" s="151"/>
      <c r="F800" s="152"/>
      <c r="G800" s="152" t="s">
        <v>168</v>
      </c>
      <c r="H800" s="154" t="s">
        <v>169</v>
      </c>
      <c r="I800" s="155"/>
      <c r="J800" s="153"/>
      <c r="K800" s="600">
        <v>0</v>
      </c>
      <c r="L800" s="601">
        <v>44186</v>
      </c>
      <c r="M800" s="601"/>
      <c r="N800" s="879">
        <v>44186</v>
      </c>
      <c r="O800" s="880" t="s">
        <v>2540</v>
      </c>
      <c r="P800" s="164">
        <v>0</v>
      </c>
      <c r="Q800" s="165">
        <v>0</v>
      </c>
      <c r="S800" s="7">
        <f t="shared" si="15"/>
        <v>0</v>
      </c>
      <c r="T800" s="1318">
        <f t="shared" si="16"/>
        <v>0</v>
      </c>
      <c r="U800" s="268"/>
    </row>
    <row r="801" spans="3:21" s="7" customFormat="1" ht="15">
      <c r="C801" s="6" t="s">
        <v>2544</v>
      </c>
      <c r="D801" s="13" t="s">
        <v>2277</v>
      </c>
      <c r="E801" s="18" t="s">
        <v>19</v>
      </c>
      <c r="F801" s="23"/>
      <c r="G801" s="21"/>
      <c r="H801" s="55"/>
      <c r="I801" s="56"/>
      <c r="J801" s="55"/>
      <c r="K801" s="15" t="s">
        <v>8</v>
      </c>
      <c r="L801" s="688">
        <v>44211</v>
      </c>
      <c r="M801" s="688"/>
      <c r="N801" s="689">
        <v>44211</v>
      </c>
      <c r="O801" s="690">
        <v>2840</v>
      </c>
      <c r="P801" s="83"/>
      <c r="Q801" s="83"/>
      <c r="S801" s="7">
        <f t="shared" si="15"/>
        <v>0</v>
      </c>
      <c r="T801" s="1318">
        <f t="shared" si="16"/>
        <v>0</v>
      </c>
      <c r="U801" s="100"/>
    </row>
    <row r="802" spans="3:21" s="7" customFormat="1" ht="15">
      <c r="C802" s="6" t="s">
        <v>2544</v>
      </c>
      <c r="D802" s="13" t="s">
        <v>2277</v>
      </c>
      <c r="E802" s="739">
        <v>258176</v>
      </c>
      <c r="F802" s="23"/>
      <c r="G802" s="21" t="s">
        <v>25</v>
      </c>
      <c r="H802" s="93">
        <v>13.7</v>
      </c>
      <c r="I802" s="94">
        <v>18</v>
      </c>
      <c r="J802" s="108">
        <f>H802*I802</f>
        <v>246.6</v>
      </c>
      <c r="K802" s="884">
        <v>2.4</v>
      </c>
      <c r="L802" s="688">
        <v>44211</v>
      </c>
      <c r="M802" s="688"/>
      <c r="N802" s="689">
        <v>44211</v>
      </c>
      <c r="O802" s="690">
        <v>2840</v>
      </c>
      <c r="P802" s="83">
        <v>198</v>
      </c>
      <c r="Q802" s="83">
        <f>P802*J802</f>
        <v>48826.799999999996</v>
      </c>
      <c r="S802" s="7">
        <f t="shared" si="15"/>
        <v>198</v>
      </c>
      <c r="T802" s="1318">
        <f t="shared" si="16"/>
        <v>48826.799999999996</v>
      </c>
      <c r="U802" s="13"/>
    </row>
    <row r="803" spans="3:21" ht="15">
      <c r="C803" s="6" t="s">
        <v>2544</v>
      </c>
      <c r="D803" s="13" t="s">
        <v>2277</v>
      </c>
      <c r="E803" s="48"/>
      <c r="F803" s="38"/>
      <c r="G803" s="38" t="s">
        <v>13</v>
      </c>
      <c r="H803" s="39"/>
      <c r="I803" s="94"/>
      <c r="J803" s="39">
        <v>1</v>
      </c>
      <c r="K803" s="611">
        <v>12</v>
      </c>
      <c r="L803" s="688">
        <v>44211</v>
      </c>
      <c r="M803" s="688"/>
      <c r="N803" s="689">
        <v>44211</v>
      </c>
      <c r="O803" s="690">
        <v>2840</v>
      </c>
      <c r="P803" s="83">
        <v>0</v>
      </c>
      <c r="Q803" s="83">
        <f>P803*J803</f>
        <v>0</v>
      </c>
      <c r="S803" s="7">
        <f t="shared" si="15"/>
        <v>0</v>
      </c>
      <c r="T803" s="1318">
        <f t="shared" si="16"/>
        <v>0</v>
      </c>
      <c r="U803" s="22"/>
    </row>
    <row r="804" spans="3:21" s="7" customFormat="1" ht="15">
      <c r="C804" s="6" t="s">
        <v>2544</v>
      </c>
      <c r="D804" s="13" t="s">
        <v>2277</v>
      </c>
      <c r="E804" s="739">
        <v>258176</v>
      </c>
      <c r="F804" s="23"/>
      <c r="G804" s="21" t="s">
        <v>25</v>
      </c>
      <c r="H804" s="93">
        <v>13.7</v>
      </c>
      <c r="I804" s="94">
        <v>12</v>
      </c>
      <c r="J804" s="108">
        <f>H804*I804</f>
        <v>164.39999999999998</v>
      </c>
      <c r="K804" s="884">
        <v>2.4</v>
      </c>
      <c r="L804" s="688">
        <v>44243</v>
      </c>
      <c r="M804" s="688"/>
      <c r="N804" s="689">
        <v>44243</v>
      </c>
      <c r="O804" s="690">
        <v>2905</v>
      </c>
      <c r="P804" s="83">
        <v>198</v>
      </c>
      <c r="Q804" s="83">
        <f>P804*J804</f>
        <v>32551.199999999997</v>
      </c>
      <c r="S804" s="7">
        <f t="shared" si="15"/>
        <v>198</v>
      </c>
      <c r="T804" s="1318">
        <f t="shared" si="16"/>
        <v>32551.199999999997</v>
      </c>
      <c r="U804" s="13"/>
    </row>
    <row r="805" spans="3:21" s="159" customFormat="1" ht="15">
      <c r="C805" s="149" t="s">
        <v>2544</v>
      </c>
      <c r="D805" s="150" t="s">
        <v>2277</v>
      </c>
      <c r="E805" s="151"/>
      <c r="F805" s="152"/>
      <c r="G805" s="152" t="s">
        <v>168</v>
      </c>
      <c r="H805" s="154" t="s">
        <v>169</v>
      </c>
      <c r="I805" s="155"/>
      <c r="J805" s="153"/>
      <c r="K805" s="600">
        <v>0</v>
      </c>
      <c r="L805" s="601">
        <v>44243</v>
      </c>
      <c r="M805" s="601"/>
      <c r="N805" s="879">
        <v>44243</v>
      </c>
      <c r="O805" s="880">
        <v>2905</v>
      </c>
      <c r="P805" s="164">
        <v>0</v>
      </c>
      <c r="Q805" s="165">
        <v>0</v>
      </c>
      <c r="S805" s="7">
        <f t="shared" si="15"/>
        <v>0</v>
      </c>
      <c r="T805" s="1318">
        <f t="shared" si="16"/>
        <v>0</v>
      </c>
      <c r="U805" s="268"/>
    </row>
    <row r="806" spans="3:21" s="7" customFormat="1" ht="15">
      <c r="C806" s="6" t="s">
        <v>2545</v>
      </c>
      <c r="D806" s="13" t="s">
        <v>2277</v>
      </c>
      <c r="E806" s="18" t="s">
        <v>19</v>
      </c>
      <c r="F806" s="23"/>
      <c r="G806" s="21"/>
      <c r="H806" s="55"/>
      <c r="I806" s="56"/>
      <c r="J806" s="55"/>
      <c r="K806" s="15" t="s">
        <v>8</v>
      </c>
      <c r="L806" s="688">
        <v>44243</v>
      </c>
      <c r="M806" s="688"/>
      <c r="N806" s="689">
        <v>44243</v>
      </c>
      <c r="O806" s="690">
        <v>2905</v>
      </c>
      <c r="P806" s="83"/>
      <c r="Q806" s="83"/>
      <c r="S806" s="7">
        <f t="shared" si="15"/>
        <v>0</v>
      </c>
      <c r="T806" s="1318">
        <f t="shared" si="16"/>
        <v>0</v>
      </c>
      <c r="U806" s="100"/>
    </row>
    <row r="807" spans="3:21" s="7" customFormat="1" ht="15">
      <c r="C807" s="6" t="s">
        <v>2545</v>
      </c>
      <c r="D807" s="13" t="s">
        <v>2277</v>
      </c>
      <c r="E807" s="740" t="s">
        <v>2280</v>
      </c>
      <c r="F807" s="23"/>
      <c r="G807" s="21" t="s">
        <v>25</v>
      </c>
      <c r="H807" s="93">
        <v>13.7</v>
      </c>
      <c r="I807" s="94">
        <v>15</v>
      </c>
      <c r="J807" s="108">
        <f>H807*I807</f>
        <v>205.5</v>
      </c>
      <c r="K807" s="597">
        <v>5.46</v>
      </c>
      <c r="L807" s="688">
        <v>44243</v>
      </c>
      <c r="M807" s="688"/>
      <c r="N807" s="689">
        <v>44243</v>
      </c>
      <c r="O807" s="690">
        <v>2905</v>
      </c>
      <c r="P807" s="83">
        <v>450</v>
      </c>
      <c r="Q807" s="83">
        <f>P807*J807</f>
        <v>92475</v>
      </c>
      <c r="S807" s="7">
        <f t="shared" si="15"/>
        <v>450</v>
      </c>
      <c r="T807" s="1318">
        <f t="shared" si="16"/>
        <v>92475</v>
      </c>
      <c r="U807" s="13"/>
    </row>
    <row r="808" spans="3:21" ht="15">
      <c r="C808" s="6" t="s">
        <v>2545</v>
      </c>
      <c r="D808" s="13" t="s">
        <v>2277</v>
      </c>
      <c r="E808" s="48"/>
      <c r="F808" s="38"/>
      <c r="G808" s="38" t="s">
        <v>13</v>
      </c>
      <c r="H808" s="39"/>
      <c r="I808" s="94"/>
      <c r="J808" s="39">
        <v>1</v>
      </c>
      <c r="K808" s="611">
        <v>12</v>
      </c>
      <c r="L808" s="688">
        <v>44243</v>
      </c>
      <c r="M808" s="688"/>
      <c r="N808" s="689">
        <v>44243</v>
      </c>
      <c r="O808" s="690">
        <v>2905</v>
      </c>
      <c r="P808" s="358">
        <v>0</v>
      </c>
      <c r="Q808" s="224">
        <v>0</v>
      </c>
      <c r="S808" s="7">
        <f t="shared" si="15"/>
        <v>0</v>
      </c>
      <c r="T808" s="1318">
        <f t="shared" si="16"/>
        <v>0</v>
      </c>
      <c r="U808" s="22"/>
    </row>
    <row r="809" spans="3:21" s="159" customFormat="1" ht="15">
      <c r="C809" s="149" t="s">
        <v>2545</v>
      </c>
      <c r="D809" s="150" t="s">
        <v>2277</v>
      </c>
      <c r="E809" s="151"/>
      <c r="F809" s="152"/>
      <c r="G809" s="152" t="s">
        <v>168</v>
      </c>
      <c r="H809" s="154" t="s">
        <v>169</v>
      </c>
      <c r="I809" s="155"/>
      <c r="J809" s="153"/>
      <c r="K809" s="600">
        <v>0</v>
      </c>
      <c r="L809" s="601">
        <v>44243</v>
      </c>
      <c r="M809" s="601"/>
      <c r="N809" s="879">
        <v>44243</v>
      </c>
      <c r="O809" s="880">
        <v>2905</v>
      </c>
      <c r="P809" s="164">
        <v>0</v>
      </c>
      <c r="Q809" s="165">
        <v>0</v>
      </c>
      <c r="S809" s="7">
        <f t="shared" si="15"/>
        <v>0</v>
      </c>
      <c r="T809" s="1318">
        <f t="shared" si="16"/>
        <v>0</v>
      </c>
      <c r="U809" s="268"/>
    </row>
    <row r="810" spans="3:21" s="7" customFormat="1" ht="15">
      <c r="C810" s="6" t="s">
        <v>2546</v>
      </c>
      <c r="D810" s="13" t="s">
        <v>2547</v>
      </c>
      <c r="E810" s="18" t="s">
        <v>2548</v>
      </c>
      <c r="F810" s="23"/>
      <c r="G810" s="21"/>
      <c r="H810" s="55"/>
      <c r="I810" s="56"/>
      <c r="J810" s="55"/>
      <c r="K810" s="15" t="s">
        <v>8</v>
      </c>
      <c r="L810" s="688">
        <v>44232</v>
      </c>
      <c r="M810" s="688"/>
      <c r="N810" s="689">
        <v>44232</v>
      </c>
      <c r="O810" s="690">
        <v>2888</v>
      </c>
      <c r="P810" s="83"/>
      <c r="Q810" s="83"/>
      <c r="S810" s="7">
        <f t="shared" si="15"/>
        <v>0</v>
      </c>
      <c r="T810" s="1318">
        <f t="shared" si="16"/>
        <v>0</v>
      </c>
      <c r="U810" s="100"/>
    </row>
    <row r="811" spans="3:21" s="7" customFormat="1" ht="15">
      <c r="C811" s="6" t="s">
        <v>2546</v>
      </c>
      <c r="D811" s="13" t="s">
        <v>2547</v>
      </c>
      <c r="E811" s="740" t="s">
        <v>2549</v>
      </c>
      <c r="F811" s="23"/>
      <c r="G811" s="21" t="s">
        <v>25</v>
      </c>
      <c r="H811" s="163">
        <v>4</v>
      </c>
      <c r="I811" s="163">
        <v>4</v>
      </c>
      <c r="J811" s="163">
        <v>4</v>
      </c>
      <c r="K811" s="597">
        <v>2.08</v>
      </c>
      <c r="L811" s="688">
        <v>44232</v>
      </c>
      <c r="M811" s="688"/>
      <c r="N811" s="689">
        <v>44232</v>
      </c>
      <c r="O811" s="690">
        <v>2888</v>
      </c>
      <c r="P811" s="83">
        <v>160</v>
      </c>
      <c r="Q811" s="83">
        <f t="shared" ref="Q811:Q816" si="17">P811*J811</f>
        <v>640</v>
      </c>
      <c r="S811" s="7">
        <f t="shared" si="15"/>
        <v>160</v>
      </c>
      <c r="T811" s="1318">
        <f t="shared" si="16"/>
        <v>640</v>
      </c>
      <c r="U811" s="13"/>
    </row>
    <row r="812" spans="3:21" s="7" customFormat="1" ht="15">
      <c r="C812" s="6" t="s">
        <v>2546</v>
      </c>
      <c r="D812" s="13" t="s">
        <v>2547</v>
      </c>
      <c r="E812" s="740" t="s">
        <v>274</v>
      </c>
      <c r="F812" s="23"/>
      <c r="G812" s="21" t="s">
        <v>25</v>
      </c>
      <c r="H812" s="163">
        <v>4</v>
      </c>
      <c r="I812" s="163">
        <v>4</v>
      </c>
      <c r="J812" s="163">
        <v>4</v>
      </c>
      <c r="K812" s="597">
        <v>0.82</v>
      </c>
      <c r="L812" s="688">
        <v>44232</v>
      </c>
      <c r="M812" s="688"/>
      <c r="N812" s="689">
        <v>44232</v>
      </c>
      <c r="O812" s="690">
        <v>2888</v>
      </c>
      <c r="P812" s="83">
        <v>63</v>
      </c>
      <c r="Q812" s="83">
        <f t="shared" si="17"/>
        <v>252</v>
      </c>
      <c r="S812" s="7">
        <f t="shared" si="15"/>
        <v>63</v>
      </c>
      <c r="T812" s="1318">
        <f t="shared" si="16"/>
        <v>252</v>
      </c>
      <c r="U812" s="13"/>
    </row>
    <row r="813" spans="3:21" s="7" customFormat="1" ht="15">
      <c r="C813" s="6" t="s">
        <v>2546</v>
      </c>
      <c r="D813" s="13" t="s">
        <v>2547</v>
      </c>
      <c r="E813" s="740" t="s">
        <v>2550</v>
      </c>
      <c r="F813" s="23"/>
      <c r="G813" s="21" t="s">
        <v>25</v>
      </c>
      <c r="H813" s="163">
        <v>4</v>
      </c>
      <c r="I813" s="163">
        <v>4</v>
      </c>
      <c r="J813" s="163">
        <v>4</v>
      </c>
      <c r="K813" s="597">
        <v>1.04</v>
      </c>
      <c r="L813" s="688">
        <v>44232</v>
      </c>
      <c r="M813" s="688"/>
      <c r="N813" s="689">
        <v>44232</v>
      </c>
      <c r="O813" s="690">
        <v>2888</v>
      </c>
      <c r="P813" s="83">
        <v>80</v>
      </c>
      <c r="Q813" s="83">
        <f t="shared" si="17"/>
        <v>320</v>
      </c>
      <c r="S813" s="7">
        <f t="shared" si="15"/>
        <v>80</v>
      </c>
      <c r="T813" s="1318">
        <f t="shared" si="16"/>
        <v>320</v>
      </c>
      <c r="U813" s="13"/>
    </row>
    <row r="814" spans="3:21" s="7" customFormat="1" ht="15">
      <c r="C814" s="6" t="s">
        <v>2546</v>
      </c>
      <c r="D814" s="13" t="s">
        <v>2547</v>
      </c>
      <c r="E814" s="740" t="s">
        <v>2551</v>
      </c>
      <c r="F814" s="23"/>
      <c r="G814" s="21" t="s">
        <v>25</v>
      </c>
      <c r="H814" s="163">
        <v>1</v>
      </c>
      <c r="I814" s="163">
        <v>1</v>
      </c>
      <c r="J814" s="163">
        <v>1</v>
      </c>
      <c r="K814" s="597">
        <v>37.299999999999997</v>
      </c>
      <c r="L814" s="688">
        <v>44232</v>
      </c>
      <c r="M814" s="688"/>
      <c r="N814" s="689">
        <v>44232</v>
      </c>
      <c r="O814" s="690">
        <v>2888</v>
      </c>
      <c r="P814" s="83">
        <v>3280</v>
      </c>
      <c r="Q814" s="83">
        <f t="shared" si="17"/>
        <v>3280</v>
      </c>
      <c r="S814" s="7">
        <f t="shared" si="15"/>
        <v>3280</v>
      </c>
      <c r="T814" s="1318">
        <f t="shared" si="16"/>
        <v>3280</v>
      </c>
      <c r="U814" s="13"/>
    </row>
    <row r="815" spans="3:21" ht="15">
      <c r="C815" s="6" t="s">
        <v>2546</v>
      </c>
      <c r="D815" s="13" t="s">
        <v>2547</v>
      </c>
      <c r="E815" s="48"/>
      <c r="F815" s="38"/>
      <c r="G815" s="38" t="s">
        <v>2552</v>
      </c>
      <c r="H815" s="39"/>
      <c r="I815" s="94"/>
      <c r="J815" s="39">
        <v>1</v>
      </c>
      <c r="K815" s="611">
        <v>12</v>
      </c>
      <c r="L815" s="688">
        <v>44232</v>
      </c>
      <c r="M815" s="688"/>
      <c r="N815" s="689">
        <v>44232</v>
      </c>
      <c r="O815" s="690">
        <v>2888</v>
      </c>
      <c r="P815" s="83">
        <v>1000</v>
      </c>
      <c r="Q815" s="83">
        <f t="shared" si="17"/>
        <v>1000</v>
      </c>
      <c r="S815" s="7">
        <f t="shared" si="15"/>
        <v>1000</v>
      </c>
      <c r="T815" s="1318">
        <f t="shared" si="16"/>
        <v>1000</v>
      </c>
      <c r="U815" s="22"/>
    </row>
    <row r="816" spans="3:21" ht="15">
      <c r="C816" s="6" t="s">
        <v>2546</v>
      </c>
      <c r="D816" s="13" t="s">
        <v>2547</v>
      </c>
      <c r="E816" s="48"/>
      <c r="F816" s="38"/>
      <c r="G816" s="38" t="s">
        <v>13</v>
      </c>
      <c r="H816" s="39"/>
      <c r="I816" s="94"/>
      <c r="J816" s="39">
        <v>1</v>
      </c>
      <c r="K816" s="611">
        <v>36</v>
      </c>
      <c r="L816" s="688">
        <v>44232</v>
      </c>
      <c r="M816" s="688"/>
      <c r="N816" s="689">
        <v>44232</v>
      </c>
      <c r="O816" s="690">
        <v>2888</v>
      </c>
      <c r="P816" s="83">
        <f>300+150+900+1000</f>
        <v>2350</v>
      </c>
      <c r="Q816" s="83">
        <f t="shared" si="17"/>
        <v>2350</v>
      </c>
      <c r="S816" s="7">
        <f t="shared" si="15"/>
        <v>2350</v>
      </c>
      <c r="T816" s="1318">
        <f t="shared" si="16"/>
        <v>2350</v>
      </c>
      <c r="U816" s="22"/>
    </row>
    <row r="817" spans="3:21" s="159" customFormat="1" ht="15">
      <c r="C817" s="149" t="s">
        <v>2546</v>
      </c>
      <c r="D817" s="150" t="s">
        <v>2547</v>
      </c>
      <c r="E817" s="151"/>
      <c r="F817" s="152"/>
      <c r="G817" s="152" t="s">
        <v>168</v>
      </c>
      <c r="H817" s="154" t="s">
        <v>169</v>
      </c>
      <c r="I817" s="155"/>
      <c r="J817" s="153"/>
      <c r="K817" s="600">
        <v>0</v>
      </c>
      <c r="L817" s="601">
        <v>44232</v>
      </c>
      <c r="M817" s="601"/>
      <c r="N817" s="879">
        <v>44232</v>
      </c>
      <c r="O817" s="880">
        <v>2888</v>
      </c>
      <c r="P817" s="164">
        <v>0</v>
      </c>
      <c r="Q817" s="165">
        <v>0</v>
      </c>
      <c r="S817" s="7">
        <f t="shared" si="15"/>
        <v>0</v>
      </c>
      <c r="T817" s="1318">
        <f t="shared" si="16"/>
        <v>0</v>
      </c>
      <c r="U817" s="268"/>
    </row>
    <row r="818" spans="3:21" s="7" customFormat="1" ht="18" customHeight="1">
      <c r="C818" s="6" t="s">
        <v>2553</v>
      </c>
      <c r="D818" s="13" t="s">
        <v>1979</v>
      </c>
      <c r="E818" s="18" t="s">
        <v>1978</v>
      </c>
      <c r="F818" s="92"/>
      <c r="G818" s="21"/>
      <c r="H818" s="93"/>
      <c r="I818" s="94"/>
      <c r="J818" s="93"/>
      <c r="K818" s="95" t="s">
        <v>8</v>
      </c>
      <c r="L818" s="688">
        <v>44264</v>
      </c>
      <c r="M818" s="688"/>
      <c r="N818" s="689">
        <v>44264</v>
      </c>
      <c r="O818" s="690">
        <v>2954</v>
      </c>
      <c r="P818" s="83"/>
      <c r="Q818" s="83"/>
      <c r="S818" s="7">
        <f t="shared" si="15"/>
        <v>0</v>
      </c>
      <c r="T818" s="1318">
        <f t="shared" si="16"/>
        <v>0</v>
      </c>
      <c r="U818" s="13"/>
    </row>
    <row r="819" spans="3:21" s="7" customFormat="1" ht="18" customHeight="1">
      <c r="C819" s="6" t="s">
        <v>2553</v>
      </c>
      <c r="D819" s="13" t="s">
        <v>1979</v>
      </c>
      <c r="E819" s="21">
        <v>1966</v>
      </c>
      <c r="F819" s="596"/>
      <c r="G819" s="21" t="s">
        <v>2554</v>
      </c>
      <c r="H819" s="93">
        <v>30</v>
      </c>
      <c r="I819" s="94">
        <v>14</v>
      </c>
      <c r="J819" s="93">
        <f>I819*H819</f>
        <v>420</v>
      </c>
      <c r="K819" s="611">
        <v>0.63</v>
      </c>
      <c r="L819" s="688">
        <v>44264</v>
      </c>
      <c r="M819" s="688"/>
      <c r="N819" s="689">
        <v>44264</v>
      </c>
      <c r="O819" s="690">
        <v>2954</v>
      </c>
      <c r="P819" s="83">
        <v>41</v>
      </c>
      <c r="Q819" s="83">
        <f>P819*J819</f>
        <v>17220</v>
      </c>
      <c r="S819" s="7">
        <f t="shared" si="15"/>
        <v>41</v>
      </c>
      <c r="T819" s="1318">
        <f t="shared" si="16"/>
        <v>17220</v>
      </c>
      <c r="U819" s="20"/>
    </row>
    <row r="820" spans="3:21" s="7" customFormat="1" ht="18" customHeight="1">
      <c r="C820" s="6" t="s">
        <v>2553</v>
      </c>
      <c r="D820" s="13" t="s">
        <v>1979</v>
      </c>
      <c r="E820" s="21">
        <v>1966</v>
      </c>
      <c r="F820" s="596"/>
      <c r="G820" s="21" t="s">
        <v>2555</v>
      </c>
      <c r="H820" s="93">
        <v>30</v>
      </c>
      <c r="I820" s="94">
        <v>34</v>
      </c>
      <c r="J820" s="93">
        <f>I820*H820</f>
        <v>1020</v>
      </c>
      <c r="K820" s="611">
        <v>0.63</v>
      </c>
      <c r="L820" s="688">
        <v>44264</v>
      </c>
      <c r="M820" s="688"/>
      <c r="N820" s="689">
        <v>44264</v>
      </c>
      <c r="O820" s="690">
        <v>2954</v>
      </c>
      <c r="P820" s="83">
        <v>41</v>
      </c>
      <c r="Q820" s="83">
        <f>P820*J820</f>
        <v>41820</v>
      </c>
      <c r="S820" s="7">
        <f t="shared" si="15"/>
        <v>41</v>
      </c>
      <c r="T820" s="1318">
        <f t="shared" si="16"/>
        <v>41820</v>
      </c>
      <c r="U820" s="20"/>
    </row>
    <row r="821" spans="3:21" s="7" customFormat="1" ht="15">
      <c r="C821" s="6" t="s">
        <v>2553</v>
      </c>
      <c r="D821" s="13" t="s">
        <v>1979</v>
      </c>
      <c r="E821" s="48"/>
      <c r="F821" s="38"/>
      <c r="G821" s="38" t="s">
        <v>13</v>
      </c>
      <c r="H821" s="39"/>
      <c r="I821" s="94"/>
      <c r="J821" s="39">
        <v>1</v>
      </c>
      <c r="K821" s="611">
        <v>12</v>
      </c>
      <c r="L821" s="688">
        <v>44264</v>
      </c>
      <c r="M821" s="688"/>
      <c r="N821" s="689">
        <v>44264</v>
      </c>
      <c r="O821" s="690">
        <v>2954</v>
      </c>
      <c r="P821" s="358">
        <v>0</v>
      </c>
      <c r="Q821" s="83">
        <f>P821*J821</f>
        <v>0</v>
      </c>
      <c r="S821" s="7">
        <f t="shared" si="15"/>
        <v>0</v>
      </c>
      <c r="T821" s="1318">
        <f t="shared" si="16"/>
        <v>0</v>
      </c>
      <c r="U821" s="22"/>
    </row>
    <row r="822" spans="3:21" s="193" customFormat="1" ht="15">
      <c r="C822" s="149" t="s">
        <v>2553</v>
      </c>
      <c r="D822" s="150" t="s">
        <v>1979</v>
      </c>
      <c r="E822" s="151"/>
      <c r="F822" s="152"/>
      <c r="G822" s="152" t="s">
        <v>168</v>
      </c>
      <c r="H822" s="154" t="s">
        <v>294</v>
      </c>
      <c r="I822" s="155"/>
      <c r="J822" s="153"/>
      <c r="K822" s="600">
        <v>155</v>
      </c>
      <c r="L822" s="601">
        <v>44264</v>
      </c>
      <c r="M822" s="601"/>
      <c r="N822" s="879">
        <v>44264</v>
      </c>
      <c r="O822" s="880">
        <v>2954</v>
      </c>
      <c r="P822" s="164">
        <v>16028</v>
      </c>
      <c r="Q822" s="164">
        <v>16028</v>
      </c>
      <c r="S822" s="7">
        <f t="shared" si="15"/>
        <v>16028</v>
      </c>
      <c r="T822" s="1318">
        <f t="shared" si="16"/>
        <v>16028</v>
      </c>
      <c r="U822" s="268"/>
    </row>
    <row r="823" spans="3:21" s="7" customFormat="1" ht="18" customHeight="1">
      <c r="C823" s="6" t="s">
        <v>2556</v>
      </c>
      <c r="D823" s="13" t="s">
        <v>2539</v>
      </c>
      <c r="E823" s="18" t="s">
        <v>262</v>
      </c>
      <c r="F823" s="92"/>
      <c r="G823" s="21"/>
      <c r="H823" s="93"/>
      <c r="I823" s="94"/>
      <c r="J823" s="93"/>
      <c r="K823" s="28" t="s">
        <v>8</v>
      </c>
      <c r="L823" s="688">
        <v>44273</v>
      </c>
      <c r="M823" s="688"/>
      <c r="N823" s="689">
        <v>44273</v>
      </c>
      <c r="O823" s="690">
        <v>2947</v>
      </c>
      <c r="P823" s="83"/>
      <c r="Q823" s="83"/>
      <c r="S823" s="7">
        <f t="shared" si="15"/>
        <v>0</v>
      </c>
      <c r="T823" s="1318">
        <f t="shared" si="16"/>
        <v>0</v>
      </c>
      <c r="U823" s="13"/>
    </row>
    <row r="824" spans="3:21" s="7" customFormat="1" ht="18" customHeight="1">
      <c r="C824" s="6" t="s">
        <v>2556</v>
      </c>
      <c r="D824" s="13" t="s">
        <v>2539</v>
      </c>
      <c r="E824" s="21" t="s">
        <v>2557</v>
      </c>
      <c r="F824" s="92">
        <v>148</v>
      </c>
      <c r="G824" s="21" t="s">
        <v>2558</v>
      </c>
      <c r="H824" s="8">
        <v>5</v>
      </c>
      <c r="I824" s="8">
        <v>5</v>
      </c>
      <c r="J824" s="8">
        <v>5</v>
      </c>
      <c r="K824" s="40">
        <v>5.84</v>
      </c>
      <c r="L824" s="688">
        <v>44273</v>
      </c>
      <c r="M824" s="688"/>
      <c r="N824" s="689">
        <v>44273</v>
      </c>
      <c r="O824" s="690">
        <v>2947</v>
      </c>
      <c r="P824" s="83">
        <v>420</v>
      </c>
      <c r="Q824" s="83">
        <f>P824*J824</f>
        <v>2100</v>
      </c>
      <c r="S824" s="7">
        <f t="shared" si="15"/>
        <v>420</v>
      </c>
      <c r="T824" s="1318">
        <f t="shared" si="16"/>
        <v>2100</v>
      </c>
      <c r="U824" s="20"/>
    </row>
    <row r="825" spans="3:21" s="7" customFormat="1" ht="18" customHeight="1">
      <c r="C825" s="6" t="s">
        <v>2556</v>
      </c>
      <c r="D825" s="13" t="s">
        <v>2539</v>
      </c>
      <c r="E825" s="21" t="s">
        <v>2557</v>
      </c>
      <c r="F825" s="92">
        <v>148</v>
      </c>
      <c r="G825" s="21" t="s">
        <v>2559</v>
      </c>
      <c r="H825" s="8">
        <v>5</v>
      </c>
      <c r="I825" s="8">
        <v>5</v>
      </c>
      <c r="J825" s="8">
        <v>5</v>
      </c>
      <c r="K825" s="40">
        <v>5.84</v>
      </c>
      <c r="L825" s="688">
        <v>44273</v>
      </c>
      <c r="M825" s="688"/>
      <c r="N825" s="689">
        <v>44273</v>
      </c>
      <c r="O825" s="690">
        <v>2947</v>
      </c>
      <c r="P825" s="83">
        <v>420</v>
      </c>
      <c r="Q825" s="83">
        <f>P825*J825</f>
        <v>2100</v>
      </c>
      <c r="S825" s="7">
        <f t="shared" si="15"/>
        <v>420</v>
      </c>
      <c r="T825" s="1318">
        <f t="shared" si="16"/>
        <v>2100</v>
      </c>
      <c r="U825" s="20"/>
    </row>
    <row r="826" spans="3:21" s="7" customFormat="1" ht="16.899999999999999" customHeight="1">
      <c r="C826" s="6" t="s">
        <v>2556</v>
      </c>
      <c r="D826" s="13" t="s">
        <v>2539</v>
      </c>
      <c r="E826" s="21"/>
      <c r="F826" s="285"/>
      <c r="G826" s="38" t="s">
        <v>2543</v>
      </c>
      <c r="H826" s="8"/>
      <c r="I826" s="94" ph="1"/>
      <c r="J826" s="39">
        <v>2</v>
      </c>
      <c r="K826" s="40">
        <v>30</v>
      </c>
      <c r="L826" s="688">
        <v>44273</v>
      </c>
      <c r="M826" s="688"/>
      <c r="N826" s="689">
        <v>44273</v>
      </c>
      <c r="O826" s="690">
        <v>2947</v>
      </c>
      <c r="P826" s="83">
        <v>1000</v>
      </c>
      <c r="Q826" s="83">
        <f>P826*J826</f>
        <v>2000</v>
      </c>
      <c r="S826" s="7">
        <f t="shared" si="15"/>
        <v>1000</v>
      </c>
      <c r="T826" s="1318">
        <f t="shared" si="16"/>
        <v>2000</v>
      </c>
      <c r="U826" s="20"/>
    </row>
    <row r="827" spans="3:21" s="7" customFormat="1" ht="16.899999999999999" customHeight="1">
      <c r="C827" s="6" t="s">
        <v>2556</v>
      </c>
      <c r="D827" s="13" t="s">
        <v>2539</v>
      </c>
      <c r="E827" s="21"/>
      <c r="F827" s="285"/>
      <c r="G827" s="38" t="s">
        <v>13</v>
      </c>
      <c r="H827" s="8"/>
      <c r="I827" s="94" ph="1"/>
      <c r="J827" s="39">
        <v>1</v>
      </c>
      <c r="K827" s="40">
        <v>20</v>
      </c>
      <c r="L827" s="688">
        <v>44273</v>
      </c>
      <c r="M827" s="688"/>
      <c r="N827" s="689">
        <v>44273</v>
      </c>
      <c r="O827" s="690">
        <v>2947</v>
      </c>
      <c r="P827" s="83">
        <v>1000</v>
      </c>
      <c r="Q827" s="83">
        <f>P827*J827</f>
        <v>1000</v>
      </c>
      <c r="S827" s="7">
        <f t="shared" si="15"/>
        <v>1000</v>
      </c>
      <c r="T827" s="1318">
        <f t="shared" si="16"/>
        <v>1000</v>
      </c>
      <c r="U827" s="20"/>
    </row>
    <row r="828" spans="3:21" s="159" customFormat="1" ht="15">
      <c r="C828" s="149" t="s">
        <v>2556</v>
      </c>
      <c r="D828" s="150" t="s">
        <v>2539</v>
      </c>
      <c r="E828" s="151"/>
      <c r="F828" s="152"/>
      <c r="G828" s="152" t="s">
        <v>168</v>
      </c>
      <c r="H828" s="154" t="s">
        <v>169</v>
      </c>
      <c r="I828" s="155"/>
      <c r="J828" s="153"/>
      <c r="K828" s="600">
        <v>0</v>
      </c>
      <c r="L828" s="601">
        <v>44273</v>
      </c>
      <c r="M828" s="601"/>
      <c r="N828" s="879">
        <v>44273</v>
      </c>
      <c r="O828" s="880">
        <v>2947</v>
      </c>
      <c r="P828" s="164">
        <v>0</v>
      </c>
      <c r="Q828" s="165">
        <v>0</v>
      </c>
      <c r="S828" s="7">
        <f t="shared" si="15"/>
        <v>0</v>
      </c>
      <c r="T828" s="1318">
        <f t="shared" si="16"/>
        <v>0</v>
      </c>
      <c r="U828" s="268"/>
    </row>
    <row r="829" spans="3:21" s="7" customFormat="1" ht="15">
      <c r="C829" s="6" t="s">
        <v>2560</v>
      </c>
      <c r="D829" s="13" t="s">
        <v>2547</v>
      </c>
      <c r="E829" s="18" t="s">
        <v>2548</v>
      </c>
      <c r="F829" s="23"/>
      <c r="G829" s="21"/>
      <c r="H829" s="55"/>
      <c r="I829" s="56"/>
      <c r="J829" s="55"/>
      <c r="K829" s="15" t="s">
        <v>8</v>
      </c>
      <c r="L829" s="688">
        <v>44266</v>
      </c>
      <c r="M829" s="688"/>
      <c r="N829" s="689">
        <v>44266</v>
      </c>
      <c r="O829" s="690">
        <v>2960</v>
      </c>
      <c r="P829" s="83"/>
      <c r="Q829" s="83"/>
      <c r="S829" s="7">
        <f t="shared" si="15"/>
        <v>0</v>
      </c>
      <c r="T829" s="1318">
        <f t="shared" si="16"/>
        <v>0</v>
      </c>
      <c r="U829" s="100"/>
    </row>
    <row r="830" spans="3:21" s="7" customFormat="1" ht="15">
      <c r="C830" s="6" t="s">
        <v>2560</v>
      </c>
      <c r="D830" s="13" t="s">
        <v>2547</v>
      </c>
      <c r="E830" s="740" t="s">
        <v>274</v>
      </c>
      <c r="F830" s="23"/>
      <c r="G830" s="21" t="s">
        <v>25</v>
      </c>
      <c r="H830" s="163">
        <v>10</v>
      </c>
      <c r="I830" s="163">
        <v>10</v>
      </c>
      <c r="J830" s="163">
        <v>10</v>
      </c>
      <c r="K830" s="597">
        <v>0.82</v>
      </c>
      <c r="L830" s="688">
        <v>44266</v>
      </c>
      <c r="M830" s="688"/>
      <c r="N830" s="689">
        <v>44266</v>
      </c>
      <c r="O830" s="690">
        <v>2960</v>
      </c>
      <c r="P830" s="83">
        <v>63</v>
      </c>
      <c r="Q830" s="83">
        <f>P830*J830</f>
        <v>630</v>
      </c>
      <c r="S830" s="7">
        <f t="shared" si="15"/>
        <v>63</v>
      </c>
      <c r="T830" s="1318">
        <f t="shared" si="16"/>
        <v>630</v>
      </c>
      <c r="U830" s="13"/>
    </row>
    <row r="831" spans="3:21" ht="15">
      <c r="C831" s="6" t="s">
        <v>2560</v>
      </c>
      <c r="D831" s="13" t="s">
        <v>2547</v>
      </c>
      <c r="E831" s="48"/>
      <c r="F831" s="38"/>
      <c r="G831" s="38" t="s">
        <v>13</v>
      </c>
      <c r="H831" s="39"/>
      <c r="I831" s="94"/>
      <c r="J831" s="39">
        <v>1</v>
      </c>
      <c r="K831" s="611">
        <v>12</v>
      </c>
      <c r="L831" s="688">
        <v>44266</v>
      </c>
      <c r="M831" s="688"/>
      <c r="N831" s="689">
        <v>44266</v>
      </c>
      <c r="O831" s="690">
        <v>2960</v>
      </c>
      <c r="P831" s="83">
        <v>900</v>
      </c>
      <c r="Q831" s="83">
        <f>P831*J831</f>
        <v>900</v>
      </c>
      <c r="S831" s="7">
        <f t="shared" si="15"/>
        <v>900</v>
      </c>
      <c r="T831" s="1318">
        <f t="shared" si="16"/>
        <v>900</v>
      </c>
      <c r="U831" s="22"/>
    </row>
    <row r="832" spans="3:21" s="159" customFormat="1" ht="15">
      <c r="C832" s="149" t="s">
        <v>2560</v>
      </c>
      <c r="D832" s="150" t="s">
        <v>2547</v>
      </c>
      <c r="E832" s="151"/>
      <c r="F832" s="152"/>
      <c r="G832" s="152" t="s">
        <v>168</v>
      </c>
      <c r="H832" s="154" t="s">
        <v>169</v>
      </c>
      <c r="I832" s="155"/>
      <c r="J832" s="153"/>
      <c r="K832" s="600">
        <v>0</v>
      </c>
      <c r="L832" s="601">
        <v>44266</v>
      </c>
      <c r="M832" s="601"/>
      <c r="N832" s="879">
        <v>44266</v>
      </c>
      <c r="O832" s="880">
        <v>2960</v>
      </c>
      <c r="P832" s="164">
        <v>0</v>
      </c>
      <c r="Q832" s="165">
        <v>0</v>
      </c>
      <c r="S832" s="7">
        <f t="shared" si="15"/>
        <v>0</v>
      </c>
      <c r="T832" s="1318">
        <f t="shared" si="16"/>
        <v>0</v>
      </c>
      <c r="U832" s="268"/>
    </row>
    <row r="833" spans="3:21" s="7" customFormat="1" ht="15">
      <c r="C833" s="6" t="s">
        <v>2561</v>
      </c>
      <c r="D833" s="13" t="s">
        <v>2521</v>
      </c>
      <c r="E833" s="18" t="s">
        <v>262</v>
      </c>
      <c r="F833" s="23"/>
      <c r="G833" s="21"/>
      <c r="H833" s="55"/>
      <c r="I833" s="56"/>
      <c r="J833" s="55"/>
      <c r="K833" s="15" t="s">
        <v>8</v>
      </c>
      <c r="L833" s="688">
        <v>44271</v>
      </c>
      <c r="M833" s="688"/>
      <c r="N833" s="689">
        <v>44271</v>
      </c>
      <c r="O833" s="690">
        <v>2973</v>
      </c>
      <c r="P833" s="83"/>
      <c r="Q833" s="83"/>
      <c r="S833" s="7">
        <f t="shared" si="15"/>
        <v>0</v>
      </c>
      <c r="T833" s="1318">
        <f t="shared" si="16"/>
        <v>0</v>
      </c>
      <c r="U833" s="100"/>
    </row>
    <row r="834" spans="3:21" ht="18" customHeight="1">
      <c r="C834" s="6" t="s">
        <v>2561</v>
      </c>
      <c r="D834" s="13" t="s">
        <v>2521</v>
      </c>
      <c r="E834" s="47" t="s">
        <v>2523</v>
      </c>
      <c r="F834" s="52">
        <v>112</v>
      </c>
      <c r="G834" s="47" t="s">
        <v>2525</v>
      </c>
      <c r="H834" s="17">
        <v>38.700000000000003</v>
      </c>
      <c r="I834" s="56">
        <v>1</v>
      </c>
      <c r="J834" s="17">
        <f>H834*I834</f>
        <v>38.700000000000003</v>
      </c>
      <c r="K834" s="611">
        <v>7.39</v>
      </c>
      <c r="L834" s="688">
        <v>44271</v>
      </c>
      <c r="M834" s="688"/>
      <c r="N834" s="689">
        <v>44271</v>
      </c>
      <c r="O834" s="690">
        <v>2973</v>
      </c>
      <c r="P834" s="83">
        <v>630</v>
      </c>
      <c r="Q834" s="83">
        <f>P834*J834</f>
        <v>24381</v>
      </c>
      <c r="S834" s="7">
        <f t="shared" si="15"/>
        <v>630</v>
      </c>
      <c r="T834" s="1318">
        <f t="shared" si="16"/>
        <v>24381</v>
      </c>
      <c r="U834" s="883" t="s">
        <v>2524</v>
      </c>
    </row>
    <row r="835" spans="3:21" ht="15">
      <c r="C835" s="6" t="s">
        <v>2561</v>
      </c>
      <c r="D835" s="13" t="s">
        <v>2521</v>
      </c>
      <c r="E835" s="48"/>
      <c r="F835" s="38"/>
      <c r="G835" s="38" t="s">
        <v>13</v>
      </c>
      <c r="H835" s="39"/>
      <c r="I835" s="94"/>
      <c r="J835" s="39">
        <v>1</v>
      </c>
      <c r="K835" s="611">
        <v>12</v>
      </c>
      <c r="L835" s="688">
        <v>44271</v>
      </c>
      <c r="M835" s="688"/>
      <c r="N835" s="689">
        <v>44271</v>
      </c>
      <c r="O835" s="690">
        <v>2973</v>
      </c>
      <c r="P835" s="83">
        <v>0</v>
      </c>
      <c r="Q835" s="83">
        <f>P835*J835</f>
        <v>0</v>
      </c>
      <c r="S835" s="7">
        <f t="shared" si="15"/>
        <v>0</v>
      </c>
      <c r="T835" s="1318">
        <f t="shared" si="16"/>
        <v>0</v>
      </c>
      <c r="U835" s="22"/>
    </row>
    <row r="836" spans="3:21" s="159" customFormat="1" ht="15">
      <c r="C836" s="149" t="s">
        <v>2561</v>
      </c>
      <c r="D836" s="150" t="s">
        <v>2521</v>
      </c>
      <c r="E836" s="151"/>
      <c r="F836" s="152"/>
      <c r="G836" s="152" t="s">
        <v>168</v>
      </c>
      <c r="H836" s="154" t="s">
        <v>169</v>
      </c>
      <c r="I836" s="155"/>
      <c r="J836" s="153"/>
      <c r="K836" s="600">
        <v>0</v>
      </c>
      <c r="L836" s="601">
        <v>44271</v>
      </c>
      <c r="M836" s="601"/>
      <c r="N836" s="879">
        <v>44271</v>
      </c>
      <c r="O836" s="880">
        <v>2973</v>
      </c>
      <c r="P836" s="164">
        <v>0</v>
      </c>
      <c r="Q836" s="165">
        <v>0</v>
      </c>
      <c r="S836" s="7">
        <f t="shared" si="15"/>
        <v>0</v>
      </c>
      <c r="T836" s="1318">
        <f t="shared" si="16"/>
        <v>0</v>
      </c>
      <c r="U836" s="268"/>
    </row>
    <row r="837" spans="3:21" s="7" customFormat="1" ht="18" customHeight="1">
      <c r="C837" s="6" t="s">
        <v>2562</v>
      </c>
      <c r="D837" s="13" t="s">
        <v>2539</v>
      </c>
      <c r="E837" s="18" t="s">
        <v>12</v>
      </c>
      <c r="F837" s="92"/>
      <c r="G837" s="21"/>
      <c r="H837" s="93"/>
      <c r="I837" s="94"/>
      <c r="J837" s="93"/>
      <c r="K837" s="28" t="s">
        <v>8</v>
      </c>
      <c r="L837" s="688">
        <v>44280</v>
      </c>
      <c r="M837" s="688"/>
      <c r="N837" s="689">
        <v>44280</v>
      </c>
      <c r="O837" s="690">
        <v>2974</v>
      </c>
      <c r="P837" s="83"/>
      <c r="Q837" s="83"/>
      <c r="S837" s="7">
        <f t="shared" si="15"/>
        <v>0</v>
      </c>
      <c r="T837" s="1318">
        <f t="shared" si="16"/>
        <v>0</v>
      </c>
      <c r="U837" s="13"/>
    </row>
    <row r="838" spans="3:21" s="7" customFormat="1" ht="18" customHeight="1">
      <c r="C838" s="6" t="s">
        <v>2562</v>
      </c>
      <c r="D838" s="13" t="s">
        <v>2539</v>
      </c>
      <c r="E838" s="21" t="s">
        <v>107</v>
      </c>
      <c r="F838" s="92">
        <v>160</v>
      </c>
      <c r="G838" s="21" t="s">
        <v>2541</v>
      </c>
      <c r="H838" s="8">
        <v>15</v>
      </c>
      <c r="I838" s="8">
        <v>15</v>
      </c>
      <c r="J838" s="8">
        <v>15</v>
      </c>
      <c r="K838" s="40">
        <v>4.45</v>
      </c>
      <c r="L838" s="688">
        <v>44280</v>
      </c>
      <c r="M838" s="688"/>
      <c r="N838" s="689">
        <v>44280</v>
      </c>
      <c r="O838" s="690">
        <v>2974</v>
      </c>
      <c r="P838" s="83">
        <v>320</v>
      </c>
      <c r="Q838" s="83">
        <f>P838*J838</f>
        <v>4800</v>
      </c>
      <c r="S838" s="7">
        <f t="shared" si="15"/>
        <v>320</v>
      </c>
      <c r="T838" s="1318">
        <f t="shared" si="16"/>
        <v>4800</v>
      </c>
      <c r="U838" s="20"/>
    </row>
    <row r="839" spans="3:21" s="7" customFormat="1" ht="16.899999999999999" customHeight="1">
      <c r="C839" s="6" t="s">
        <v>2562</v>
      </c>
      <c r="D839" s="13" t="s">
        <v>2539</v>
      </c>
      <c r="E839" s="21"/>
      <c r="F839" s="285"/>
      <c r="G839" s="38" t="s">
        <v>2543</v>
      </c>
      <c r="H839" s="8"/>
      <c r="I839" s="94" ph="1"/>
      <c r="J839" s="39">
        <v>1</v>
      </c>
      <c r="K839" s="40">
        <v>15</v>
      </c>
      <c r="L839" s="688">
        <v>44280</v>
      </c>
      <c r="M839" s="688"/>
      <c r="N839" s="689">
        <v>44280</v>
      </c>
      <c r="O839" s="690">
        <v>2974</v>
      </c>
      <c r="P839" s="83">
        <v>1000</v>
      </c>
      <c r="Q839" s="83">
        <f>P839*J839</f>
        <v>1000</v>
      </c>
      <c r="S839" s="7">
        <f t="shared" si="15"/>
        <v>1000</v>
      </c>
      <c r="T839" s="1318">
        <f t="shared" si="16"/>
        <v>1000</v>
      </c>
      <c r="U839" s="20"/>
    </row>
    <row r="840" spans="3:21" s="7" customFormat="1" ht="16.899999999999999" customHeight="1">
      <c r="C840" s="6" t="s">
        <v>2562</v>
      </c>
      <c r="D840" s="13" t="s">
        <v>2539</v>
      </c>
      <c r="E840" s="21"/>
      <c r="F840" s="285"/>
      <c r="G840" s="38" t="s">
        <v>13</v>
      </c>
      <c r="H840" s="8"/>
      <c r="I840" s="94" ph="1"/>
      <c r="J840" s="39">
        <v>1</v>
      </c>
      <c r="K840" s="40">
        <v>20</v>
      </c>
      <c r="L840" s="688">
        <v>44280</v>
      </c>
      <c r="M840" s="688"/>
      <c r="N840" s="689">
        <v>44280</v>
      </c>
      <c r="O840" s="690">
        <v>2974</v>
      </c>
      <c r="P840" s="83">
        <v>1000</v>
      </c>
      <c r="Q840" s="83">
        <v>1000</v>
      </c>
      <c r="S840" s="7">
        <f t="shared" si="15"/>
        <v>1000</v>
      </c>
      <c r="T840" s="1318">
        <f t="shared" si="16"/>
        <v>1000</v>
      </c>
      <c r="U840" s="20"/>
    </row>
    <row r="841" spans="3:21" s="159" customFormat="1" ht="15">
      <c r="C841" s="149" t="s">
        <v>2562</v>
      </c>
      <c r="D841" s="150" t="s">
        <v>2539</v>
      </c>
      <c r="E841" s="151"/>
      <c r="F841" s="152"/>
      <c r="G841" s="152" t="s">
        <v>168</v>
      </c>
      <c r="H841" s="154" t="s">
        <v>169</v>
      </c>
      <c r="I841" s="155"/>
      <c r="J841" s="153"/>
      <c r="K841" s="885">
        <v>0</v>
      </c>
      <c r="L841" s="601">
        <v>44280</v>
      </c>
      <c r="M841" s="601"/>
      <c r="N841" s="879">
        <v>44280</v>
      </c>
      <c r="O841" s="880">
        <v>2974</v>
      </c>
      <c r="P841" s="164">
        <v>0</v>
      </c>
      <c r="Q841" s="165">
        <v>0</v>
      </c>
      <c r="S841" s="7">
        <f t="shared" si="15"/>
        <v>0</v>
      </c>
      <c r="T841" s="1318">
        <f t="shared" si="16"/>
        <v>0</v>
      </c>
      <c r="U841" s="268"/>
    </row>
    <row r="842" spans="3:21" s="7" customFormat="1" ht="15">
      <c r="C842" s="6" t="s">
        <v>2563</v>
      </c>
      <c r="D842" s="13" t="s">
        <v>2269</v>
      </c>
      <c r="E842" s="18" t="s">
        <v>2516</v>
      </c>
      <c r="F842" s="23"/>
      <c r="G842" s="21"/>
      <c r="H842" s="55"/>
      <c r="I842" s="56"/>
      <c r="J842" s="55"/>
      <c r="K842" s="15" t="s">
        <v>148</v>
      </c>
      <c r="L842" s="688">
        <v>44291</v>
      </c>
      <c r="M842" s="688"/>
      <c r="N842" s="689">
        <v>44291</v>
      </c>
      <c r="O842" s="690">
        <v>3042</v>
      </c>
      <c r="P842" s="83"/>
      <c r="Q842" s="83"/>
      <c r="S842" s="7">
        <f t="shared" si="15"/>
        <v>0</v>
      </c>
      <c r="T842" s="1318">
        <f t="shared" si="16"/>
        <v>0</v>
      </c>
      <c r="U842" s="100"/>
    </row>
    <row r="843" spans="3:21" s="7" customFormat="1" ht="15">
      <c r="C843" s="6" t="s">
        <v>2563</v>
      </c>
      <c r="D843" s="13" t="s">
        <v>2269</v>
      </c>
      <c r="E843" s="740" t="s">
        <v>2519</v>
      </c>
      <c r="F843" s="23"/>
      <c r="G843" s="21" t="s">
        <v>52</v>
      </c>
      <c r="H843" s="882">
        <v>650</v>
      </c>
      <c r="I843" s="882">
        <v>650</v>
      </c>
      <c r="J843" s="882">
        <v>650</v>
      </c>
      <c r="K843" s="597">
        <v>3.32</v>
      </c>
      <c r="L843" s="688">
        <v>44291</v>
      </c>
      <c r="M843" s="688"/>
      <c r="N843" s="689">
        <v>44291</v>
      </c>
      <c r="O843" s="690">
        <v>3042</v>
      </c>
      <c r="P843" s="83">
        <v>255</v>
      </c>
      <c r="Q843" s="83">
        <f>P843*J843</f>
        <v>165750</v>
      </c>
      <c r="S843" s="7">
        <f t="shared" si="15"/>
        <v>255</v>
      </c>
      <c r="T843" s="1318">
        <f t="shared" si="16"/>
        <v>165750</v>
      </c>
      <c r="U843" s="13"/>
    </row>
    <row r="844" spans="3:21" s="159" customFormat="1" ht="15">
      <c r="C844" s="149" t="s">
        <v>2563</v>
      </c>
      <c r="D844" s="150" t="s">
        <v>2269</v>
      </c>
      <c r="E844" s="151"/>
      <c r="F844" s="152"/>
      <c r="G844" s="152" t="s">
        <v>168</v>
      </c>
      <c r="H844" s="154" t="s">
        <v>169</v>
      </c>
      <c r="I844" s="155"/>
      <c r="J844" s="153"/>
      <c r="K844" s="600">
        <v>0</v>
      </c>
      <c r="L844" s="601">
        <v>44291</v>
      </c>
      <c r="M844" s="601"/>
      <c r="N844" s="879">
        <v>44291</v>
      </c>
      <c r="O844" s="880">
        <v>3042</v>
      </c>
      <c r="P844" s="164">
        <v>0</v>
      </c>
      <c r="Q844" s="165">
        <v>0</v>
      </c>
      <c r="S844" s="7">
        <f t="shared" si="15"/>
        <v>0</v>
      </c>
      <c r="T844" s="1318">
        <f t="shared" si="16"/>
        <v>0</v>
      </c>
      <c r="U844" s="268"/>
    </row>
    <row r="845" spans="3:21" s="7" customFormat="1" ht="18" customHeight="1">
      <c r="C845" s="6" t="s">
        <v>2564</v>
      </c>
      <c r="D845" s="13" t="s">
        <v>2539</v>
      </c>
      <c r="E845" s="18" t="s">
        <v>262</v>
      </c>
      <c r="F845" s="92"/>
      <c r="G845" s="21"/>
      <c r="H845" s="93"/>
      <c r="I845" s="94"/>
      <c r="J845" s="93"/>
      <c r="K845" s="28" t="s">
        <v>8</v>
      </c>
      <c r="L845" s="688">
        <v>44280</v>
      </c>
      <c r="M845" s="688"/>
      <c r="N845" s="689">
        <v>44280</v>
      </c>
      <c r="O845" s="690">
        <v>2982</v>
      </c>
      <c r="P845" s="83"/>
      <c r="Q845" s="83"/>
      <c r="S845" s="7">
        <f t="shared" si="15"/>
        <v>0</v>
      </c>
      <c r="T845" s="1318">
        <f t="shared" si="16"/>
        <v>0</v>
      </c>
      <c r="U845" s="13"/>
    </row>
    <row r="846" spans="3:21" s="7" customFormat="1" ht="18" customHeight="1">
      <c r="C846" s="6" t="s">
        <v>2564</v>
      </c>
      <c r="D846" s="13" t="s">
        <v>2539</v>
      </c>
      <c r="E846" s="21" t="s">
        <v>244</v>
      </c>
      <c r="F846" s="92">
        <v>150</v>
      </c>
      <c r="G846" s="21" t="s">
        <v>2565</v>
      </c>
      <c r="H846" s="8">
        <v>15</v>
      </c>
      <c r="I846" s="8">
        <v>15</v>
      </c>
      <c r="J846" s="8">
        <v>15</v>
      </c>
      <c r="K846" s="40">
        <v>22.23</v>
      </c>
      <c r="L846" s="688">
        <v>44280</v>
      </c>
      <c r="M846" s="688"/>
      <c r="N846" s="689">
        <v>44280</v>
      </c>
      <c r="O846" s="690">
        <v>2982</v>
      </c>
      <c r="P846" s="83">
        <v>1600</v>
      </c>
      <c r="Q846" s="83">
        <f>P846*J846</f>
        <v>24000</v>
      </c>
      <c r="S846" s="7">
        <f t="shared" si="15"/>
        <v>1600</v>
      </c>
      <c r="T846" s="1318">
        <f t="shared" si="16"/>
        <v>24000</v>
      </c>
      <c r="U846" s="20"/>
    </row>
    <row r="847" spans="3:21" s="7" customFormat="1" ht="16.899999999999999" customHeight="1">
      <c r="C847" s="6" t="s">
        <v>2564</v>
      </c>
      <c r="D847" s="13" t="s">
        <v>2539</v>
      </c>
      <c r="E847" s="21"/>
      <c r="F847" s="285"/>
      <c r="G847" s="38" t="s">
        <v>2543</v>
      </c>
      <c r="H847" s="8"/>
      <c r="I847" s="94" ph="1"/>
      <c r="J847" s="39">
        <v>1</v>
      </c>
      <c r="K847" s="40">
        <v>15</v>
      </c>
      <c r="L847" s="688">
        <v>44280</v>
      </c>
      <c r="M847" s="688"/>
      <c r="N847" s="689">
        <v>44280</v>
      </c>
      <c r="O847" s="690">
        <v>2982</v>
      </c>
      <c r="P847" s="83">
        <v>1000</v>
      </c>
      <c r="Q847" s="83">
        <f>P847*J847</f>
        <v>1000</v>
      </c>
      <c r="S847" s="7">
        <f t="shared" si="15"/>
        <v>1000</v>
      </c>
      <c r="T847" s="1318">
        <f t="shared" si="16"/>
        <v>1000</v>
      </c>
      <c r="U847" s="20"/>
    </row>
    <row r="848" spans="3:21" s="7" customFormat="1" ht="16.899999999999999" customHeight="1">
      <c r="C848" s="6" t="s">
        <v>2564</v>
      </c>
      <c r="D848" s="13" t="s">
        <v>2539</v>
      </c>
      <c r="E848" s="21"/>
      <c r="F848" s="285"/>
      <c r="G848" s="38" t="s">
        <v>13</v>
      </c>
      <c r="H848" s="8"/>
      <c r="I848" s="94" ph="1"/>
      <c r="J848" s="39">
        <v>1</v>
      </c>
      <c r="K848" s="40">
        <v>20</v>
      </c>
      <c r="L848" s="688">
        <v>44280</v>
      </c>
      <c r="M848" s="688"/>
      <c r="N848" s="689">
        <v>44280</v>
      </c>
      <c r="O848" s="690">
        <v>2982</v>
      </c>
      <c r="P848" s="83">
        <v>1000</v>
      </c>
      <c r="Q848" s="83">
        <f>P848*J848</f>
        <v>1000</v>
      </c>
      <c r="S848" s="7">
        <f t="shared" si="15"/>
        <v>1000</v>
      </c>
      <c r="T848" s="1318">
        <f t="shared" si="16"/>
        <v>1000</v>
      </c>
      <c r="U848" s="20"/>
    </row>
    <row r="849" spans="3:21" s="159" customFormat="1" ht="15">
      <c r="C849" s="149" t="s">
        <v>2564</v>
      </c>
      <c r="D849" s="150" t="s">
        <v>2539</v>
      </c>
      <c r="E849" s="151"/>
      <c r="F849" s="152"/>
      <c r="G849" s="152" t="s">
        <v>168</v>
      </c>
      <c r="H849" s="154" t="s">
        <v>169</v>
      </c>
      <c r="I849" s="155"/>
      <c r="J849" s="153"/>
      <c r="K849" s="600">
        <v>0</v>
      </c>
      <c r="L849" s="601">
        <v>44280</v>
      </c>
      <c r="M849" s="601"/>
      <c r="N849" s="879">
        <v>44280</v>
      </c>
      <c r="O849" s="880">
        <v>2982</v>
      </c>
      <c r="P849" s="164">
        <v>0</v>
      </c>
      <c r="Q849" s="165">
        <v>0</v>
      </c>
      <c r="S849" s="7">
        <f t="shared" si="15"/>
        <v>0</v>
      </c>
      <c r="T849" s="1318">
        <f t="shared" si="16"/>
        <v>0</v>
      </c>
      <c r="U849" s="268"/>
    </row>
    <row r="850" spans="3:21" s="7" customFormat="1" ht="15">
      <c r="C850" s="6" t="s">
        <v>2566</v>
      </c>
      <c r="D850" s="13" t="s">
        <v>2269</v>
      </c>
      <c r="E850" s="18" t="s">
        <v>2567</v>
      </c>
      <c r="F850" s="23"/>
      <c r="G850" s="21"/>
      <c r="H850" s="55"/>
      <c r="I850" s="56"/>
      <c r="J850" s="55"/>
      <c r="K850" s="15" t="s">
        <v>148</v>
      </c>
      <c r="L850" s="688">
        <v>44279</v>
      </c>
      <c r="M850" s="688"/>
      <c r="N850" s="689">
        <v>44279</v>
      </c>
      <c r="O850" s="690">
        <v>3000</v>
      </c>
      <c r="P850" s="83"/>
      <c r="Q850" s="83"/>
      <c r="S850" s="7">
        <f t="shared" si="15"/>
        <v>0</v>
      </c>
      <c r="T850" s="1318">
        <f t="shared" si="16"/>
        <v>0</v>
      </c>
      <c r="U850" s="100"/>
    </row>
    <row r="851" spans="3:21" s="7" customFormat="1" ht="15">
      <c r="C851" s="6" t="s">
        <v>2566</v>
      </c>
      <c r="D851" s="13" t="s">
        <v>2269</v>
      </c>
      <c r="E851" s="740" t="s">
        <v>2568</v>
      </c>
      <c r="F851" s="23"/>
      <c r="G851" s="21" t="s">
        <v>46</v>
      </c>
      <c r="H851" s="882">
        <v>1</v>
      </c>
      <c r="I851" s="882">
        <v>1</v>
      </c>
      <c r="J851" s="882">
        <v>1</v>
      </c>
      <c r="K851" s="597">
        <v>2.21</v>
      </c>
      <c r="L851" s="688">
        <v>44279</v>
      </c>
      <c r="M851" s="688"/>
      <c r="N851" s="689">
        <v>44279</v>
      </c>
      <c r="O851" s="690">
        <v>3000</v>
      </c>
      <c r="P851" s="83">
        <v>170</v>
      </c>
      <c r="Q851" s="83">
        <f>P851*J851</f>
        <v>170</v>
      </c>
      <c r="S851" s="7">
        <f t="shared" ref="S851:S914" si="18">P851</f>
        <v>170</v>
      </c>
      <c r="T851" s="1318">
        <f t="shared" si="16"/>
        <v>170</v>
      </c>
      <c r="U851" s="13"/>
    </row>
    <row r="852" spans="3:21" s="7" customFormat="1" ht="15">
      <c r="C852" s="6" t="s">
        <v>2566</v>
      </c>
      <c r="D852" s="13" t="s">
        <v>2269</v>
      </c>
      <c r="E852" s="740" t="s">
        <v>2569</v>
      </c>
      <c r="F852" s="23"/>
      <c r="G852" s="21" t="s">
        <v>46</v>
      </c>
      <c r="H852" s="882">
        <v>1</v>
      </c>
      <c r="I852" s="882">
        <v>1</v>
      </c>
      <c r="J852" s="882">
        <v>1</v>
      </c>
      <c r="K852" s="597">
        <v>2.2799999999999998</v>
      </c>
      <c r="L852" s="688">
        <v>44279</v>
      </c>
      <c r="M852" s="688"/>
      <c r="N852" s="689">
        <v>44279</v>
      </c>
      <c r="O852" s="690">
        <v>3000</v>
      </c>
      <c r="P852" s="83">
        <v>175</v>
      </c>
      <c r="Q852" s="83">
        <f>P852*J852</f>
        <v>175</v>
      </c>
      <c r="S852" s="7">
        <f t="shared" si="18"/>
        <v>175</v>
      </c>
      <c r="T852" s="1318">
        <f t="shared" ref="T852:T915" si="19">Q852</f>
        <v>175</v>
      </c>
      <c r="U852" s="13"/>
    </row>
    <row r="853" spans="3:21" s="7" customFormat="1" ht="15">
      <c r="C853" s="6" t="s">
        <v>2566</v>
      </c>
      <c r="D853" s="13" t="s">
        <v>2269</v>
      </c>
      <c r="E853" s="740" t="s">
        <v>2570</v>
      </c>
      <c r="F853" s="23"/>
      <c r="G853" s="21" t="s">
        <v>46</v>
      </c>
      <c r="H853" s="882">
        <v>1</v>
      </c>
      <c r="I853" s="882">
        <v>1</v>
      </c>
      <c r="J853" s="882">
        <v>1</v>
      </c>
      <c r="K853" s="597">
        <v>2.6</v>
      </c>
      <c r="L853" s="688">
        <v>44279</v>
      </c>
      <c r="M853" s="688"/>
      <c r="N853" s="689">
        <v>44279</v>
      </c>
      <c r="O853" s="690">
        <v>3000</v>
      </c>
      <c r="P853" s="83">
        <v>200</v>
      </c>
      <c r="Q853" s="83">
        <f>P853*J853</f>
        <v>200</v>
      </c>
      <c r="S853" s="7">
        <f t="shared" si="18"/>
        <v>200</v>
      </c>
      <c r="T853" s="1318">
        <f t="shared" si="19"/>
        <v>200</v>
      </c>
      <c r="U853" s="13"/>
    </row>
    <row r="854" spans="3:21" s="7" customFormat="1" ht="15">
      <c r="C854" s="6" t="s">
        <v>2566</v>
      </c>
      <c r="D854" s="13" t="s">
        <v>2269</v>
      </c>
      <c r="E854" s="740" t="s">
        <v>2571</v>
      </c>
      <c r="F854" s="23"/>
      <c r="G854" s="21" t="s">
        <v>46</v>
      </c>
      <c r="H854" s="882">
        <v>1</v>
      </c>
      <c r="I854" s="882">
        <v>1</v>
      </c>
      <c r="J854" s="882">
        <v>1</v>
      </c>
      <c r="K854" s="597">
        <v>2.41</v>
      </c>
      <c r="L854" s="688">
        <v>44279</v>
      </c>
      <c r="M854" s="688"/>
      <c r="N854" s="689">
        <v>44279</v>
      </c>
      <c r="O854" s="690">
        <v>3000</v>
      </c>
      <c r="P854" s="83">
        <v>185</v>
      </c>
      <c r="Q854" s="83">
        <f>P854*J854</f>
        <v>185</v>
      </c>
      <c r="S854" s="7">
        <f t="shared" si="18"/>
        <v>185</v>
      </c>
      <c r="T854" s="1318">
        <f t="shared" si="19"/>
        <v>185</v>
      </c>
      <c r="U854" s="13"/>
    </row>
    <row r="855" spans="3:21" s="7" customFormat="1" ht="15">
      <c r="C855" s="6" t="s">
        <v>2566</v>
      </c>
      <c r="D855" s="13" t="s">
        <v>2269</v>
      </c>
      <c r="E855" s="886" t="s">
        <v>2572</v>
      </c>
      <c r="F855" s="23"/>
      <c r="G855" s="21"/>
      <c r="H855" s="882"/>
      <c r="I855" s="882"/>
      <c r="J855" s="882"/>
      <c r="K855" s="15" t="s">
        <v>2573</v>
      </c>
      <c r="L855" s="688">
        <v>44279</v>
      </c>
      <c r="M855" s="688"/>
      <c r="N855" s="689">
        <v>44279</v>
      </c>
      <c r="O855" s="690">
        <v>3000</v>
      </c>
      <c r="P855" s="83"/>
      <c r="Q855" s="83"/>
      <c r="S855" s="7">
        <f t="shared" si="18"/>
        <v>0</v>
      </c>
      <c r="T855" s="1318">
        <f t="shared" si="19"/>
        <v>0</v>
      </c>
      <c r="U855" s="13"/>
    </row>
    <row r="856" spans="3:21" s="7" customFormat="1" ht="15">
      <c r="C856" s="6" t="s">
        <v>2566</v>
      </c>
      <c r="D856" s="13" t="s">
        <v>2269</v>
      </c>
      <c r="E856" s="740" t="s">
        <v>2574</v>
      </c>
      <c r="F856" s="23"/>
      <c r="G856" s="21" t="s">
        <v>46</v>
      </c>
      <c r="H856" s="887">
        <v>1</v>
      </c>
      <c r="I856" s="887">
        <v>1</v>
      </c>
      <c r="J856" s="887">
        <v>1</v>
      </c>
      <c r="K856" s="597">
        <v>4.16</v>
      </c>
      <c r="L856" s="688">
        <v>44279</v>
      </c>
      <c r="M856" s="688"/>
      <c r="N856" s="689">
        <v>44279</v>
      </c>
      <c r="O856" s="690">
        <v>3000</v>
      </c>
      <c r="P856" s="83">
        <v>320</v>
      </c>
      <c r="Q856" s="83">
        <f>P856*J856</f>
        <v>320</v>
      </c>
      <c r="S856" s="7">
        <f t="shared" si="18"/>
        <v>320</v>
      </c>
      <c r="T856" s="1318">
        <f t="shared" si="19"/>
        <v>320</v>
      </c>
      <c r="U856" s="13"/>
    </row>
    <row r="857" spans="3:21" s="7" customFormat="1" ht="15">
      <c r="C857" s="6" t="s">
        <v>2566</v>
      </c>
      <c r="D857" s="13" t="s">
        <v>2269</v>
      </c>
      <c r="E857" s="740" t="s">
        <v>2575</v>
      </c>
      <c r="F857" s="23"/>
      <c r="G857" s="21" t="s">
        <v>46</v>
      </c>
      <c r="H857" s="887">
        <v>1</v>
      </c>
      <c r="I857" s="887">
        <v>1</v>
      </c>
      <c r="J857" s="887">
        <v>1</v>
      </c>
      <c r="K857" s="597">
        <v>8.58</v>
      </c>
      <c r="L857" s="688">
        <v>44279</v>
      </c>
      <c r="M857" s="688"/>
      <c r="N857" s="689">
        <v>44279</v>
      </c>
      <c r="O857" s="690">
        <v>3000</v>
      </c>
      <c r="P857" s="83">
        <v>660</v>
      </c>
      <c r="Q857" s="83">
        <f>P857*J857</f>
        <v>660</v>
      </c>
      <c r="S857" s="7">
        <f t="shared" si="18"/>
        <v>660</v>
      </c>
      <c r="T857" s="1318">
        <f t="shared" si="19"/>
        <v>660</v>
      </c>
      <c r="U857" s="13"/>
    </row>
    <row r="858" spans="3:21" s="7" customFormat="1" ht="16.899999999999999" customHeight="1">
      <c r="C858" s="6" t="s">
        <v>2566</v>
      </c>
      <c r="D858" s="13" t="s">
        <v>2269</v>
      </c>
      <c r="E858" s="21"/>
      <c r="F858" s="285"/>
      <c r="G858" s="38" t="s">
        <v>13</v>
      </c>
      <c r="H858" s="8"/>
      <c r="I858" s="94" ph="1"/>
      <c r="J858" s="39">
        <v>1</v>
      </c>
      <c r="K858" s="611">
        <v>15</v>
      </c>
      <c r="L858" s="688">
        <v>44279</v>
      </c>
      <c r="M858" s="688"/>
      <c r="N858" s="689">
        <v>44279</v>
      </c>
      <c r="O858" s="690">
        <v>3000</v>
      </c>
      <c r="P858" s="83">
        <f>300+900</f>
        <v>1200</v>
      </c>
      <c r="Q858" s="83">
        <f>300+900</f>
        <v>1200</v>
      </c>
      <c r="S858" s="7">
        <f t="shared" si="18"/>
        <v>1200</v>
      </c>
      <c r="T858" s="1318">
        <f t="shared" si="19"/>
        <v>1200</v>
      </c>
      <c r="U858" s="20"/>
    </row>
    <row r="859" spans="3:21" s="159" customFormat="1" ht="15">
      <c r="C859" s="149" t="s">
        <v>2566</v>
      </c>
      <c r="D859" s="150" t="s">
        <v>2269</v>
      </c>
      <c r="E859" s="151"/>
      <c r="F859" s="152"/>
      <c r="G859" s="152" t="s">
        <v>168</v>
      </c>
      <c r="H859" s="154" t="s">
        <v>169</v>
      </c>
      <c r="I859" s="155"/>
      <c r="J859" s="153"/>
      <c r="K859" s="600">
        <v>0</v>
      </c>
      <c r="L859" s="601">
        <v>44279</v>
      </c>
      <c r="M859" s="601"/>
      <c r="N859" s="879">
        <v>44279</v>
      </c>
      <c r="O859" s="880">
        <v>3000</v>
      </c>
      <c r="P859" s="164">
        <v>0</v>
      </c>
      <c r="Q859" s="165">
        <v>0</v>
      </c>
      <c r="S859" s="7">
        <f t="shared" si="18"/>
        <v>0</v>
      </c>
      <c r="T859" s="1318">
        <f t="shared" si="19"/>
        <v>0</v>
      </c>
      <c r="U859" s="268"/>
    </row>
    <row r="860" spans="3:21" s="7" customFormat="1" ht="15">
      <c r="C860" s="6" t="s">
        <v>2576</v>
      </c>
      <c r="D860" s="13" t="s">
        <v>2577</v>
      </c>
      <c r="E860" s="18" t="s">
        <v>2185</v>
      </c>
      <c r="F860" s="23"/>
      <c r="G860" s="21"/>
      <c r="H860" s="55"/>
      <c r="I860" s="56"/>
      <c r="J860" s="55"/>
      <c r="K860" s="28" t="s">
        <v>8</v>
      </c>
      <c r="L860" s="688">
        <v>44309</v>
      </c>
      <c r="M860" s="688"/>
      <c r="N860" s="689">
        <v>44309</v>
      </c>
      <c r="O860" s="690">
        <v>3086</v>
      </c>
      <c r="P860" s="83"/>
      <c r="Q860" s="83"/>
      <c r="S860" s="7">
        <f t="shared" si="18"/>
        <v>0</v>
      </c>
      <c r="T860" s="1318">
        <f t="shared" si="19"/>
        <v>0</v>
      </c>
      <c r="U860" s="100"/>
    </row>
    <row r="861" spans="3:21" s="7" customFormat="1" ht="15">
      <c r="C861" s="6" t="s">
        <v>2576</v>
      </c>
      <c r="D861" s="13" t="s">
        <v>2577</v>
      </c>
      <c r="E861" s="740" t="s">
        <v>259</v>
      </c>
      <c r="F861" s="23"/>
      <c r="G861" s="21" t="s">
        <v>46</v>
      </c>
      <c r="H861" s="8">
        <v>1</v>
      </c>
      <c r="I861" s="8">
        <v>1</v>
      </c>
      <c r="J861" s="8">
        <v>1</v>
      </c>
      <c r="K861" s="597">
        <f t="shared" ref="K861:K871" si="20">ROUNDUP(P861/0.7/110,2)</f>
        <v>3.07</v>
      </c>
      <c r="L861" s="688">
        <v>44309</v>
      </c>
      <c r="M861" s="688"/>
      <c r="N861" s="689">
        <v>44309</v>
      </c>
      <c r="O861" s="690">
        <v>3086</v>
      </c>
      <c r="P861" s="83">
        <v>236</v>
      </c>
      <c r="Q861" s="83">
        <f t="shared" ref="Q861:Q868" si="21">P861*J861</f>
        <v>236</v>
      </c>
      <c r="S861" s="7">
        <f t="shared" si="18"/>
        <v>236</v>
      </c>
      <c r="T861" s="1318">
        <f t="shared" si="19"/>
        <v>236</v>
      </c>
      <c r="U861" s="13"/>
    </row>
    <row r="862" spans="3:21" s="7" customFormat="1" ht="15">
      <c r="C862" s="6" t="s">
        <v>2576</v>
      </c>
      <c r="D862" s="13" t="s">
        <v>2577</v>
      </c>
      <c r="E862" s="740" t="s">
        <v>76</v>
      </c>
      <c r="F862" s="23"/>
      <c r="G862" s="21" t="s">
        <v>46</v>
      </c>
      <c r="H862" s="8">
        <v>2</v>
      </c>
      <c r="I862" s="8">
        <v>2</v>
      </c>
      <c r="J862" s="8">
        <v>2</v>
      </c>
      <c r="K862" s="597">
        <f t="shared" si="20"/>
        <v>2.2599999999999998</v>
      </c>
      <c r="L862" s="688">
        <v>44309</v>
      </c>
      <c r="M862" s="688"/>
      <c r="N862" s="689">
        <v>44309</v>
      </c>
      <c r="O862" s="690">
        <v>3086</v>
      </c>
      <c r="P862" s="83">
        <v>174</v>
      </c>
      <c r="Q862" s="83">
        <f t="shared" si="21"/>
        <v>348</v>
      </c>
      <c r="S862" s="7">
        <f t="shared" si="18"/>
        <v>174</v>
      </c>
      <c r="T862" s="1318">
        <f t="shared" si="19"/>
        <v>348</v>
      </c>
      <c r="U862" s="13"/>
    </row>
    <row r="863" spans="3:21" s="7" customFormat="1" ht="15">
      <c r="C863" s="6" t="s">
        <v>2576</v>
      </c>
      <c r="D863" s="13" t="s">
        <v>2577</v>
      </c>
      <c r="E863" s="740" t="s">
        <v>2578</v>
      </c>
      <c r="F863" s="23"/>
      <c r="G863" s="21" t="s">
        <v>46</v>
      </c>
      <c r="H863" s="8">
        <v>1</v>
      </c>
      <c r="I863" s="8">
        <v>1</v>
      </c>
      <c r="J863" s="8">
        <v>1</v>
      </c>
      <c r="K863" s="597">
        <f t="shared" si="20"/>
        <v>2.9299999999999997</v>
      </c>
      <c r="L863" s="688">
        <v>44309</v>
      </c>
      <c r="M863" s="688"/>
      <c r="N863" s="689">
        <v>44309</v>
      </c>
      <c r="O863" s="690">
        <v>3086</v>
      </c>
      <c r="P863" s="83">
        <v>225</v>
      </c>
      <c r="Q863" s="83">
        <f t="shared" si="21"/>
        <v>225</v>
      </c>
      <c r="S863" s="7">
        <f t="shared" si="18"/>
        <v>225</v>
      </c>
      <c r="T863" s="1318">
        <f t="shared" si="19"/>
        <v>225</v>
      </c>
      <c r="U863" s="13"/>
    </row>
    <row r="864" spans="3:21" s="7" customFormat="1" ht="15">
      <c r="C864" s="6" t="s">
        <v>2576</v>
      </c>
      <c r="D864" s="13" t="s">
        <v>2577</v>
      </c>
      <c r="E864" s="740" t="s">
        <v>134</v>
      </c>
      <c r="F864" s="23"/>
      <c r="G864" s="21" t="s">
        <v>46</v>
      </c>
      <c r="H864" s="8">
        <v>1</v>
      </c>
      <c r="I864" s="8">
        <v>1</v>
      </c>
      <c r="J864" s="8">
        <v>1</v>
      </c>
      <c r="K864" s="597">
        <f t="shared" si="20"/>
        <v>3.63</v>
      </c>
      <c r="L864" s="688">
        <v>44309</v>
      </c>
      <c r="M864" s="688"/>
      <c r="N864" s="689">
        <v>44309</v>
      </c>
      <c r="O864" s="690">
        <v>3086</v>
      </c>
      <c r="P864" s="83">
        <v>279</v>
      </c>
      <c r="Q864" s="83">
        <f t="shared" si="21"/>
        <v>279</v>
      </c>
      <c r="S864" s="7">
        <f t="shared" si="18"/>
        <v>279</v>
      </c>
      <c r="T864" s="1318">
        <f t="shared" si="19"/>
        <v>279</v>
      </c>
      <c r="U864" s="13"/>
    </row>
    <row r="865" spans="3:21" s="7" customFormat="1" ht="15">
      <c r="C865" s="6" t="s">
        <v>2576</v>
      </c>
      <c r="D865" s="13" t="s">
        <v>2577</v>
      </c>
      <c r="E865" s="740" t="s">
        <v>2090</v>
      </c>
      <c r="F865" s="23"/>
      <c r="G865" s="21" t="s">
        <v>46</v>
      </c>
      <c r="H865" s="8">
        <v>1</v>
      </c>
      <c r="I865" s="8">
        <v>1</v>
      </c>
      <c r="J865" s="8">
        <v>1</v>
      </c>
      <c r="K865" s="597">
        <f t="shared" si="20"/>
        <v>2.34</v>
      </c>
      <c r="L865" s="688">
        <v>44309</v>
      </c>
      <c r="M865" s="688"/>
      <c r="N865" s="689">
        <v>44309</v>
      </c>
      <c r="O865" s="690">
        <v>3086</v>
      </c>
      <c r="P865" s="83">
        <v>180</v>
      </c>
      <c r="Q865" s="83">
        <f t="shared" si="21"/>
        <v>180</v>
      </c>
      <c r="S865" s="7">
        <f t="shared" si="18"/>
        <v>180</v>
      </c>
      <c r="T865" s="1318">
        <f t="shared" si="19"/>
        <v>180</v>
      </c>
      <c r="U865" s="13"/>
    </row>
    <row r="866" spans="3:21" s="7" customFormat="1" ht="15">
      <c r="C866" s="6" t="s">
        <v>2576</v>
      </c>
      <c r="D866" s="13" t="s">
        <v>2577</v>
      </c>
      <c r="E866" s="740" t="s">
        <v>2579</v>
      </c>
      <c r="F866" s="23"/>
      <c r="G866" s="21" t="s">
        <v>46</v>
      </c>
      <c r="H866" s="8">
        <v>2</v>
      </c>
      <c r="I866" s="8">
        <v>2</v>
      </c>
      <c r="J866" s="8">
        <v>2</v>
      </c>
      <c r="K866" s="597">
        <f t="shared" si="20"/>
        <v>1.25</v>
      </c>
      <c r="L866" s="688">
        <v>44309</v>
      </c>
      <c r="M866" s="688"/>
      <c r="N866" s="689">
        <v>44309</v>
      </c>
      <c r="O866" s="690">
        <v>3086</v>
      </c>
      <c r="P866" s="83">
        <v>96</v>
      </c>
      <c r="Q866" s="83">
        <f t="shared" si="21"/>
        <v>192</v>
      </c>
      <c r="S866" s="7">
        <f t="shared" si="18"/>
        <v>96</v>
      </c>
      <c r="T866" s="1318">
        <f t="shared" si="19"/>
        <v>192</v>
      </c>
      <c r="U866" s="13"/>
    </row>
    <row r="867" spans="3:21" s="7" customFormat="1" ht="15">
      <c r="C867" s="6" t="s">
        <v>2576</v>
      </c>
      <c r="D867" s="13" t="s">
        <v>2577</v>
      </c>
      <c r="E867" s="740" t="s">
        <v>2580</v>
      </c>
      <c r="F867" s="23"/>
      <c r="G867" s="21" t="s">
        <v>2581</v>
      </c>
      <c r="H867" s="8">
        <v>1</v>
      </c>
      <c r="I867" s="8">
        <v>1</v>
      </c>
      <c r="J867" s="8">
        <v>1</v>
      </c>
      <c r="K867" s="597">
        <f t="shared" si="20"/>
        <v>3.5799999999999996</v>
      </c>
      <c r="L867" s="688">
        <v>44309</v>
      </c>
      <c r="M867" s="688"/>
      <c r="N867" s="689">
        <v>44309</v>
      </c>
      <c r="O867" s="690">
        <v>3086</v>
      </c>
      <c r="P867" s="83">
        <v>275</v>
      </c>
      <c r="Q867" s="83">
        <f t="shared" si="21"/>
        <v>275</v>
      </c>
      <c r="S867" s="7">
        <f t="shared" si="18"/>
        <v>275</v>
      </c>
      <c r="T867" s="1318">
        <f t="shared" si="19"/>
        <v>275</v>
      </c>
      <c r="U867" s="13"/>
    </row>
    <row r="868" spans="3:21" s="7" customFormat="1" ht="15">
      <c r="C868" s="6" t="s">
        <v>2576</v>
      </c>
      <c r="D868" s="13" t="s">
        <v>2577</v>
      </c>
      <c r="E868" s="740" t="s">
        <v>2582</v>
      </c>
      <c r="F868" s="23"/>
      <c r="G868" s="21" t="s">
        <v>46</v>
      </c>
      <c r="H868" s="8">
        <v>2</v>
      </c>
      <c r="I868" s="8">
        <v>2</v>
      </c>
      <c r="J868" s="8">
        <v>2</v>
      </c>
      <c r="K868" s="597">
        <f t="shared" si="20"/>
        <v>1.45</v>
      </c>
      <c r="L868" s="688">
        <v>44309</v>
      </c>
      <c r="M868" s="688"/>
      <c r="N868" s="689">
        <v>44309</v>
      </c>
      <c r="O868" s="690">
        <v>3086</v>
      </c>
      <c r="P868" s="83">
        <v>111</v>
      </c>
      <c r="Q868" s="83">
        <f t="shared" si="21"/>
        <v>222</v>
      </c>
      <c r="S868" s="7">
        <f t="shared" si="18"/>
        <v>111</v>
      </c>
      <c r="T868" s="1318">
        <f t="shared" si="19"/>
        <v>222</v>
      </c>
      <c r="U868" s="13"/>
    </row>
    <row r="869" spans="3:21" s="7" customFormat="1" ht="15">
      <c r="C869" s="6" t="s">
        <v>2576</v>
      </c>
      <c r="D869" s="13" t="s">
        <v>2577</v>
      </c>
      <c r="E869" s="740" t="s">
        <v>2583</v>
      </c>
      <c r="F869" s="23"/>
      <c r="G869" s="21" t="s">
        <v>46</v>
      </c>
      <c r="H869" s="8">
        <v>2</v>
      </c>
      <c r="I869" s="8">
        <v>2</v>
      </c>
      <c r="J869" s="8">
        <v>2</v>
      </c>
      <c r="K869" s="597">
        <f t="shared" si="20"/>
        <v>2.0799999999999996</v>
      </c>
      <c r="L869" s="688">
        <v>44309</v>
      </c>
      <c r="M869" s="688"/>
      <c r="N869" s="689">
        <v>44309</v>
      </c>
      <c r="O869" s="690">
        <v>3086</v>
      </c>
      <c r="P869" s="83">
        <v>160</v>
      </c>
      <c r="Q869" s="83">
        <v>0</v>
      </c>
      <c r="S869" s="7">
        <f t="shared" si="18"/>
        <v>160</v>
      </c>
      <c r="T869" s="1318">
        <f t="shared" si="19"/>
        <v>0</v>
      </c>
      <c r="U869" s="13"/>
    </row>
    <row r="870" spans="3:21" s="7" customFormat="1" ht="15">
      <c r="C870" s="6" t="s">
        <v>2576</v>
      </c>
      <c r="D870" s="13" t="s">
        <v>2577</v>
      </c>
      <c r="E870" s="740" t="s">
        <v>2584</v>
      </c>
      <c r="F870" s="23"/>
      <c r="G870" s="21" t="s">
        <v>46</v>
      </c>
      <c r="H870" s="8">
        <v>2</v>
      </c>
      <c r="I870" s="8">
        <v>2</v>
      </c>
      <c r="J870" s="8">
        <v>2</v>
      </c>
      <c r="K870" s="597">
        <f t="shared" si="20"/>
        <v>3.9699999999999998</v>
      </c>
      <c r="L870" s="688">
        <v>44309</v>
      </c>
      <c r="M870" s="688"/>
      <c r="N870" s="689">
        <v>44309</v>
      </c>
      <c r="O870" s="690">
        <v>3086</v>
      </c>
      <c r="P870" s="83">
        <v>305</v>
      </c>
      <c r="Q870" s="83">
        <v>0</v>
      </c>
      <c r="S870" s="7">
        <f t="shared" si="18"/>
        <v>305</v>
      </c>
      <c r="T870" s="1318">
        <f t="shared" si="19"/>
        <v>0</v>
      </c>
      <c r="U870" s="13"/>
    </row>
    <row r="871" spans="3:21" s="7" customFormat="1" ht="15">
      <c r="C871" s="6" t="s">
        <v>2576</v>
      </c>
      <c r="D871" s="13" t="s">
        <v>2577</v>
      </c>
      <c r="E871" s="740" t="s">
        <v>92</v>
      </c>
      <c r="F871" s="23"/>
      <c r="G871" s="21" t="s">
        <v>46</v>
      </c>
      <c r="H871" s="8">
        <v>1</v>
      </c>
      <c r="I871" s="8">
        <v>1</v>
      </c>
      <c r="J871" s="8">
        <v>1</v>
      </c>
      <c r="K871" s="597">
        <f t="shared" si="20"/>
        <v>1.59</v>
      </c>
      <c r="L871" s="688">
        <v>44309</v>
      </c>
      <c r="M871" s="688"/>
      <c r="N871" s="689">
        <v>44309</v>
      </c>
      <c r="O871" s="690">
        <v>3086</v>
      </c>
      <c r="P871" s="83">
        <v>122</v>
      </c>
      <c r="Q871" s="83">
        <f>P871*J871</f>
        <v>122</v>
      </c>
      <c r="S871" s="7">
        <f t="shared" si="18"/>
        <v>122</v>
      </c>
      <c r="T871" s="1318">
        <f t="shared" si="19"/>
        <v>122</v>
      </c>
      <c r="U871" s="13"/>
    </row>
    <row r="872" spans="3:21" s="7" customFormat="1" ht="16.899999999999999" customHeight="1">
      <c r="C872" s="6" t="s">
        <v>2576</v>
      </c>
      <c r="D872" s="13" t="s">
        <v>2577</v>
      </c>
      <c r="E872" s="21"/>
      <c r="F872" s="285"/>
      <c r="G872" s="38" t="s">
        <v>13</v>
      </c>
      <c r="H872" s="8"/>
      <c r="I872" s="94" ph="1"/>
      <c r="J872" s="39">
        <v>4</v>
      </c>
      <c r="K872" s="611">
        <v>30</v>
      </c>
      <c r="L872" s="688">
        <v>44309</v>
      </c>
      <c r="M872" s="688"/>
      <c r="N872" s="689">
        <v>44309</v>
      </c>
      <c r="O872" s="690">
        <v>3086</v>
      </c>
      <c r="P872" s="83">
        <f>900+900+800+300</f>
        <v>2900</v>
      </c>
      <c r="Q872" s="83">
        <f>900+900+800+300</f>
        <v>2900</v>
      </c>
      <c r="S872" s="7">
        <f t="shared" si="18"/>
        <v>2900</v>
      </c>
      <c r="T872" s="1318">
        <f t="shared" si="19"/>
        <v>2900</v>
      </c>
      <c r="U872" s="20"/>
    </row>
    <row r="873" spans="3:21" s="159" customFormat="1" ht="15">
      <c r="C873" s="149" t="s">
        <v>2576</v>
      </c>
      <c r="D873" s="150" t="s">
        <v>2577</v>
      </c>
      <c r="E873" s="151"/>
      <c r="F873" s="152"/>
      <c r="G873" s="152" t="s">
        <v>168</v>
      </c>
      <c r="H873" s="154" t="s">
        <v>170</v>
      </c>
      <c r="I873" s="155"/>
      <c r="J873" s="153"/>
      <c r="K873" s="600">
        <v>25</v>
      </c>
      <c r="L873" s="601">
        <v>44309</v>
      </c>
      <c r="M873" s="601"/>
      <c r="N873" s="879">
        <v>44309</v>
      </c>
      <c r="O873" s="880">
        <v>3086</v>
      </c>
      <c r="P873" s="164">
        <v>2726</v>
      </c>
      <c r="Q873" s="165">
        <v>2726</v>
      </c>
      <c r="S873" s="7">
        <f t="shared" si="18"/>
        <v>2726</v>
      </c>
      <c r="T873" s="1318">
        <f t="shared" si="19"/>
        <v>2726</v>
      </c>
      <c r="U873" s="268"/>
    </row>
    <row r="874" spans="3:21" s="7" customFormat="1" ht="18" customHeight="1">
      <c r="C874" s="6" t="s">
        <v>2585</v>
      </c>
      <c r="D874" s="13" t="s">
        <v>2539</v>
      </c>
      <c r="E874" s="18" t="s">
        <v>262</v>
      </c>
      <c r="F874" s="92"/>
      <c r="G874" s="21"/>
      <c r="H874" s="93"/>
      <c r="I874" s="94"/>
      <c r="J874" s="93"/>
      <c r="K874" s="28" t="s">
        <v>8</v>
      </c>
      <c r="L874" s="688">
        <v>44313</v>
      </c>
      <c r="M874" s="688"/>
      <c r="N874" s="689">
        <v>44313</v>
      </c>
      <c r="O874" s="690">
        <v>3113</v>
      </c>
      <c r="P874" s="83"/>
      <c r="Q874" s="83"/>
      <c r="S874" s="7">
        <f t="shared" si="18"/>
        <v>0</v>
      </c>
      <c r="T874" s="1318">
        <f t="shared" si="19"/>
        <v>0</v>
      </c>
      <c r="U874" s="13"/>
    </row>
    <row r="875" spans="3:21" s="7" customFormat="1" ht="18" customHeight="1">
      <c r="C875" s="6" t="s">
        <v>2585</v>
      </c>
      <c r="D875" s="13" t="s">
        <v>2539</v>
      </c>
      <c r="E875" s="21" t="s">
        <v>2557</v>
      </c>
      <c r="F875" s="92">
        <v>148</v>
      </c>
      <c r="G875" s="21" t="s">
        <v>2586</v>
      </c>
      <c r="H875" s="55">
        <v>20</v>
      </c>
      <c r="I875" s="56">
        <v>1</v>
      </c>
      <c r="J875" s="55">
        <f>H875*I875</f>
        <v>20</v>
      </c>
      <c r="K875" s="40">
        <v>5.84</v>
      </c>
      <c r="L875" s="688">
        <v>44313</v>
      </c>
      <c r="M875" s="688"/>
      <c r="N875" s="689">
        <v>44313</v>
      </c>
      <c r="O875" s="690">
        <v>3113</v>
      </c>
      <c r="P875" s="83">
        <v>420</v>
      </c>
      <c r="Q875" s="83">
        <f>P875*J875</f>
        <v>8400</v>
      </c>
      <c r="S875" s="7">
        <f t="shared" si="18"/>
        <v>420</v>
      </c>
      <c r="T875" s="1318">
        <f t="shared" si="19"/>
        <v>8400</v>
      </c>
      <c r="U875" s="20"/>
    </row>
    <row r="876" spans="3:21" s="7" customFormat="1" ht="18" customHeight="1">
      <c r="C876" s="6" t="s">
        <v>2585</v>
      </c>
      <c r="D876" s="13" t="s">
        <v>2539</v>
      </c>
      <c r="E876" s="21" t="s">
        <v>2557</v>
      </c>
      <c r="F876" s="92">
        <v>148</v>
      </c>
      <c r="G876" s="21" t="s">
        <v>2587</v>
      </c>
      <c r="H876" s="55">
        <v>20</v>
      </c>
      <c r="I876" s="56">
        <v>1</v>
      </c>
      <c r="J876" s="55">
        <f>H876*I876</f>
        <v>20</v>
      </c>
      <c r="K876" s="40">
        <v>5.84</v>
      </c>
      <c r="L876" s="688">
        <v>44313</v>
      </c>
      <c r="M876" s="688"/>
      <c r="N876" s="689">
        <v>44313</v>
      </c>
      <c r="O876" s="690">
        <v>3113</v>
      </c>
      <c r="P876" s="83">
        <v>420</v>
      </c>
      <c r="Q876" s="83">
        <f>P876*J876</f>
        <v>8400</v>
      </c>
      <c r="S876" s="7">
        <f t="shared" si="18"/>
        <v>420</v>
      </c>
      <c r="T876" s="1318">
        <f t="shared" si="19"/>
        <v>8400</v>
      </c>
      <c r="U876" s="20"/>
    </row>
    <row r="877" spans="3:21" s="7" customFormat="1" ht="18" customHeight="1">
      <c r="C877" s="6" t="s">
        <v>2585</v>
      </c>
      <c r="D877" s="13" t="s">
        <v>2539</v>
      </c>
      <c r="E877" s="21" t="s">
        <v>2557</v>
      </c>
      <c r="F877" s="92">
        <v>148</v>
      </c>
      <c r="G877" s="21" t="s">
        <v>2588</v>
      </c>
      <c r="H877" s="55">
        <v>20</v>
      </c>
      <c r="I877" s="56">
        <v>1</v>
      </c>
      <c r="J877" s="55">
        <f>H877*I877</f>
        <v>20</v>
      </c>
      <c r="K877" s="40">
        <v>5.84</v>
      </c>
      <c r="L877" s="688">
        <v>44313</v>
      </c>
      <c r="M877" s="688"/>
      <c r="N877" s="689">
        <v>44313</v>
      </c>
      <c r="O877" s="690">
        <v>3113</v>
      </c>
      <c r="P877" s="83">
        <v>420</v>
      </c>
      <c r="Q877" s="83">
        <f>P877*J877</f>
        <v>8400</v>
      </c>
      <c r="S877" s="7">
        <f t="shared" si="18"/>
        <v>420</v>
      </c>
      <c r="T877" s="1318">
        <f t="shared" si="19"/>
        <v>8400</v>
      </c>
      <c r="U877" s="20"/>
    </row>
    <row r="878" spans="3:21" s="7" customFormat="1" ht="16.899999999999999" customHeight="1">
      <c r="C878" s="6" t="s">
        <v>2585</v>
      </c>
      <c r="D878" s="13" t="s">
        <v>2539</v>
      </c>
      <c r="E878" s="21"/>
      <c r="F878" s="285"/>
      <c r="G878" s="38" t="s">
        <v>2543</v>
      </c>
      <c r="H878" s="8"/>
      <c r="I878" s="94" ph="1"/>
      <c r="J878" s="39">
        <v>3</v>
      </c>
      <c r="K878" s="40">
        <v>45</v>
      </c>
      <c r="L878" s="688">
        <v>44313</v>
      </c>
      <c r="M878" s="688"/>
      <c r="N878" s="689">
        <v>44313</v>
      </c>
      <c r="O878" s="690">
        <v>3113</v>
      </c>
      <c r="P878" s="83">
        <v>1000</v>
      </c>
      <c r="Q878" s="83">
        <f>P878*J878</f>
        <v>3000</v>
      </c>
      <c r="S878" s="7">
        <f t="shared" si="18"/>
        <v>1000</v>
      </c>
      <c r="T878" s="1318">
        <f t="shared" si="19"/>
        <v>3000</v>
      </c>
      <c r="U878" s="20"/>
    </row>
    <row r="879" spans="3:21" s="7" customFormat="1" ht="16.899999999999999" customHeight="1">
      <c r="C879" s="6" t="s">
        <v>2585</v>
      </c>
      <c r="D879" s="13" t="s">
        <v>2539</v>
      </c>
      <c r="E879" s="21"/>
      <c r="F879" s="285"/>
      <c r="G879" s="38" t="s">
        <v>13</v>
      </c>
      <c r="H879" s="8"/>
      <c r="I879" s="94" ph="1"/>
      <c r="J879" s="39">
        <v>1</v>
      </c>
      <c r="K879" s="40">
        <v>20</v>
      </c>
      <c r="L879" s="688">
        <v>44313</v>
      </c>
      <c r="M879" s="688"/>
      <c r="N879" s="689">
        <v>44313</v>
      </c>
      <c r="O879" s="690">
        <v>3113</v>
      </c>
      <c r="P879" s="83">
        <v>1000</v>
      </c>
      <c r="Q879" s="83">
        <f>P879*J879</f>
        <v>1000</v>
      </c>
      <c r="S879" s="7">
        <f t="shared" si="18"/>
        <v>1000</v>
      </c>
      <c r="T879" s="1318">
        <f t="shared" si="19"/>
        <v>1000</v>
      </c>
      <c r="U879" s="20"/>
    </row>
    <row r="880" spans="3:21" s="159" customFormat="1" ht="15">
      <c r="C880" s="149" t="s">
        <v>2585</v>
      </c>
      <c r="D880" s="150" t="s">
        <v>2539</v>
      </c>
      <c r="E880" s="151"/>
      <c r="F880" s="152"/>
      <c r="G880" s="152" t="s">
        <v>168</v>
      </c>
      <c r="H880" s="154" t="s">
        <v>169</v>
      </c>
      <c r="I880" s="155"/>
      <c r="J880" s="153"/>
      <c r="K880" s="160">
        <v>0</v>
      </c>
      <c r="L880" s="601">
        <v>44313</v>
      </c>
      <c r="M880" s="601"/>
      <c r="N880" s="879">
        <v>44313</v>
      </c>
      <c r="O880" s="880">
        <v>3113</v>
      </c>
      <c r="P880" s="164">
        <v>0</v>
      </c>
      <c r="Q880" s="165">
        <v>0</v>
      </c>
      <c r="S880" s="7">
        <f t="shared" si="18"/>
        <v>0</v>
      </c>
      <c r="T880" s="1318">
        <f t="shared" si="19"/>
        <v>0</v>
      </c>
      <c r="U880" s="268"/>
    </row>
    <row r="881" spans="3:21" s="7" customFormat="1" ht="18" customHeight="1">
      <c r="C881" s="6" t="s">
        <v>2589</v>
      </c>
      <c r="D881" s="13" t="s">
        <v>1979</v>
      </c>
      <c r="E881" s="18" t="s">
        <v>1978</v>
      </c>
      <c r="F881" s="92"/>
      <c r="G881" s="21"/>
      <c r="H881" s="93"/>
      <c r="I881" s="94"/>
      <c r="J881" s="93"/>
      <c r="K881" s="95" t="s">
        <v>8</v>
      </c>
      <c r="L881" s="688">
        <v>44342</v>
      </c>
      <c r="M881" s="688"/>
      <c r="N881" s="689">
        <v>44342</v>
      </c>
      <c r="O881" s="690">
        <v>3192</v>
      </c>
      <c r="P881" s="83"/>
      <c r="Q881" s="83"/>
      <c r="S881" s="7">
        <f t="shared" si="18"/>
        <v>0</v>
      </c>
      <c r="T881" s="1318">
        <f t="shared" si="19"/>
        <v>0</v>
      </c>
      <c r="U881" s="13"/>
    </row>
    <row r="882" spans="3:21" s="7" customFormat="1" ht="18" customHeight="1">
      <c r="C882" s="6" t="s">
        <v>2589</v>
      </c>
      <c r="D882" s="13" t="s">
        <v>1979</v>
      </c>
      <c r="E882" s="21">
        <v>1966</v>
      </c>
      <c r="F882" s="596"/>
      <c r="G882" s="21" t="s">
        <v>2555</v>
      </c>
      <c r="H882" s="93">
        <v>30</v>
      </c>
      <c r="I882" s="94">
        <v>16</v>
      </c>
      <c r="J882" s="55">
        <f>H882*I882</f>
        <v>480</v>
      </c>
      <c r="K882" s="611">
        <v>0.63</v>
      </c>
      <c r="L882" s="688">
        <v>44342</v>
      </c>
      <c r="M882" s="688"/>
      <c r="N882" s="689">
        <v>44342</v>
      </c>
      <c r="O882" s="690">
        <v>3192</v>
      </c>
      <c r="P882" s="83">
        <v>41</v>
      </c>
      <c r="Q882" s="83">
        <f>P882*J882</f>
        <v>19680</v>
      </c>
      <c r="S882" s="7">
        <f t="shared" si="18"/>
        <v>41</v>
      </c>
      <c r="T882" s="1318">
        <f t="shared" si="19"/>
        <v>19680</v>
      </c>
      <c r="U882" s="20"/>
    </row>
    <row r="883" spans="3:21" s="7" customFormat="1" ht="18" customHeight="1">
      <c r="C883" s="6" t="s">
        <v>2589</v>
      </c>
      <c r="D883" s="13" t="s">
        <v>1979</v>
      </c>
      <c r="E883" s="21">
        <v>1966</v>
      </c>
      <c r="F883" s="596"/>
      <c r="G883" s="21" t="s">
        <v>2590</v>
      </c>
      <c r="H883" s="93">
        <v>30</v>
      </c>
      <c r="I883" s="94">
        <v>5</v>
      </c>
      <c r="J883" s="55">
        <f>H883*I883</f>
        <v>150</v>
      </c>
      <c r="K883" s="611">
        <v>0.63</v>
      </c>
      <c r="L883" s="688">
        <v>44342</v>
      </c>
      <c r="M883" s="688"/>
      <c r="N883" s="689">
        <v>44342</v>
      </c>
      <c r="O883" s="690">
        <v>3192</v>
      </c>
      <c r="P883" s="83">
        <v>41</v>
      </c>
      <c r="Q883" s="83">
        <f>P883*J883</f>
        <v>6150</v>
      </c>
      <c r="S883" s="7">
        <f t="shared" si="18"/>
        <v>41</v>
      </c>
      <c r="T883" s="1318">
        <f t="shared" si="19"/>
        <v>6150</v>
      </c>
      <c r="U883" s="20"/>
    </row>
    <row r="884" spans="3:21" s="7" customFormat="1" ht="15">
      <c r="C884" s="6" t="s">
        <v>2589</v>
      </c>
      <c r="D884" s="13" t="s">
        <v>1979</v>
      </c>
      <c r="E884" s="48"/>
      <c r="F884" s="38"/>
      <c r="G884" s="38" t="s">
        <v>13</v>
      </c>
      <c r="H884" s="39"/>
      <c r="I884" s="94"/>
      <c r="J884" s="39">
        <v>1</v>
      </c>
      <c r="K884" s="611">
        <v>12</v>
      </c>
      <c r="L884" s="688">
        <v>44342</v>
      </c>
      <c r="M884" s="688"/>
      <c r="N884" s="689">
        <v>44342</v>
      </c>
      <c r="O884" s="690">
        <v>3192</v>
      </c>
      <c r="P884" s="83">
        <v>0</v>
      </c>
      <c r="Q884" s="83">
        <v>0</v>
      </c>
      <c r="S884" s="7">
        <f t="shared" si="18"/>
        <v>0</v>
      </c>
      <c r="T884" s="1318">
        <f t="shared" si="19"/>
        <v>0</v>
      </c>
      <c r="U884" s="22"/>
    </row>
    <row r="885" spans="3:21" s="193" customFormat="1" ht="15">
      <c r="C885" s="149" t="s">
        <v>2589</v>
      </c>
      <c r="D885" s="150" t="s">
        <v>1979</v>
      </c>
      <c r="E885" s="151"/>
      <c r="F885" s="152"/>
      <c r="G885" s="152" t="s">
        <v>168</v>
      </c>
      <c r="H885" s="154"/>
      <c r="I885" s="155"/>
      <c r="J885" s="153"/>
      <c r="K885" s="600"/>
      <c r="L885" s="601">
        <v>44342</v>
      </c>
      <c r="M885" s="601"/>
      <c r="N885" s="879">
        <v>44342</v>
      </c>
      <c r="O885" s="880">
        <v>3192</v>
      </c>
      <c r="P885" s="164"/>
      <c r="Q885" s="164"/>
      <c r="S885" s="7">
        <f t="shared" si="18"/>
        <v>0</v>
      </c>
      <c r="T885" s="1318">
        <f t="shared" si="19"/>
        <v>0</v>
      </c>
      <c r="U885" s="268"/>
    </row>
    <row r="886" spans="3:21" s="7" customFormat="1" ht="18" customHeight="1">
      <c r="C886" s="6" t="s">
        <v>2591</v>
      </c>
      <c r="D886" s="13" t="s">
        <v>2592</v>
      </c>
      <c r="E886" s="18" t="s">
        <v>2593</v>
      </c>
      <c r="F886" s="92"/>
      <c r="G886" s="21"/>
      <c r="H886" s="93"/>
      <c r="I886" s="94"/>
      <c r="J886" s="93"/>
      <c r="K886" s="28" t="s">
        <v>8</v>
      </c>
      <c r="L886" s="688">
        <v>44347</v>
      </c>
      <c r="M886" s="688"/>
      <c r="N886" s="689">
        <v>44347</v>
      </c>
      <c r="O886" s="690">
        <v>3196</v>
      </c>
      <c r="P886" s="83"/>
      <c r="Q886" s="83"/>
      <c r="S886" s="7">
        <f t="shared" si="18"/>
        <v>0</v>
      </c>
      <c r="T886" s="1318">
        <f t="shared" si="19"/>
        <v>0</v>
      </c>
      <c r="U886" s="13"/>
    </row>
    <row r="887" spans="3:21" s="7" customFormat="1" ht="18" customHeight="1">
      <c r="C887" s="6" t="s">
        <v>2591</v>
      </c>
      <c r="D887" s="13" t="s">
        <v>2592</v>
      </c>
      <c r="E887" s="21" t="s">
        <v>2063</v>
      </c>
      <c r="F887" s="92">
        <v>98</v>
      </c>
      <c r="G887" s="21" t="s">
        <v>46</v>
      </c>
      <c r="H887" s="17">
        <v>19.8</v>
      </c>
      <c r="I887" s="56">
        <v>1</v>
      </c>
      <c r="J887" s="17">
        <f>H887*I887</f>
        <v>19.8</v>
      </c>
      <c r="K887" s="611">
        <v>10.23</v>
      </c>
      <c r="L887" s="688">
        <v>44347</v>
      </c>
      <c r="M887" s="688"/>
      <c r="N887" s="689">
        <v>44347</v>
      </c>
      <c r="O887" s="690">
        <v>3196</v>
      </c>
      <c r="P887" s="83">
        <v>880</v>
      </c>
      <c r="Q887" s="83">
        <f>P887*J887</f>
        <v>17424</v>
      </c>
      <c r="S887" s="7">
        <f t="shared" si="18"/>
        <v>880</v>
      </c>
      <c r="T887" s="1318">
        <f t="shared" si="19"/>
        <v>17424</v>
      </c>
      <c r="U887" s="20"/>
    </row>
    <row r="888" spans="3:21" s="7" customFormat="1" ht="18" customHeight="1">
      <c r="C888" s="6" t="s">
        <v>2594</v>
      </c>
      <c r="D888" s="13" t="s">
        <v>2595</v>
      </c>
      <c r="E888" s="18" t="s">
        <v>2185</v>
      </c>
      <c r="F888" s="92"/>
      <c r="G888" s="21"/>
      <c r="H888" s="17"/>
      <c r="I888" s="56"/>
      <c r="J888" s="17"/>
      <c r="K888" s="611"/>
      <c r="L888" s="688">
        <v>44347</v>
      </c>
      <c r="M888" s="688"/>
      <c r="N888" s="689">
        <v>44347</v>
      </c>
      <c r="O888" s="690">
        <v>3196</v>
      </c>
      <c r="P888" s="83"/>
      <c r="Q888" s="83"/>
      <c r="S888" s="7">
        <f t="shared" si="18"/>
        <v>0</v>
      </c>
      <c r="T888" s="1318">
        <f t="shared" si="19"/>
        <v>0</v>
      </c>
      <c r="U888" s="128"/>
    </row>
    <row r="889" spans="3:21" ht="18" customHeight="1">
      <c r="C889" s="6" t="s">
        <v>2594</v>
      </c>
      <c r="D889" s="13" t="s">
        <v>2595</v>
      </c>
      <c r="E889" s="21" t="s">
        <v>184</v>
      </c>
      <c r="F889" s="596"/>
      <c r="G889" s="21" t="s">
        <v>46</v>
      </c>
      <c r="H889" s="93">
        <v>14</v>
      </c>
      <c r="I889" s="94">
        <v>1</v>
      </c>
      <c r="J889" s="55">
        <f t="shared" ref="J889:J898" si="22">H889*I889</f>
        <v>14</v>
      </c>
      <c r="K889" s="611">
        <f t="shared" ref="K889:K897" si="23">ROUNDUP(P889/0.7/110,2)</f>
        <v>1.39</v>
      </c>
      <c r="L889" s="688">
        <v>44347</v>
      </c>
      <c r="M889" s="688"/>
      <c r="N889" s="689">
        <v>44347</v>
      </c>
      <c r="O889" s="690">
        <v>3196</v>
      </c>
      <c r="P889" s="1">
        <v>107</v>
      </c>
      <c r="Q889" s="83">
        <f t="shared" ref="Q889:Q899" si="24">P889*J889</f>
        <v>1498</v>
      </c>
      <c r="S889" s="7">
        <f t="shared" si="18"/>
        <v>107</v>
      </c>
      <c r="T889" s="1318">
        <f t="shared" si="19"/>
        <v>1498</v>
      </c>
    </row>
    <row r="890" spans="3:21" ht="18" customHeight="1">
      <c r="C890" s="6" t="s">
        <v>2594</v>
      </c>
      <c r="D890" s="13" t="s">
        <v>2595</v>
      </c>
      <c r="E890" s="21" t="s">
        <v>2596</v>
      </c>
      <c r="F890" s="596"/>
      <c r="G890" s="21" t="s">
        <v>46</v>
      </c>
      <c r="H890" s="93">
        <v>14</v>
      </c>
      <c r="I890" s="94">
        <v>1</v>
      </c>
      <c r="J890" s="55">
        <f t="shared" si="22"/>
        <v>14</v>
      </c>
      <c r="K890" s="611">
        <f t="shared" si="23"/>
        <v>2.3199999999999998</v>
      </c>
      <c r="L890" s="688">
        <v>44347</v>
      </c>
      <c r="M890" s="688"/>
      <c r="N890" s="689">
        <v>44347</v>
      </c>
      <c r="O890" s="690">
        <v>3196</v>
      </c>
      <c r="P890" s="1">
        <v>178</v>
      </c>
      <c r="Q890" s="83">
        <f t="shared" si="24"/>
        <v>2492</v>
      </c>
      <c r="S890" s="7">
        <f t="shared" si="18"/>
        <v>178</v>
      </c>
      <c r="T890" s="1318">
        <f t="shared" si="19"/>
        <v>2492</v>
      </c>
    </row>
    <row r="891" spans="3:21" ht="18" customHeight="1">
      <c r="C891" s="6" t="s">
        <v>2594</v>
      </c>
      <c r="D891" s="13" t="s">
        <v>2595</v>
      </c>
      <c r="E891" s="21" t="s">
        <v>2597</v>
      </c>
      <c r="F891" s="596"/>
      <c r="G891" s="21" t="s">
        <v>46</v>
      </c>
      <c r="H891" s="93">
        <v>14</v>
      </c>
      <c r="I891" s="94">
        <v>1</v>
      </c>
      <c r="J891" s="55">
        <f t="shared" si="22"/>
        <v>14</v>
      </c>
      <c r="K891" s="611">
        <f t="shared" si="23"/>
        <v>3.7199999999999998</v>
      </c>
      <c r="L891" s="688">
        <v>44347</v>
      </c>
      <c r="M891" s="688"/>
      <c r="N891" s="689">
        <v>44347</v>
      </c>
      <c r="O891" s="690">
        <v>3196</v>
      </c>
      <c r="P891" s="1">
        <v>286</v>
      </c>
      <c r="Q891" s="83">
        <f t="shared" si="24"/>
        <v>4004</v>
      </c>
      <c r="S891" s="7">
        <f t="shared" si="18"/>
        <v>286</v>
      </c>
      <c r="T891" s="1318">
        <f t="shared" si="19"/>
        <v>4004</v>
      </c>
    </row>
    <row r="892" spans="3:21" ht="18" customHeight="1">
      <c r="C892" s="6" t="s">
        <v>2594</v>
      </c>
      <c r="D892" s="13" t="s">
        <v>2595</v>
      </c>
      <c r="E892" s="21" t="s">
        <v>2598</v>
      </c>
      <c r="F892" s="596"/>
      <c r="G892" s="21" t="s">
        <v>46</v>
      </c>
      <c r="H892" s="93">
        <v>13.7</v>
      </c>
      <c r="I892" s="94">
        <v>1</v>
      </c>
      <c r="J892" s="17">
        <f t="shared" si="22"/>
        <v>13.7</v>
      </c>
      <c r="K892" s="611">
        <f>ROUNDUP(P892/0.7/110,2)</f>
        <v>2.3699999999999997</v>
      </c>
      <c r="L892" s="688">
        <v>44347</v>
      </c>
      <c r="M892" s="688"/>
      <c r="N892" s="689">
        <v>44347</v>
      </c>
      <c r="O892" s="690">
        <v>3196</v>
      </c>
      <c r="P892" s="1">
        <v>182</v>
      </c>
      <c r="Q892" s="83">
        <f t="shared" si="24"/>
        <v>2493.4</v>
      </c>
      <c r="S892" s="7">
        <f t="shared" si="18"/>
        <v>182</v>
      </c>
      <c r="T892" s="1318">
        <f t="shared" si="19"/>
        <v>2493.4</v>
      </c>
    </row>
    <row r="893" spans="3:21" ht="18" customHeight="1">
      <c r="C893" s="6" t="s">
        <v>2599</v>
      </c>
      <c r="D893" s="13" t="s">
        <v>2595</v>
      </c>
      <c r="E893" s="21" t="s">
        <v>2600</v>
      </c>
      <c r="F893" s="596"/>
      <c r="G893" s="21" t="s">
        <v>46</v>
      </c>
      <c r="H893" s="93">
        <v>13.7</v>
      </c>
      <c r="I893" s="94">
        <v>1</v>
      </c>
      <c r="J893" s="17">
        <f t="shared" si="22"/>
        <v>13.7</v>
      </c>
      <c r="K893" s="611">
        <f t="shared" si="23"/>
        <v>5.2</v>
      </c>
      <c r="L893" s="688">
        <v>44347</v>
      </c>
      <c r="M893" s="688"/>
      <c r="N893" s="689">
        <v>44347</v>
      </c>
      <c r="O893" s="690">
        <v>3196</v>
      </c>
      <c r="P893" s="1">
        <v>400</v>
      </c>
      <c r="Q893" s="83">
        <f t="shared" si="24"/>
        <v>5480</v>
      </c>
      <c r="S893" s="7">
        <f t="shared" si="18"/>
        <v>400</v>
      </c>
      <c r="T893" s="1318">
        <f t="shared" si="19"/>
        <v>5480</v>
      </c>
    </row>
    <row r="894" spans="3:21" ht="18" customHeight="1">
      <c r="C894" s="6" t="s">
        <v>2599</v>
      </c>
      <c r="D894" s="13" t="s">
        <v>2595</v>
      </c>
      <c r="E894" s="21" t="s">
        <v>2601</v>
      </c>
      <c r="F894" s="596"/>
      <c r="G894" s="21" t="s">
        <v>46</v>
      </c>
      <c r="H894" s="93">
        <v>13.7</v>
      </c>
      <c r="I894" s="94">
        <v>1</v>
      </c>
      <c r="J894" s="17">
        <f t="shared" si="22"/>
        <v>13.7</v>
      </c>
      <c r="K894" s="611">
        <f t="shared" si="23"/>
        <v>2.34</v>
      </c>
      <c r="L894" s="688">
        <v>44347</v>
      </c>
      <c r="M894" s="688"/>
      <c r="N894" s="689">
        <v>44347</v>
      </c>
      <c r="O894" s="690">
        <v>3196</v>
      </c>
      <c r="P894" s="1">
        <v>180</v>
      </c>
      <c r="Q894" s="83">
        <f t="shared" si="24"/>
        <v>2466</v>
      </c>
      <c r="S894" s="7">
        <f t="shared" si="18"/>
        <v>180</v>
      </c>
      <c r="T894" s="1318">
        <f t="shared" si="19"/>
        <v>2466</v>
      </c>
    </row>
    <row r="895" spans="3:21" ht="18" customHeight="1">
      <c r="C895" s="6" t="s">
        <v>2599</v>
      </c>
      <c r="D895" s="13" t="s">
        <v>2595</v>
      </c>
      <c r="E895" s="21" t="s">
        <v>2602</v>
      </c>
      <c r="F895" s="596"/>
      <c r="G895" s="21" t="s">
        <v>46</v>
      </c>
      <c r="H895" s="93">
        <v>14</v>
      </c>
      <c r="I895" s="94">
        <v>1</v>
      </c>
      <c r="J895" s="55">
        <f t="shared" si="22"/>
        <v>14</v>
      </c>
      <c r="K895" s="611">
        <f t="shared" si="23"/>
        <v>5</v>
      </c>
      <c r="L895" s="688">
        <v>44347</v>
      </c>
      <c r="M895" s="688"/>
      <c r="N895" s="689">
        <v>44347</v>
      </c>
      <c r="O895" s="690">
        <v>3196</v>
      </c>
      <c r="P895" s="1">
        <v>385</v>
      </c>
      <c r="Q895" s="83">
        <f t="shared" si="24"/>
        <v>5390</v>
      </c>
      <c r="S895" s="7">
        <f t="shared" si="18"/>
        <v>385</v>
      </c>
      <c r="T895" s="1318">
        <f t="shared" si="19"/>
        <v>5390</v>
      </c>
    </row>
    <row r="896" spans="3:21" ht="18" customHeight="1">
      <c r="C896" s="6" t="s">
        <v>2599</v>
      </c>
      <c r="D896" s="13" t="s">
        <v>2595</v>
      </c>
      <c r="E896" s="21" t="s">
        <v>2603</v>
      </c>
      <c r="F896" s="596"/>
      <c r="G896" s="21" t="s">
        <v>46</v>
      </c>
      <c r="H896" s="93">
        <v>19.8</v>
      </c>
      <c r="I896" s="94">
        <v>1</v>
      </c>
      <c r="J896" s="17">
        <f t="shared" si="22"/>
        <v>19.8</v>
      </c>
      <c r="K896" s="611">
        <f t="shared" si="23"/>
        <v>10.39</v>
      </c>
      <c r="L896" s="688">
        <v>44347</v>
      </c>
      <c r="M896" s="688"/>
      <c r="N896" s="689">
        <v>44347</v>
      </c>
      <c r="O896" s="690">
        <v>3196</v>
      </c>
      <c r="P896" s="1">
        <v>800</v>
      </c>
      <c r="Q896" s="83">
        <f t="shared" si="24"/>
        <v>15840</v>
      </c>
      <c r="S896" s="7">
        <f t="shared" si="18"/>
        <v>800</v>
      </c>
      <c r="T896" s="1318">
        <f t="shared" si="19"/>
        <v>15840</v>
      </c>
    </row>
    <row r="897" spans="3:21" ht="18" customHeight="1">
      <c r="C897" s="6" t="s">
        <v>2599</v>
      </c>
      <c r="D897" s="13" t="s">
        <v>2595</v>
      </c>
      <c r="E897" s="21" t="s">
        <v>2604</v>
      </c>
      <c r="F897" s="596"/>
      <c r="G897" s="21" t="s">
        <v>46</v>
      </c>
      <c r="H897" s="93">
        <v>14</v>
      </c>
      <c r="I897" s="94">
        <v>1</v>
      </c>
      <c r="J897" s="55">
        <f t="shared" si="22"/>
        <v>14</v>
      </c>
      <c r="K897" s="611">
        <f t="shared" si="23"/>
        <v>1.72</v>
      </c>
      <c r="L897" s="688">
        <v>44347</v>
      </c>
      <c r="M897" s="688"/>
      <c r="N897" s="689">
        <v>44347</v>
      </c>
      <c r="O897" s="690">
        <v>3196</v>
      </c>
      <c r="P897" s="1">
        <v>132</v>
      </c>
      <c r="Q897" s="83">
        <f t="shared" si="24"/>
        <v>1848</v>
      </c>
      <c r="S897" s="7">
        <f t="shared" si="18"/>
        <v>132</v>
      </c>
      <c r="T897" s="1318">
        <f t="shared" si="19"/>
        <v>1848</v>
      </c>
    </row>
    <row r="898" spans="3:21" ht="18" customHeight="1">
      <c r="C898" s="6" t="s">
        <v>2599</v>
      </c>
      <c r="D898" s="13" t="s">
        <v>2595</v>
      </c>
      <c r="E898" s="21" t="s">
        <v>2605</v>
      </c>
      <c r="F898" s="596"/>
      <c r="G898" s="21" t="s">
        <v>46</v>
      </c>
      <c r="H898" s="93">
        <v>13.7</v>
      </c>
      <c r="I898" s="94">
        <v>1</v>
      </c>
      <c r="J898" s="17">
        <f t="shared" si="22"/>
        <v>13.7</v>
      </c>
      <c r="K898" s="611">
        <f>ROUNDUP(P898/0.7/110,2)</f>
        <v>3.1199999999999997</v>
      </c>
      <c r="L898" s="688">
        <v>44347</v>
      </c>
      <c r="M898" s="688"/>
      <c r="N898" s="689">
        <v>44347</v>
      </c>
      <c r="O898" s="690">
        <v>3196</v>
      </c>
      <c r="P898" s="1">
        <v>240</v>
      </c>
      <c r="Q898" s="83">
        <f t="shared" si="24"/>
        <v>3288</v>
      </c>
      <c r="S898" s="7">
        <f t="shared" si="18"/>
        <v>240</v>
      </c>
      <c r="T898" s="1318">
        <f t="shared" si="19"/>
        <v>3288</v>
      </c>
    </row>
    <row r="899" spans="3:21" s="7" customFormat="1" ht="16.899999999999999" customHeight="1">
      <c r="C899" s="6" t="s">
        <v>2599</v>
      </c>
      <c r="D899" s="13" t="s">
        <v>2595</v>
      </c>
      <c r="E899" s="21"/>
      <c r="F899" s="285"/>
      <c r="G899" s="38" t="s">
        <v>13</v>
      </c>
      <c r="H899" s="8"/>
      <c r="I899" s="94" ph="1"/>
      <c r="J899" s="39">
        <v>1</v>
      </c>
      <c r="K899" s="611">
        <v>25</v>
      </c>
      <c r="L899" s="688">
        <v>44347</v>
      </c>
      <c r="M899" s="688"/>
      <c r="N899" s="689">
        <v>44347</v>
      </c>
      <c r="O899" s="690">
        <v>3196</v>
      </c>
      <c r="P899" s="83">
        <f>1500+900</f>
        <v>2400</v>
      </c>
      <c r="Q899" s="83">
        <f t="shared" si="24"/>
        <v>2400</v>
      </c>
      <c r="S899" s="7">
        <f t="shared" si="18"/>
        <v>2400</v>
      </c>
      <c r="T899" s="1318">
        <f t="shared" si="19"/>
        <v>2400</v>
      </c>
      <c r="U899" s="20"/>
    </row>
    <row r="900" spans="3:21" s="7" customFormat="1" ht="18" customHeight="1">
      <c r="C900" s="6" t="s">
        <v>2594</v>
      </c>
      <c r="D900" s="13" t="s">
        <v>2595</v>
      </c>
      <c r="E900" s="18" t="s">
        <v>2181</v>
      </c>
      <c r="F900" s="92"/>
      <c r="G900" s="21"/>
      <c r="H900" s="17"/>
      <c r="I900" s="56"/>
      <c r="J900" s="17"/>
      <c r="K900" s="611"/>
      <c r="L900" s="688">
        <v>44384</v>
      </c>
      <c r="M900" s="688"/>
      <c r="N900" s="689">
        <v>44384</v>
      </c>
      <c r="O900" s="690">
        <v>3304</v>
      </c>
      <c r="P900" s="83"/>
      <c r="Q900" s="83"/>
      <c r="S900" s="7">
        <f t="shared" si="18"/>
        <v>0</v>
      </c>
      <c r="T900" s="1318">
        <f t="shared" si="19"/>
        <v>0</v>
      </c>
      <c r="U900" s="128"/>
    </row>
    <row r="901" spans="3:21" ht="18" customHeight="1">
      <c r="C901" s="6" t="s">
        <v>2594</v>
      </c>
      <c r="D901" s="13" t="s">
        <v>2595</v>
      </c>
      <c r="E901" s="21" t="s">
        <v>2606</v>
      </c>
      <c r="F901" s="596"/>
      <c r="G901" s="21" t="s">
        <v>46</v>
      </c>
      <c r="H901" s="93">
        <v>14</v>
      </c>
      <c r="I901" s="94">
        <v>1</v>
      </c>
      <c r="J901" s="55">
        <f>H901*I901</f>
        <v>14</v>
      </c>
      <c r="K901" s="611">
        <f>ROUNDUP(P901/0.7/110,2)</f>
        <v>4.9399999999999995</v>
      </c>
      <c r="L901" s="688">
        <v>44384</v>
      </c>
      <c r="M901" s="688"/>
      <c r="N901" s="689">
        <v>44384</v>
      </c>
      <c r="O901" s="690">
        <v>3304</v>
      </c>
      <c r="P901" s="1">
        <v>380</v>
      </c>
      <c r="Q901" s="83">
        <f>P901*J901</f>
        <v>5320</v>
      </c>
      <c r="S901" s="7">
        <f t="shared" si="18"/>
        <v>380</v>
      </c>
      <c r="T901" s="1318">
        <f t="shared" si="19"/>
        <v>5320</v>
      </c>
    </row>
    <row r="902" spans="3:21" ht="18" customHeight="1">
      <c r="C902" s="6" t="s">
        <v>2599</v>
      </c>
      <c r="D902" s="13" t="s">
        <v>2595</v>
      </c>
      <c r="E902" s="21" t="s">
        <v>2607</v>
      </c>
      <c r="F902" s="596"/>
      <c r="G902" s="21" t="s">
        <v>46</v>
      </c>
      <c r="H902" s="93">
        <v>13.7</v>
      </c>
      <c r="I902" s="94">
        <v>1</v>
      </c>
      <c r="J902" s="17">
        <f>H902*I902</f>
        <v>13.7</v>
      </c>
      <c r="K902" s="611">
        <f>ROUNDUP(P902/0.8/110,2)</f>
        <v>25.57</v>
      </c>
      <c r="L902" s="688">
        <v>44384</v>
      </c>
      <c r="M902" s="688"/>
      <c r="N902" s="689">
        <v>44384</v>
      </c>
      <c r="O902" s="690">
        <v>3304</v>
      </c>
      <c r="P902" s="1">
        <v>2250</v>
      </c>
      <c r="Q902" s="83">
        <f>P902*J902</f>
        <v>30825</v>
      </c>
      <c r="S902" s="7">
        <f t="shared" si="18"/>
        <v>2250</v>
      </c>
      <c r="T902" s="1318">
        <f t="shared" si="19"/>
        <v>30825</v>
      </c>
    </row>
    <row r="903" spans="3:21" s="159" customFormat="1" ht="15.75">
      <c r="C903" s="149" t="s">
        <v>2599</v>
      </c>
      <c r="D903" s="150" t="s">
        <v>2595</v>
      </c>
      <c r="E903" s="151"/>
      <c r="F903" s="152"/>
      <c r="G903" s="152" t="s">
        <v>168</v>
      </c>
      <c r="H903" s="154"/>
      <c r="I903" s="155"/>
      <c r="J903" s="153"/>
      <c r="K903" s="888" t="s">
        <v>169</v>
      </c>
      <c r="L903" s="601">
        <v>44384</v>
      </c>
      <c r="M903" s="601"/>
      <c r="N903" s="879">
        <v>44384</v>
      </c>
      <c r="O903" s="880">
        <v>3304</v>
      </c>
      <c r="P903" s="164"/>
      <c r="Q903" s="165"/>
      <c r="S903" s="7">
        <f t="shared" si="18"/>
        <v>0</v>
      </c>
      <c r="T903" s="1318">
        <f t="shared" si="19"/>
        <v>0</v>
      </c>
      <c r="U903" s="268"/>
    </row>
    <row r="904" spans="3:21" s="7" customFormat="1" ht="18" customHeight="1">
      <c r="C904" s="6" t="s">
        <v>2608</v>
      </c>
      <c r="D904" s="13" t="s">
        <v>2539</v>
      </c>
      <c r="E904" s="18" t="s">
        <v>12</v>
      </c>
      <c r="F904" s="92"/>
      <c r="G904" s="21"/>
      <c r="H904" s="93"/>
      <c r="I904" s="94"/>
      <c r="J904" s="93"/>
      <c r="K904" s="28" t="s">
        <v>8</v>
      </c>
      <c r="L904" s="33">
        <v>44333</v>
      </c>
      <c r="M904" s="33"/>
      <c r="N904" s="115">
        <v>44333</v>
      </c>
      <c r="O904" s="32">
        <v>3158</v>
      </c>
      <c r="P904" s="83"/>
      <c r="Q904" s="83"/>
      <c r="S904" s="7">
        <f t="shared" si="18"/>
        <v>0</v>
      </c>
      <c r="T904" s="1318">
        <f t="shared" si="19"/>
        <v>0</v>
      </c>
      <c r="U904" s="13"/>
    </row>
    <row r="905" spans="3:21" s="7" customFormat="1" ht="18" customHeight="1">
      <c r="C905" s="6" t="s">
        <v>2608</v>
      </c>
      <c r="D905" s="13" t="s">
        <v>2539</v>
      </c>
      <c r="E905" s="21" t="s">
        <v>107</v>
      </c>
      <c r="F905" s="92">
        <v>160</v>
      </c>
      <c r="G905" s="21" t="s">
        <v>2541</v>
      </c>
      <c r="H905" s="93">
        <v>50</v>
      </c>
      <c r="I905" s="94">
        <v>1</v>
      </c>
      <c r="J905" s="55">
        <f>H905*I905</f>
        <v>50</v>
      </c>
      <c r="K905" s="40">
        <v>4.45</v>
      </c>
      <c r="L905" s="33">
        <v>44333</v>
      </c>
      <c r="M905" s="33"/>
      <c r="N905" s="115">
        <v>44333</v>
      </c>
      <c r="O905" s="32">
        <v>3158</v>
      </c>
      <c r="P905" s="83">
        <v>320</v>
      </c>
      <c r="Q905" s="83">
        <f>P905*J905</f>
        <v>16000</v>
      </c>
      <c r="S905" s="7">
        <f t="shared" si="18"/>
        <v>320</v>
      </c>
      <c r="T905" s="1318">
        <f t="shared" si="19"/>
        <v>16000</v>
      </c>
      <c r="U905" s="20"/>
    </row>
    <row r="906" spans="3:21" s="7" customFormat="1" ht="16.899999999999999" customHeight="1">
      <c r="C906" s="6" t="s">
        <v>2608</v>
      </c>
      <c r="D906" s="13" t="s">
        <v>2539</v>
      </c>
      <c r="E906" s="21"/>
      <c r="F906" s="285"/>
      <c r="G906" s="38" t="s">
        <v>13</v>
      </c>
      <c r="H906" s="8"/>
      <c r="I906" s="94" ph="1"/>
      <c r="J906" s="39">
        <v>1</v>
      </c>
      <c r="K906" s="40">
        <v>20</v>
      </c>
      <c r="L906" s="33">
        <v>44333</v>
      </c>
      <c r="M906" s="33"/>
      <c r="N906" s="115">
        <v>44333</v>
      </c>
      <c r="O906" s="32">
        <v>3158</v>
      </c>
      <c r="P906" s="83">
        <v>1800</v>
      </c>
      <c r="Q906" s="83">
        <f>P906*J906</f>
        <v>1800</v>
      </c>
      <c r="S906" s="7">
        <f t="shared" si="18"/>
        <v>1800</v>
      </c>
      <c r="T906" s="1318">
        <f t="shared" si="19"/>
        <v>1800</v>
      </c>
      <c r="U906" s="20"/>
    </row>
    <row r="907" spans="3:21" s="159" customFormat="1" ht="15">
      <c r="C907" s="149" t="s">
        <v>2608</v>
      </c>
      <c r="D907" s="150" t="s">
        <v>2539</v>
      </c>
      <c r="E907" s="151"/>
      <c r="F907" s="152"/>
      <c r="G907" s="152" t="s">
        <v>168</v>
      </c>
      <c r="H907" s="154" t="s">
        <v>169</v>
      </c>
      <c r="I907" s="155"/>
      <c r="J907" s="153"/>
      <c r="K907" s="885">
        <v>0</v>
      </c>
      <c r="L907" s="157">
        <v>44333</v>
      </c>
      <c r="M907" s="157"/>
      <c r="N907" s="158">
        <v>44333</v>
      </c>
      <c r="O907" s="156">
        <v>3158</v>
      </c>
      <c r="P907" s="164">
        <v>0</v>
      </c>
      <c r="Q907" s="165">
        <v>0</v>
      </c>
      <c r="S907" s="7">
        <f t="shared" si="18"/>
        <v>0</v>
      </c>
      <c r="T907" s="1318">
        <f t="shared" si="19"/>
        <v>0</v>
      </c>
      <c r="U907" s="268"/>
    </row>
    <row r="908" spans="3:21" s="7" customFormat="1" ht="18" customHeight="1">
      <c r="C908" s="6" t="s">
        <v>2609</v>
      </c>
      <c r="D908" s="13" t="s">
        <v>2003</v>
      </c>
      <c r="E908" s="18" t="s">
        <v>2185</v>
      </c>
      <c r="F908" s="92"/>
      <c r="G908" s="21"/>
      <c r="H908" s="17"/>
      <c r="I908" s="56"/>
      <c r="J908" s="17"/>
      <c r="K908" s="611"/>
      <c r="L908" s="33">
        <v>44336</v>
      </c>
      <c r="M908" s="33"/>
      <c r="N908" s="115">
        <v>44336</v>
      </c>
      <c r="O908" s="32">
        <v>3171</v>
      </c>
      <c r="P908" s="83"/>
      <c r="Q908" s="83"/>
      <c r="S908" s="7">
        <f t="shared" si="18"/>
        <v>0</v>
      </c>
      <c r="T908" s="1318">
        <f t="shared" si="19"/>
        <v>0</v>
      </c>
      <c r="U908" s="128"/>
    </row>
    <row r="909" spans="3:21" ht="18" customHeight="1">
      <c r="C909" s="6" t="s">
        <v>2609</v>
      </c>
      <c r="D909" s="13" t="s">
        <v>2003</v>
      </c>
      <c r="E909" s="21" t="s">
        <v>2610</v>
      </c>
      <c r="F909" s="596"/>
      <c r="G909" s="21" t="s">
        <v>116</v>
      </c>
      <c r="H909" s="93">
        <v>14</v>
      </c>
      <c r="I909" s="94">
        <v>1</v>
      </c>
      <c r="J909" s="55">
        <v>14</v>
      </c>
      <c r="K909" s="611">
        <f>ROUNDUP(P909/0.7/110,2)</f>
        <v>1.94</v>
      </c>
      <c r="L909" s="33">
        <v>44336</v>
      </c>
      <c r="M909" s="33"/>
      <c r="N909" s="115">
        <v>44336</v>
      </c>
      <c r="O909" s="32">
        <v>3171</v>
      </c>
      <c r="P909" s="1">
        <v>149</v>
      </c>
      <c r="Q909" s="83">
        <f>P909*J909</f>
        <v>2086</v>
      </c>
      <c r="S909" s="7">
        <f t="shared" si="18"/>
        <v>149</v>
      </c>
      <c r="T909" s="1318">
        <f t="shared" si="19"/>
        <v>2086</v>
      </c>
    </row>
    <row r="910" spans="3:21" s="7" customFormat="1" ht="16.899999999999999" customHeight="1">
      <c r="C910" s="6" t="s">
        <v>2609</v>
      </c>
      <c r="D910" s="13" t="s">
        <v>2003</v>
      </c>
      <c r="E910" s="21"/>
      <c r="F910" s="285"/>
      <c r="G910" s="38" t="s">
        <v>13</v>
      </c>
      <c r="H910" s="8"/>
      <c r="I910" s="94" ph="1"/>
      <c r="J910" s="39">
        <v>1</v>
      </c>
      <c r="K910" s="611">
        <v>15</v>
      </c>
      <c r="L910" s="33">
        <v>44336</v>
      </c>
      <c r="M910" s="33"/>
      <c r="N910" s="115">
        <v>44336</v>
      </c>
      <c r="O910" s="32">
        <v>3171</v>
      </c>
      <c r="P910" s="83">
        <v>0</v>
      </c>
      <c r="Q910" s="83">
        <f>P910*J910</f>
        <v>0</v>
      </c>
      <c r="S910" s="7">
        <f t="shared" si="18"/>
        <v>0</v>
      </c>
      <c r="T910" s="1318">
        <f t="shared" si="19"/>
        <v>0</v>
      </c>
      <c r="U910" s="20"/>
    </row>
    <row r="911" spans="3:21" s="159" customFormat="1" ht="15">
      <c r="C911" s="149" t="s">
        <v>2609</v>
      </c>
      <c r="D911" s="150" t="s">
        <v>2003</v>
      </c>
      <c r="E911" s="151"/>
      <c r="F911" s="152"/>
      <c r="G911" s="152" t="s">
        <v>168</v>
      </c>
      <c r="H911" s="154" t="s">
        <v>169</v>
      </c>
      <c r="I911" s="155"/>
      <c r="J911" s="153"/>
      <c r="K911" s="885">
        <v>0</v>
      </c>
      <c r="L911" s="157">
        <v>44336</v>
      </c>
      <c r="M911" s="157"/>
      <c r="N911" s="158">
        <v>44336</v>
      </c>
      <c r="O911" s="156">
        <v>3171</v>
      </c>
      <c r="P911" s="164">
        <v>0</v>
      </c>
      <c r="Q911" s="165">
        <v>0</v>
      </c>
      <c r="S911" s="7">
        <f t="shared" si="18"/>
        <v>0</v>
      </c>
      <c r="T911" s="1318">
        <f t="shared" si="19"/>
        <v>0</v>
      </c>
      <c r="U911" s="268"/>
    </row>
    <row r="912" spans="3:21" s="7" customFormat="1" ht="18" customHeight="1">
      <c r="C912" s="6" t="s">
        <v>2611</v>
      </c>
      <c r="D912" s="13" t="s">
        <v>2539</v>
      </c>
      <c r="E912" s="18" t="s">
        <v>262</v>
      </c>
      <c r="F912" s="92"/>
      <c r="G912" s="21"/>
      <c r="H912" s="93"/>
      <c r="I912" s="94"/>
      <c r="J912" s="93"/>
      <c r="K912" s="28" t="s">
        <v>8</v>
      </c>
      <c r="L912" s="33">
        <v>44354</v>
      </c>
      <c r="M912" s="33"/>
      <c r="N912" s="115">
        <v>44354</v>
      </c>
      <c r="O912" s="32">
        <v>3219</v>
      </c>
      <c r="P912" s="83"/>
      <c r="Q912" s="83"/>
      <c r="S912" s="7">
        <f t="shared" si="18"/>
        <v>0</v>
      </c>
      <c r="T912" s="1318">
        <f t="shared" si="19"/>
        <v>0</v>
      </c>
      <c r="U912" s="13"/>
    </row>
    <row r="913" spans="3:21" s="7" customFormat="1" ht="18" customHeight="1">
      <c r="C913" s="6" t="s">
        <v>2611</v>
      </c>
      <c r="D913" s="13" t="s">
        <v>2539</v>
      </c>
      <c r="E913" s="21" t="s">
        <v>2557</v>
      </c>
      <c r="F913" s="92">
        <v>148</v>
      </c>
      <c r="G913" s="21" t="s">
        <v>2612</v>
      </c>
      <c r="H913" s="17">
        <v>4</v>
      </c>
      <c r="I913" s="56">
        <v>3</v>
      </c>
      <c r="J913" s="17">
        <f>H913*I913</f>
        <v>12</v>
      </c>
      <c r="K913" s="40">
        <v>5.84</v>
      </c>
      <c r="L913" s="33">
        <v>44354</v>
      </c>
      <c r="M913" s="33"/>
      <c r="N913" s="115">
        <v>44354</v>
      </c>
      <c r="O913" s="32">
        <v>3219</v>
      </c>
      <c r="P913" s="83">
        <v>420</v>
      </c>
      <c r="Q913" s="83">
        <f>P913*J913</f>
        <v>5040</v>
      </c>
      <c r="S913" s="7">
        <f t="shared" si="18"/>
        <v>420</v>
      </c>
      <c r="T913" s="1318">
        <f t="shared" si="19"/>
        <v>5040</v>
      </c>
      <c r="U913" s="20"/>
    </row>
    <row r="914" spans="3:21" s="7" customFormat="1" ht="18" customHeight="1">
      <c r="C914" s="6" t="s">
        <v>2611</v>
      </c>
      <c r="D914" s="13" t="s">
        <v>2539</v>
      </c>
      <c r="E914" s="21" t="s">
        <v>2557</v>
      </c>
      <c r="F914" s="92">
        <v>148</v>
      </c>
      <c r="G914" s="21" t="s">
        <v>2612</v>
      </c>
      <c r="H914" s="17">
        <v>7.5</v>
      </c>
      <c r="I914" s="56">
        <v>1</v>
      </c>
      <c r="J914" s="17">
        <f>H914*I914</f>
        <v>7.5</v>
      </c>
      <c r="K914" s="40">
        <v>5.84</v>
      </c>
      <c r="L914" s="33">
        <v>44354</v>
      </c>
      <c r="M914" s="33"/>
      <c r="N914" s="115">
        <v>44354</v>
      </c>
      <c r="O914" s="32">
        <v>3219</v>
      </c>
      <c r="P914" s="83">
        <v>420</v>
      </c>
      <c r="Q914" s="83">
        <f>P914*J914</f>
        <v>3150</v>
      </c>
      <c r="S914" s="7">
        <f t="shared" si="18"/>
        <v>420</v>
      </c>
      <c r="T914" s="1318">
        <f t="shared" si="19"/>
        <v>3150</v>
      </c>
      <c r="U914" s="20"/>
    </row>
    <row r="915" spans="3:21" s="7" customFormat="1" ht="18" customHeight="1">
      <c r="C915" s="6" t="s">
        <v>2611</v>
      </c>
      <c r="D915" s="13" t="s">
        <v>2539</v>
      </c>
      <c r="E915" s="21" t="s">
        <v>2557</v>
      </c>
      <c r="F915" s="92">
        <v>148</v>
      </c>
      <c r="G915" s="21" t="s">
        <v>26</v>
      </c>
      <c r="H915" s="17">
        <v>1</v>
      </c>
      <c r="I915" s="56">
        <v>1</v>
      </c>
      <c r="J915" s="17">
        <f>H915*I915</f>
        <v>1</v>
      </c>
      <c r="K915" s="40">
        <v>5.84</v>
      </c>
      <c r="L915" s="33">
        <v>44354</v>
      </c>
      <c r="M915" s="33"/>
      <c r="N915" s="115">
        <v>44354</v>
      </c>
      <c r="O915" s="32">
        <v>3219</v>
      </c>
      <c r="P915" s="83">
        <v>420</v>
      </c>
      <c r="Q915" s="83">
        <f>P915*J915</f>
        <v>420</v>
      </c>
      <c r="S915" s="7">
        <f t="shared" ref="S915:S978" si="25">P915</f>
        <v>420</v>
      </c>
      <c r="T915" s="1318">
        <f t="shared" si="19"/>
        <v>420</v>
      </c>
      <c r="U915" s="20"/>
    </row>
    <row r="916" spans="3:21" s="7" customFormat="1" ht="16.899999999999999" customHeight="1">
      <c r="C916" s="6" t="s">
        <v>2611</v>
      </c>
      <c r="D916" s="13" t="s">
        <v>2539</v>
      </c>
      <c r="E916" s="21"/>
      <c r="F916" s="285"/>
      <c r="G916" s="38" t="s">
        <v>13</v>
      </c>
      <c r="H916" s="8"/>
      <c r="I916" s="94" ph="1"/>
      <c r="J916" s="39">
        <v>1</v>
      </c>
      <c r="K916" s="40">
        <v>20</v>
      </c>
      <c r="L916" s="33">
        <v>44354</v>
      </c>
      <c r="M916" s="33"/>
      <c r="N916" s="115">
        <v>44354</v>
      </c>
      <c r="O916" s="32">
        <v>3219</v>
      </c>
      <c r="P916" s="83">
        <v>1000</v>
      </c>
      <c r="Q916" s="83">
        <f>P916*J916</f>
        <v>1000</v>
      </c>
      <c r="S916" s="7">
        <f t="shared" si="25"/>
        <v>1000</v>
      </c>
      <c r="T916" s="1318">
        <f t="shared" ref="T916:T979" si="26">Q916</f>
        <v>1000</v>
      </c>
      <c r="U916" s="20"/>
    </row>
    <row r="917" spans="3:21" s="159" customFormat="1" ht="15">
      <c r="C917" s="149" t="s">
        <v>2611</v>
      </c>
      <c r="D917" s="150" t="s">
        <v>2539</v>
      </c>
      <c r="E917" s="151"/>
      <c r="F917" s="152"/>
      <c r="G917" s="152" t="s">
        <v>168</v>
      </c>
      <c r="H917" s="154" t="s">
        <v>169</v>
      </c>
      <c r="I917" s="155"/>
      <c r="J917" s="153"/>
      <c r="K917" s="160">
        <v>0</v>
      </c>
      <c r="L917" s="157">
        <v>44354</v>
      </c>
      <c r="M917" s="157"/>
      <c r="N917" s="158">
        <v>44354</v>
      </c>
      <c r="O917" s="156">
        <v>3219</v>
      </c>
      <c r="P917" s="164">
        <v>0</v>
      </c>
      <c r="Q917" s="165">
        <v>0</v>
      </c>
      <c r="S917" s="7">
        <f t="shared" si="25"/>
        <v>0</v>
      </c>
      <c r="T917" s="1318">
        <f t="shared" si="26"/>
        <v>0</v>
      </c>
      <c r="U917" s="268"/>
    </row>
    <row r="918" spans="3:21" s="121" customFormat="1" ht="18" customHeight="1">
      <c r="C918" s="119" t="s">
        <v>2613</v>
      </c>
      <c r="D918" s="123" t="s">
        <v>2003</v>
      </c>
      <c r="E918" s="330" t="s">
        <v>2185</v>
      </c>
      <c r="F918" s="331"/>
      <c r="G918" s="102"/>
      <c r="H918" s="332"/>
      <c r="I918" s="333"/>
      <c r="J918" s="332"/>
      <c r="K918" s="748"/>
      <c r="L918" s="267" t="s">
        <v>2614</v>
      </c>
      <c r="M918" s="267"/>
      <c r="N918" s="111"/>
      <c r="O918" s="110"/>
      <c r="P918" s="226"/>
      <c r="Q918" s="226"/>
      <c r="S918" s="7">
        <f t="shared" si="25"/>
        <v>0</v>
      </c>
      <c r="T918" s="1318">
        <f t="shared" si="26"/>
        <v>0</v>
      </c>
      <c r="U918" s="889"/>
    </row>
    <row r="919" spans="3:21" s="341" customFormat="1" ht="18" customHeight="1">
      <c r="C919" s="119" t="s">
        <v>2613</v>
      </c>
      <c r="D919" s="123" t="s">
        <v>2003</v>
      </c>
      <c r="E919" s="102" t="s">
        <v>2615</v>
      </c>
      <c r="F919" s="746"/>
      <c r="G919" s="102" t="s">
        <v>46</v>
      </c>
      <c r="H919" s="122">
        <v>13.7</v>
      </c>
      <c r="I919" s="129">
        <v>1</v>
      </c>
      <c r="J919" s="332">
        <f>H919*I919</f>
        <v>13.7</v>
      </c>
      <c r="K919" s="748">
        <v>1.51</v>
      </c>
      <c r="L919" s="267" t="s">
        <v>2614</v>
      </c>
      <c r="M919" s="267"/>
      <c r="N919" s="111"/>
      <c r="O919" s="110"/>
      <c r="P919" s="341">
        <v>116</v>
      </c>
      <c r="Q919" s="226">
        <f>P919*J919</f>
        <v>1589.1999999999998</v>
      </c>
      <c r="S919" s="7">
        <f t="shared" si="25"/>
        <v>116</v>
      </c>
      <c r="T919" s="1318">
        <f t="shared" si="26"/>
        <v>1589.1999999999998</v>
      </c>
      <c r="U919" s="890"/>
    </row>
    <row r="920" spans="3:21" s="121" customFormat="1" ht="16.899999999999999" customHeight="1">
      <c r="C920" s="119" t="s">
        <v>2613</v>
      </c>
      <c r="D920" s="123" t="s">
        <v>2003</v>
      </c>
      <c r="E920" s="102"/>
      <c r="F920" s="891"/>
      <c r="G920" s="105" t="s">
        <v>13</v>
      </c>
      <c r="H920" s="125"/>
      <c r="I920" s="129" ph="1"/>
      <c r="J920" s="339">
        <v>1</v>
      </c>
      <c r="K920" s="748">
        <v>15</v>
      </c>
      <c r="L920" s="267" t="s">
        <v>2614</v>
      </c>
      <c r="M920" s="267"/>
      <c r="N920" s="111"/>
      <c r="O920" s="110"/>
      <c r="P920" s="226">
        <v>900</v>
      </c>
      <c r="Q920" s="226">
        <f>P920*J920</f>
        <v>900</v>
      </c>
      <c r="S920" s="7">
        <f t="shared" si="25"/>
        <v>900</v>
      </c>
      <c r="T920" s="1318">
        <f t="shared" si="26"/>
        <v>900</v>
      </c>
      <c r="U920" s="892"/>
    </row>
    <row r="921" spans="3:21" s="341" customFormat="1" ht="15">
      <c r="C921" s="119" t="s">
        <v>2613</v>
      </c>
      <c r="D921" s="123" t="s">
        <v>2003</v>
      </c>
      <c r="E921" s="124"/>
      <c r="F921" s="105"/>
      <c r="G921" s="105" t="s">
        <v>168</v>
      </c>
      <c r="H921" s="339" t="s">
        <v>169</v>
      </c>
      <c r="I921" s="129"/>
      <c r="J921" s="122"/>
      <c r="K921" s="893">
        <v>0</v>
      </c>
      <c r="L921" s="267" t="s">
        <v>2614</v>
      </c>
      <c r="M921" s="267"/>
      <c r="N921" s="111"/>
      <c r="O921" s="110"/>
      <c r="P921" s="226">
        <v>0</v>
      </c>
      <c r="Q921" s="340">
        <v>0</v>
      </c>
      <c r="S921" s="7">
        <f t="shared" si="25"/>
        <v>0</v>
      </c>
      <c r="T921" s="1318">
        <f t="shared" si="26"/>
        <v>0</v>
      </c>
      <c r="U921" s="334"/>
    </row>
    <row r="922" spans="3:21" s="7" customFormat="1" ht="18" customHeight="1">
      <c r="C922" s="6" t="s">
        <v>2616</v>
      </c>
      <c r="D922" s="13" t="s">
        <v>2617</v>
      </c>
      <c r="E922" s="18" t="s">
        <v>2593</v>
      </c>
      <c r="F922" s="92"/>
      <c r="G922" s="21"/>
      <c r="H922" s="93"/>
      <c r="I922" s="94"/>
      <c r="J922" s="93"/>
      <c r="K922" s="28" t="s">
        <v>8</v>
      </c>
      <c r="L922" s="33">
        <v>44354</v>
      </c>
      <c r="M922" s="33"/>
      <c r="N922" s="115">
        <v>44354</v>
      </c>
      <c r="O922" s="32">
        <v>3217</v>
      </c>
      <c r="P922" s="83"/>
      <c r="Q922" s="83"/>
      <c r="S922" s="7">
        <f t="shared" si="25"/>
        <v>0</v>
      </c>
      <c r="T922" s="1318">
        <f t="shared" si="26"/>
        <v>0</v>
      </c>
      <c r="U922" s="13"/>
    </row>
    <row r="923" spans="3:21" s="7" customFormat="1" ht="18" customHeight="1">
      <c r="C923" s="6" t="s">
        <v>2616</v>
      </c>
      <c r="D923" s="13" t="s">
        <v>2617</v>
      </c>
      <c r="E923" s="21" t="s">
        <v>2618</v>
      </c>
      <c r="F923" s="92">
        <v>92</v>
      </c>
      <c r="G923" s="21" t="s">
        <v>46</v>
      </c>
      <c r="H923" s="55">
        <v>2</v>
      </c>
      <c r="I923" s="55">
        <v>2</v>
      </c>
      <c r="J923" s="55">
        <v>2</v>
      </c>
      <c r="K923" s="611">
        <v>10.8</v>
      </c>
      <c r="L923" s="33">
        <v>44354</v>
      </c>
      <c r="M923" s="33"/>
      <c r="N923" s="115">
        <v>44354</v>
      </c>
      <c r="O923" s="32">
        <v>3217</v>
      </c>
      <c r="P923" s="83">
        <v>950</v>
      </c>
      <c r="Q923" s="83">
        <f>P923*J923</f>
        <v>1900</v>
      </c>
      <c r="S923" s="7">
        <f t="shared" si="25"/>
        <v>950</v>
      </c>
      <c r="T923" s="1318">
        <f t="shared" si="26"/>
        <v>1900</v>
      </c>
      <c r="U923" s="20"/>
    </row>
    <row r="924" spans="3:21" s="7" customFormat="1" ht="16.899999999999999" customHeight="1">
      <c r="C924" s="6" t="s">
        <v>2616</v>
      </c>
      <c r="D924" s="13" t="s">
        <v>2617</v>
      </c>
      <c r="E924" s="21"/>
      <c r="F924" s="285"/>
      <c r="G924" s="38" t="s">
        <v>154</v>
      </c>
      <c r="H924" s="8"/>
      <c r="I924" s="94" ph="1"/>
      <c r="J924" s="39">
        <v>1</v>
      </c>
      <c r="K924" s="611">
        <v>15</v>
      </c>
      <c r="L924" s="33">
        <v>44354</v>
      </c>
      <c r="M924" s="33"/>
      <c r="N924" s="115">
        <v>44354</v>
      </c>
      <c r="O924" s="32">
        <v>3217</v>
      </c>
      <c r="P924" s="83">
        <v>0</v>
      </c>
      <c r="Q924" s="83">
        <f>P924*J924</f>
        <v>0</v>
      </c>
      <c r="S924" s="7">
        <f t="shared" si="25"/>
        <v>0</v>
      </c>
      <c r="T924" s="1318">
        <f t="shared" si="26"/>
        <v>0</v>
      </c>
      <c r="U924" s="20"/>
    </row>
    <row r="925" spans="3:21" s="7" customFormat="1" ht="16.899999999999999" customHeight="1">
      <c r="C925" s="6" t="s">
        <v>2616</v>
      </c>
      <c r="D925" s="13" t="s">
        <v>2617</v>
      </c>
      <c r="E925" s="21"/>
      <c r="F925" s="285"/>
      <c r="G925" s="38" t="s">
        <v>13</v>
      </c>
      <c r="H925" s="8"/>
      <c r="I925" s="94" ph="1"/>
      <c r="J925" s="39">
        <v>1</v>
      </c>
      <c r="K925" s="611">
        <v>15</v>
      </c>
      <c r="L925" s="33">
        <v>44354</v>
      </c>
      <c r="M925" s="33"/>
      <c r="N925" s="115">
        <v>44354</v>
      </c>
      <c r="O925" s="32">
        <v>3217</v>
      </c>
      <c r="P925" s="83">
        <v>1000</v>
      </c>
      <c r="Q925" s="83">
        <f>P925*J925</f>
        <v>1000</v>
      </c>
      <c r="S925" s="7">
        <f t="shared" si="25"/>
        <v>1000</v>
      </c>
      <c r="T925" s="1318">
        <f t="shared" si="26"/>
        <v>1000</v>
      </c>
      <c r="U925" s="20"/>
    </row>
    <row r="926" spans="3:21" s="159" customFormat="1" ht="15">
      <c r="C926" s="149" t="s">
        <v>2616</v>
      </c>
      <c r="D926" s="150" t="s">
        <v>2617</v>
      </c>
      <c r="E926" s="151"/>
      <c r="F926" s="152"/>
      <c r="G926" s="152" t="s">
        <v>168</v>
      </c>
      <c r="H926" s="154"/>
      <c r="I926" s="155"/>
      <c r="J926" s="153"/>
      <c r="K926" s="600">
        <v>18</v>
      </c>
      <c r="L926" s="157">
        <v>44354</v>
      </c>
      <c r="M926" s="157"/>
      <c r="N926" s="158">
        <v>44354</v>
      </c>
      <c r="O926" s="156">
        <v>3217</v>
      </c>
      <c r="P926" s="164">
        <v>1927</v>
      </c>
      <c r="Q926" s="164">
        <v>1927</v>
      </c>
      <c r="S926" s="7">
        <f t="shared" si="25"/>
        <v>1927</v>
      </c>
      <c r="T926" s="1318">
        <f t="shared" si="26"/>
        <v>1927</v>
      </c>
      <c r="U926" s="268"/>
    </row>
    <row r="927" spans="3:21" s="7" customFormat="1" ht="18" customHeight="1">
      <c r="C927" s="6" t="s">
        <v>2613</v>
      </c>
      <c r="D927" s="13" t="s">
        <v>2003</v>
      </c>
      <c r="E927" s="18" t="s">
        <v>2185</v>
      </c>
      <c r="F927" s="92"/>
      <c r="G927" s="21"/>
      <c r="H927" s="17"/>
      <c r="I927" s="56"/>
      <c r="J927" s="17"/>
      <c r="K927" s="611"/>
      <c r="L927" s="33">
        <v>44358</v>
      </c>
      <c r="M927" s="33"/>
      <c r="N927" s="115">
        <v>44358</v>
      </c>
      <c r="O927" s="32" t="s">
        <v>2619</v>
      </c>
      <c r="P927" s="83"/>
      <c r="Q927" s="83"/>
      <c r="S927" s="7">
        <f t="shared" si="25"/>
        <v>0</v>
      </c>
      <c r="T927" s="1318">
        <f t="shared" si="26"/>
        <v>0</v>
      </c>
      <c r="U927" s="128"/>
    </row>
    <row r="928" spans="3:21" ht="18" customHeight="1">
      <c r="C928" s="6" t="s">
        <v>2613</v>
      </c>
      <c r="D928" s="13" t="s">
        <v>2003</v>
      </c>
      <c r="E928" s="21" t="s">
        <v>2620</v>
      </c>
      <c r="F928" s="596"/>
      <c r="G928" s="21" t="s">
        <v>46</v>
      </c>
      <c r="H928" s="55">
        <v>10</v>
      </c>
      <c r="I928" s="55">
        <v>10</v>
      </c>
      <c r="J928" s="55">
        <v>10</v>
      </c>
      <c r="K928" s="611">
        <v>1.81</v>
      </c>
      <c r="L928" s="33">
        <v>44358</v>
      </c>
      <c r="M928" s="33"/>
      <c r="N928" s="115">
        <v>44358</v>
      </c>
      <c r="O928" s="32" t="s">
        <v>2619</v>
      </c>
      <c r="P928" s="1">
        <v>139</v>
      </c>
      <c r="Q928" s="83">
        <f>P928*J928</f>
        <v>1390</v>
      </c>
      <c r="S928" s="7">
        <f t="shared" si="25"/>
        <v>139</v>
      </c>
      <c r="T928" s="1318">
        <f t="shared" si="26"/>
        <v>1390</v>
      </c>
    </row>
    <row r="929" spans="3:21" s="7" customFormat="1" ht="16.899999999999999" customHeight="1">
      <c r="C929" s="6" t="s">
        <v>2613</v>
      </c>
      <c r="D929" s="13" t="s">
        <v>2003</v>
      </c>
      <c r="E929" s="21"/>
      <c r="F929" s="285"/>
      <c r="G929" s="38" t="s">
        <v>13</v>
      </c>
      <c r="H929" s="8"/>
      <c r="I929" s="94" ph="1"/>
      <c r="J929" s="39">
        <v>1</v>
      </c>
      <c r="K929" s="611">
        <v>15</v>
      </c>
      <c r="L929" s="33">
        <v>44358</v>
      </c>
      <c r="M929" s="33"/>
      <c r="N929" s="115">
        <v>44358</v>
      </c>
      <c r="O929" s="32" t="s">
        <v>2619</v>
      </c>
      <c r="P929" s="83">
        <v>900</v>
      </c>
      <c r="Q929" s="83">
        <f>P929*J929</f>
        <v>900</v>
      </c>
      <c r="S929" s="7">
        <f t="shared" si="25"/>
        <v>900</v>
      </c>
      <c r="T929" s="1318">
        <f t="shared" si="26"/>
        <v>900</v>
      </c>
      <c r="U929" s="20"/>
    </row>
    <row r="930" spans="3:21" s="159" customFormat="1" ht="15">
      <c r="C930" s="149" t="s">
        <v>2613</v>
      </c>
      <c r="D930" s="150" t="s">
        <v>2003</v>
      </c>
      <c r="E930" s="151"/>
      <c r="F930" s="152"/>
      <c r="G930" s="152" t="s">
        <v>168</v>
      </c>
      <c r="H930" s="154" t="s">
        <v>169</v>
      </c>
      <c r="I930" s="155"/>
      <c r="J930" s="153"/>
      <c r="K930" s="894">
        <v>0</v>
      </c>
      <c r="L930" s="157">
        <v>44358</v>
      </c>
      <c r="M930" s="157"/>
      <c r="N930" s="158">
        <v>44358</v>
      </c>
      <c r="O930" s="156" t="s">
        <v>2619</v>
      </c>
      <c r="P930" s="164">
        <v>1927</v>
      </c>
      <c r="Q930" s="164">
        <v>1927</v>
      </c>
      <c r="S930" s="7">
        <f t="shared" si="25"/>
        <v>1927</v>
      </c>
      <c r="T930" s="1318">
        <f t="shared" si="26"/>
        <v>1927</v>
      </c>
      <c r="U930" s="268"/>
    </row>
    <row r="931" spans="3:21" s="7" customFormat="1" ht="18" customHeight="1">
      <c r="C931" s="6" t="s">
        <v>2621</v>
      </c>
      <c r="D931" s="13" t="s">
        <v>2622</v>
      </c>
      <c r="E931" s="18" t="s">
        <v>2623</v>
      </c>
      <c r="F931" s="92"/>
      <c r="G931" s="21"/>
      <c r="H931" s="93"/>
      <c r="I931" s="94"/>
      <c r="J931" s="93"/>
      <c r="K931" s="95" t="s">
        <v>8</v>
      </c>
      <c r="L931" s="33">
        <v>44370</v>
      </c>
      <c r="M931" s="33"/>
      <c r="N931" s="115">
        <v>44370</v>
      </c>
      <c r="O931" s="32">
        <v>3264</v>
      </c>
      <c r="P931" s="83"/>
      <c r="Q931" s="83"/>
      <c r="S931" s="7">
        <f t="shared" si="25"/>
        <v>0</v>
      </c>
      <c r="T931" s="1318">
        <f t="shared" si="26"/>
        <v>0</v>
      </c>
      <c r="U931" s="13"/>
    </row>
    <row r="932" spans="3:21" s="7" customFormat="1" ht="18" customHeight="1">
      <c r="C932" s="6" t="s">
        <v>2621</v>
      </c>
      <c r="D932" s="13" t="s">
        <v>2622</v>
      </c>
      <c r="E932" s="21">
        <v>3336</v>
      </c>
      <c r="F932" s="596">
        <v>30</v>
      </c>
      <c r="G932" s="21" t="s">
        <v>38</v>
      </c>
      <c r="H932" s="93">
        <v>20</v>
      </c>
      <c r="I932" s="94">
        <v>3</v>
      </c>
      <c r="J932" s="55">
        <f>H932*I932</f>
        <v>60</v>
      </c>
      <c r="K932" s="611">
        <v>1.07</v>
      </c>
      <c r="L932" s="33">
        <v>44370</v>
      </c>
      <c r="M932" s="33"/>
      <c r="N932" s="115">
        <v>44370</v>
      </c>
      <c r="O932" s="32">
        <v>3264</v>
      </c>
      <c r="P932" s="83">
        <v>56</v>
      </c>
      <c r="Q932" s="83">
        <f>P932*J932</f>
        <v>3360</v>
      </c>
      <c r="S932" s="7">
        <f t="shared" si="25"/>
        <v>56</v>
      </c>
      <c r="T932" s="1318">
        <f t="shared" si="26"/>
        <v>3360</v>
      </c>
      <c r="U932" s="895" t="s">
        <v>2624</v>
      </c>
    </row>
    <row r="933" spans="3:21" s="7" customFormat="1" ht="18" customHeight="1">
      <c r="C933" s="6" t="s">
        <v>2621</v>
      </c>
      <c r="D933" s="13" t="s">
        <v>2622</v>
      </c>
      <c r="E933" s="21">
        <v>3336</v>
      </c>
      <c r="F933" s="596">
        <v>20</v>
      </c>
      <c r="G933" s="21" t="s">
        <v>2625</v>
      </c>
      <c r="H933" s="93">
        <v>20</v>
      </c>
      <c r="I933" s="94">
        <v>2</v>
      </c>
      <c r="J933" s="55">
        <f>H933*I933</f>
        <v>40</v>
      </c>
      <c r="K933" s="611">
        <v>0.88</v>
      </c>
      <c r="L933" s="33">
        <v>44370</v>
      </c>
      <c r="M933" s="33"/>
      <c r="N933" s="115">
        <v>44370</v>
      </c>
      <c r="O933" s="32">
        <v>3264</v>
      </c>
      <c r="P933" s="83">
        <v>57.5</v>
      </c>
      <c r="Q933" s="83">
        <f>P933*J933</f>
        <v>2300</v>
      </c>
      <c r="S933" s="7">
        <f t="shared" si="25"/>
        <v>57.5</v>
      </c>
      <c r="T933" s="1318">
        <f t="shared" si="26"/>
        <v>2300</v>
      </c>
      <c r="U933" s="20"/>
    </row>
    <row r="934" spans="3:21" s="7" customFormat="1" ht="18" customHeight="1">
      <c r="C934" s="6" t="s">
        <v>2621</v>
      </c>
      <c r="D934" s="13" t="s">
        <v>2622</v>
      </c>
      <c r="E934" s="21">
        <v>3336</v>
      </c>
      <c r="F934" s="596">
        <v>30</v>
      </c>
      <c r="G934" s="21" t="s">
        <v>2625</v>
      </c>
      <c r="H934" s="93">
        <v>20</v>
      </c>
      <c r="I934" s="94">
        <v>3</v>
      </c>
      <c r="J934" s="55">
        <f>H934*I934</f>
        <v>60</v>
      </c>
      <c r="K934" s="611">
        <v>1.07</v>
      </c>
      <c r="L934" s="33">
        <v>44370</v>
      </c>
      <c r="M934" s="33"/>
      <c r="N934" s="115">
        <v>44370</v>
      </c>
      <c r="O934" s="32">
        <v>3264</v>
      </c>
      <c r="P934" s="83">
        <v>56</v>
      </c>
      <c r="Q934" s="83">
        <f>P934*J934</f>
        <v>3360</v>
      </c>
      <c r="S934" s="7">
        <f t="shared" si="25"/>
        <v>56</v>
      </c>
      <c r="T934" s="1318">
        <f t="shared" si="26"/>
        <v>3360</v>
      </c>
      <c r="U934" s="895" t="s">
        <v>2624</v>
      </c>
    </row>
    <row r="935" spans="3:21" s="7" customFormat="1" ht="15">
      <c r="C935" s="6" t="s">
        <v>2621</v>
      </c>
      <c r="D935" s="13" t="s">
        <v>2622</v>
      </c>
      <c r="E935" s="48"/>
      <c r="F935" s="38"/>
      <c r="G935" s="38" t="s">
        <v>13</v>
      </c>
      <c r="H935" s="39"/>
      <c r="I935" s="94"/>
      <c r="J935" s="39">
        <v>1</v>
      </c>
      <c r="K935" s="611">
        <v>15</v>
      </c>
      <c r="L935" s="33">
        <v>44370</v>
      </c>
      <c r="M935" s="33"/>
      <c r="N935" s="115">
        <v>44370</v>
      </c>
      <c r="O935" s="32">
        <v>3264</v>
      </c>
      <c r="P935" s="83">
        <v>0</v>
      </c>
      <c r="Q935" s="83">
        <v>0</v>
      </c>
      <c r="S935" s="7">
        <f t="shared" si="25"/>
        <v>0</v>
      </c>
      <c r="T935" s="1318">
        <f t="shared" si="26"/>
        <v>0</v>
      </c>
      <c r="U935" s="22"/>
    </row>
    <row r="936" spans="3:21" s="193" customFormat="1" ht="15">
      <c r="C936" s="149" t="s">
        <v>2621</v>
      </c>
      <c r="D936" s="150" t="s">
        <v>2622</v>
      </c>
      <c r="E936" s="151"/>
      <c r="F936" s="152"/>
      <c r="G936" s="152" t="s">
        <v>168</v>
      </c>
      <c r="H936" s="154"/>
      <c r="I936" s="155"/>
      <c r="J936" s="153"/>
      <c r="K936" s="600">
        <v>85</v>
      </c>
      <c r="L936" s="157">
        <v>44370</v>
      </c>
      <c r="M936" s="157"/>
      <c r="N936" s="158">
        <v>44370</v>
      </c>
      <c r="O936" s="156">
        <v>3264</v>
      </c>
      <c r="P936" s="179">
        <v>8953</v>
      </c>
      <c r="Q936" s="179">
        <v>8953</v>
      </c>
      <c r="S936" s="7">
        <f t="shared" si="25"/>
        <v>8953</v>
      </c>
      <c r="T936" s="1318">
        <f t="shared" si="26"/>
        <v>8953</v>
      </c>
      <c r="U936" s="268"/>
    </row>
    <row r="937" spans="3:21" s="177" customFormat="1" ht="18" customHeight="1">
      <c r="C937" s="167" t="s">
        <v>2626</v>
      </c>
      <c r="D937" s="168" t="s">
        <v>2627</v>
      </c>
      <c r="E937" s="169" t="s">
        <v>216</v>
      </c>
      <c r="F937" s="170"/>
      <c r="G937" s="171"/>
      <c r="H937" s="173"/>
      <c r="I937" s="174"/>
      <c r="J937" s="172">
        <v>1</v>
      </c>
      <c r="K937" s="896">
        <v>26</v>
      </c>
      <c r="L937" s="235">
        <v>44357</v>
      </c>
      <c r="M937" s="235"/>
      <c r="N937" s="176">
        <v>44357</v>
      </c>
      <c r="O937" s="175">
        <v>3226</v>
      </c>
      <c r="P937" s="897">
        <v>2794</v>
      </c>
      <c r="Q937" s="897">
        <v>2794</v>
      </c>
      <c r="S937" s="7">
        <f t="shared" si="25"/>
        <v>2794</v>
      </c>
      <c r="T937" s="1318">
        <f t="shared" si="26"/>
        <v>2794</v>
      </c>
      <c r="U937" s="212"/>
    </row>
    <row r="938" spans="3:21" s="7" customFormat="1" ht="15">
      <c r="C938" s="6" t="s">
        <v>2628</v>
      </c>
      <c r="D938" s="13" t="s">
        <v>2277</v>
      </c>
      <c r="E938" s="18" t="s">
        <v>19</v>
      </c>
      <c r="F938" s="23"/>
      <c r="G938" s="21"/>
      <c r="H938" s="55"/>
      <c r="I938" s="56"/>
      <c r="J938" s="55"/>
      <c r="K938" s="15" t="s">
        <v>8</v>
      </c>
      <c r="L938" s="33">
        <v>44412</v>
      </c>
      <c r="M938" s="33"/>
      <c r="N938" s="115">
        <v>44412</v>
      </c>
      <c r="O938" s="32">
        <v>3361</v>
      </c>
      <c r="P938" s="100"/>
      <c r="Q938" s="100"/>
      <c r="S938" s="7">
        <f t="shared" si="25"/>
        <v>0</v>
      </c>
      <c r="T938" s="1318">
        <f t="shared" si="26"/>
        <v>0</v>
      </c>
      <c r="U938" s="6" t="s">
        <v>3</v>
      </c>
    </row>
    <row r="939" spans="3:21" s="7" customFormat="1" ht="15">
      <c r="C939" s="6" t="s">
        <v>2628</v>
      </c>
      <c r="D939" s="13" t="s">
        <v>2277</v>
      </c>
      <c r="E939" s="739">
        <v>221184</v>
      </c>
      <c r="F939" s="23"/>
      <c r="G939" s="21" t="s">
        <v>25</v>
      </c>
      <c r="H939" s="93">
        <v>13.7</v>
      </c>
      <c r="I939" s="94">
        <v>8</v>
      </c>
      <c r="J939" s="107">
        <f>H939*I939</f>
        <v>109.6</v>
      </c>
      <c r="K939" s="611">
        <v>9.82</v>
      </c>
      <c r="L939" s="33">
        <v>44412</v>
      </c>
      <c r="M939" s="33"/>
      <c r="N939" s="115">
        <v>44412</v>
      </c>
      <c r="O939" s="32">
        <v>3361</v>
      </c>
      <c r="P939" s="83">
        <v>810</v>
      </c>
      <c r="Q939" s="83">
        <f>P939*J939</f>
        <v>88776</v>
      </c>
      <c r="S939" s="7">
        <f t="shared" si="25"/>
        <v>810</v>
      </c>
      <c r="T939" s="1318">
        <f t="shared" si="26"/>
        <v>88776</v>
      </c>
      <c r="U939" s="22"/>
    </row>
    <row r="940" spans="3:21" ht="15">
      <c r="C940" s="6" t="s">
        <v>2628</v>
      </c>
      <c r="D940" s="13" t="s">
        <v>2277</v>
      </c>
      <c r="E940" s="48"/>
      <c r="F940" s="38"/>
      <c r="G940" s="38" t="s">
        <v>13</v>
      </c>
      <c r="H940" s="39"/>
      <c r="I940" s="94"/>
      <c r="J940" s="39">
        <v>1</v>
      </c>
      <c r="K940" s="611">
        <v>12</v>
      </c>
      <c r="L940" s="33">
        <v>44412</v>
      </c>
      <c r="M940" s="33"/>
      <c r="N940" s="115">
        <v>44412</v>
      </c>
      <c r="O940" s="32">
        <v>3361</v>
      </c>
      <c r="P940" s="83">
        <v>0</v>
      </c>
      <c r="Q940" s="83">
        <f>P940*J940</f>
        <v>0</v>
      </c>
      <c r="R940" s="7"/>
      <c r="S940" s="7">
        <f t="shared" si="25"/>
        <v>0</v>
      </c>
      <c r="T940" s="1318">
        <f t="shared" si="26"/>
        <v>0</v>
      </c>
      <c r="U940" s="22"/>
    </row>
    <row r="941" spans="3:21" s="159" customFormat="1" ht="15">
      <c r="C941" s="149" t="s">
        <v>2628</v>
      </c>
      <c r="D941" s="150" t="s">
        <v>2277</v>
      </c>
      <c r="E941" s="151"/>
      <c r="F941" s="152"/>
      <c r="G941" s="152" t="s">
        <v>168</v>
      </c>
      <c r="H941" s="154" t="s">
        <v>169</v>
      </c>
      <c r="I941" s="155"/>
      <c r="J941" s="153"/>
      <c r="K941" s="894">
        <v>0</v>
      </c>
      <c r="L941" s="157">
        <v>44412</v>
      </c>
      <c r="M941" s="157"/>
      <c r="N941" s="158">
        <v>44412</v>
      </c>
      <c r="O941" s="156">
        <v>3361</v>
      </c>
      <c r="P941" s="164"/>
      <c r="Q941" s="164"/>
      <c r="S941" s="7">
        <f t="shared" si="25"/>
        <v>0</v>
      </c>
      <c r="T941" s="1318">
        <f t="shared" si="26"/>
        <v>0</v>
      </c>
      <c r="U941" s="268"/>
    </row>
    <row r="942" spans="3:21" s="177" customFormat="1" ht="18" customHeight="1">
      <c r="C942" s="167" t="s">
        <v>2629</v>
      </c>
      <c r="D942" s="168" t="s">
        <v>2244</v>
      </c>
      <c r="E942" s="169" t="s">
        <v>2630</v>
      </c>
      <c r="F942" s="170"/>
      <c r="G942" s="171"/>
      <c r="H942" s="173"/>
      <c r="I942" s="174"/>
      <c r="J942" s="172">
        <v>1</v>
      </c>
      <c r="K942" s="896">
        <v>26</v>
      </c>
      <c r="L942" s="235">
        <v>44372</v>
      </c>
      <c r="M942" s="235"/>
      <c r="N942" s="176">
        <v>44372</v>
      </c>
      <c r="O942" s="175">
        <v>3273</v>
      </c>
      <c r="P942" s="897">
        <v>2778</v>
      </c>
      <c r="Q942" s="897">
        <v>2778</v>
      </c>
      <c r="S942" s="7">
        <f t="shared" si="25"/>
        <v>2778</v>
      </c>
      <c r="T942" s="1318">
        <f t="shared" si="26"/>
        <v>2778</v>
      </c>
      <c r="U942" s="212"/>
    </row>
    <row r="943" spans="3:21" s="7" customFormat="1" ht="18" customHeight="1">
      <c r="C943" s="6" t="s">
        <v>2631</v>
      </c>
      <c r="D943" s="13" t="s">
        <v>2003</v>
      </c>
      <c r="E943" s="18" t="s">
        <v>2185</v>
      </c>
      <c r="F943" s="92"/>
      <c r="G943" s="21"/>
      <c r="H943" s="17"/>
      <c r="I943" s="56"/>
      <c r="J943" s="17"/>
      <c r="K943" s="611"/>
      <c r="L943" s="33">
        <v>44386</v>
      </c>
      <c r="M943" s="33"/>
      <c r="N943" s="115">
        <v>44386</v>
      </c>
      <c r="O943" s="32">
        <v>3312</v>
      </c>
      <c r="P943" s="83"/>
      <c r="Q943" s="83"/>
      <c r="S943" s="7">
        <f t="shared" si="25"/>
        <v>0</v>
      </c>
      <c r="T943" s="1318">
        <f t="shared" si="26"/>
        <v>0</v>
      </c>
      <c r="U943" s="128"/>
    </row>
    <row r="944" spans="3:21" ht="18" customHeight="1">
      <c r="C944" s="6" t="s">
        <v>2631</v>
      </c>
      <c r="D944" s="13" t="s">
        <v>2003</v>
      </c>
      <c r="E944" s="21" t="s">
        <v>2632</v>
      </c>
      <c r="F944" s="596"/>
      <c r="G944" s="21" t="s">
        <v>46</v>
      </c>
      <c r="H944" s="55">
        <v>10</v>
      </c>
      <c r="I944" s="55">
        <v>10</v>
      </c>
      <c r="J944" s="55">
        <v>10</v>
      </c>
      <c r="K944" s="611">
        <v>1.1299999999999999</v>
      </c>
      <c r="L944" s="33">
        <v>44386</v>
      </c>
      <c r="M944" s="33"/>
      <c r="N944" s="115">
        <v>44386</v>
      </c>
      <c r="O944" s="32">
        <v>3312</v>
      </c>
      <c r="P944" s="1">
        <v>87</v>
      </c>
      <c r="Q944" s="83">
        <f>P944*J944</f>
        <v>870</v>
      </c>
      <c r="S944" s="7">
        <f t="shared" si="25"/>
        <v>87</v>
      </c>
      <c r="T944" s="1318">
        <f t="shared" si="26"/>
        <v>870</v>
      </c>
    </row>
    <row r="945" spans="3:21" s="7" customFormat="1" ht="16.899999999999999" customHeight="1">
      <c r="C945" s="6" t="s">
        <v>2631</v>
      </c>
      <c r="D945" s="13" t="s">
        <v>2003</v>
      </c>
      <c r="E945" s="21"/>
      <c r="F945" s="285"/>
      <c r="G945" s="38" t="s">
        <v>13</v>
      </c>
      <c r="H945" s="8"/>
      <c r="I945" s="94" ph="1"/>
      <c r="J945" s="39">
        <v>1</v>
      </c>
      <c r="K945" s="611">
        <v>15</v>
      </c>
      <c r="L945" s="33">
        <v>44386</v>
      </c>
      <c r="M945" s="33"/>
      <c r="N945" s="115">
        <v>44386</v>
      </c>
      <c r="O945" s="32">
        <v>3312</v>
      </c>
      <c r="P945" s="83">
        <v>900</v>
      </c>
      <c r="Q945" s="83">
        <f>P945*J945</f>
        <v>900</v>
      </c>
      <c r="S945" s="7">
        <f t="shared" si="25"/>
        <v>900</v>
      </c>
      <c r="T945" s="1318">
        <f t="shared" si="26"/>
        <v>900</v>
      </c>
      <c r="U945" s="20"/>
    </row>
    <row r="946" spans="3:21" s="159" customFormat="1" ht="15">
      <c r="C946" s="149" t="s">
        <v>2631</v>
      </c>
      <c r="D946" s="150" t="s">
        <v>2003</v>
      </c>
      <c r="E946" s="151"/>
      <c r="F946" s="152"/>
      <c r="G946" s="152" t="s">
        <v>168</v>
      </c>
      <c r="H946" s="154" t="s">
        <v>169</v>
      </c>
      <c r="I946" s="155"/>
      <c r="J946" s="153"/>
      <c r="K946" s="894">
        <v>0</v>
      </c>
      <c r="L946" s="157">
        <v>44386</v>
      </c>
      <c r="M946" s="157"/>
      <c r="N946" s="158">
        <v>44386</v>
      </c>
      <c r="O946" s="156">
        <v>3312</v>
      </c>
      <c r="P946" s="164"/>
      <c r="Q946" s="164"/>
      <c r="S946" s="7">
        <f t="shared" si="25"/>
        <v>0</v>
      </c>
      <c r="T946" s="1318">
        <f t="shared" si="26"/>
        <v>0</v>
      </c>
      <c r="U946" s="268"/>
    </row>
    <row r="947" spans="3:21" s="7" customFormat="1" ht="18" customHeight="1">
      <c r="C947" s="6" t="s">
        <v>2633</v>
      </c>
      <c r="D947" s="13" t="s">
        <v>2003</v>
      </c>
      <c r="E947" s="18" t="s">
        <v>2185</v>
      </c>
      <c r="F947" s="92"/>
      <c r="G947" s="21"/>
      <c r="H947" s="17"/>
      <c r="I947" s="56"/>
      <c r="J947" s="17"/>
      <c r="K947" s="611"/>
      <c r="L947" s="33">
        <v>44398</v>
      </c>
      <c r="M947" s="33"/>
      <c r="N947" s="115">
        <v>44398</v>
      </c>
      <c r="O947" s="32">
        <v>3349</v>
      </c>
      <c r="P947" s="83"/>
      <c r="Q947" s="83"/>
      <c r="S947" s="7">
        <f t="shared" si="25"/>
        <v>0</v>
      </c>
      <c r="T947" s="1318">
        <f t="shared" si="26"/>
        <v>0</v>
      </c>
      <c r="U947" s="128"/>
    </row>
    <row r="948" spans="3:21" ht="18" customHeight="1">
      <c r="C948" s="6" t="s">
        <v>2633</v>
      </c>
      <c r="D948" s="13" t="s">
        <v>2003</v>
      </c>
      <c r="E948" s="21" t="s">
        <v>2632</v>
      </c>
      <c r="F948" s="596"/>
      <c r="G948" s="21" t="s">
        <v>46</v>
      </c>
      <c r="H948" s="55">
        <v>10</v>
      </c>
      <c r="I948" s="55">
        <v>10</v>
      </c>
      <c r="J948" s="55">
        <v>10</v>
      </c>
      <c r="K948" s="611">
        <v>1.1299999999999999</v>
      </c>
      <c r="L948" s="33">
        <v>44398</v>
      </c>
      <c r="M948" s="33"/>
      <c r="N948" s="115">
        <v>44398</v>
      </c>
      <c r="O948" s="32">
        <v>3349</v>
      </c>
      <c r="P948" s="1">
        <v>87</v>
      </c>
      <c r="Q948" s="83">
        <f>P948*J948</f>
        <v>870</v>
      </c>
      <c r="S948" s="7">
        <f t="shared" si="25"/>
        <v>87</v>
      </c>
      <c r="T948" s="1318">
        <f t="shared" si="26"/>
        <v>870</v>
      </c>
    </row>
    <row r="949" spans="3:21" ht="18" customHeight="1">
      <c r="C949" s="6" t="s">
        <v>2633</v>
      </c>
      <c r="D949" s="13" t="s">
        <v>2003</v>
      </c>
      <c r="E949" s="21" t="s">
        <v>2634</v>
      </c>
      <c r="F949" s="596"/>
      <c r="G949" s="21" t="s">
        <v>46</v>
      </c>
      <c r="H949" s="55">
        <v>5</v>
      </c>
      <c r="I949" s="55">
        <v>5</v>
      </c>
      <c r="J949" s="55">
        <v>5</v>
      </c>
      <c r="K949" s="611">
        <v>0.55000000000000004</v>
      </c>
      <c r="L949" s="33">
        <v>44398</v>
      </c>
      <c r="M949" s="33"/>
      <c r="N949" s="115">
        <v>44398</v>
      </c>
      <c r="O949" s="32">
        <v>3349</v>
      </c>
      <c r="P949" s="1">
        <v>42</v>
      </c>
      <c r="Q949" s="83">
        <f>P949*J949</f>
        <v>210</v>
      </c>
      <c r="S949" s="7">
        <f t="shared" si="25"/>
        <v>42</v>
      </c>
      <c r="T949" s="1318">
        <f t="shared" si="26"/>
        <v>210</v>
      </c>
    </row>
    <row r="950" spans="3:21" ht="18" customHeight="1">
      <c r="C950" s="6" t="s">
        <v>2633</v>
      </c>
      <c r="D950" s="13" t="s">
        <v>2003</v>
      </c>
      <c r="E950" s="21" t="s">
        <v>2635</v>
      </c>
      <c r="F950" s="596"/>
      <c r="G950" s="21" t="s">
        <v>46</v>
      </c>
      <c r="H950" s="55">
        <v>5</v>
      </c>
      <c r="I950" s="55">
        <v>5</v>
      </c>
      <c r="J950" s="55">
        <v>5</v>
      </c>
      <c r="K950" s="611">
        <v>0.37</v>
      </c>
      <c r="L950" s="33">
        <v>44398</v>
      </c>
      <c r="M950" s="33"/>
      <c r="N950" s="115">
        <v>44398</v>
      </c>
      <c r="O950" s="32">
        <v>3349</v>
      </c>
      <c r="P950" s="1">
        <v>28</v>
      </c>
      <c r="Q950" s="83">
        <f>P950*J950</f>
        <v>140</v>
      </c>
      <c r="S950" s="7">
        <f t="shared" si="25"/>
        <v>28</v>
      </c>
      <c r="T950" s="1318">
        <f t="shared" si="26"/>
        <v>140</v>
      </c>
    </row>
    <row r="951" spans="3:21" s="7" customFormat="1" ht="16.899999999999999" customHeight="1">
      <c r="C951" s="6" t="s">
        <v>2633</v>
      </c>
      <c r="D951" s="13" t="s">
        <v>2003</v>
      </c>
      <c r="E951" s="21"/>
      <c r="F951" s="285"/>
      <c r="G951" s="38" t="s">
        <v>13</v>
      </c>
      <c r="H951" s="8"/>
      <c r="I951" s="94" ph="1"/>
      <c r="J951" s="39">
        <v>1</v>
      </c>
      <c r="K951" s="611">
        <v>15</v>
      </c>
      <c r="L951" s="33">
        <v>44398</v>
      </c>
      <c r="M951" s="33"/>
      <c r="N951" s="115">
        <v>44398</v>
      </c>
      <c r="O951" s="32">
        <v>3349</v>
      </c>
      <c r="P951" s="83">
        <v>900</v>
      </c>
      <c r="Q951" s="83">
        <f>P951*J951</f>
        <v>900</v>
      </c>
      <c r="S951" s="7">
        <f t="shared" si="25"/>
        <v>900</v>
      </c>
      <c r="T951" s="1318">
        <f t="shared" si="26"/>
        <v>900</v>
      </c>
      <c r="U951" s="20"/>
    </row>
    <row r="952" spans="3:21" s="159" customFormat="1" ht="15">
      <c r="C952" s="149" t="s">
        <v>2633</v>
      </c>
      <c r="D952" s="150" t="s">
        <v>2003</v>
      </c>
      <c r="E952" s="151"/>
      <c r="F952" s="152"/>
      <c r="G952" s="152" t="s">
        <v>168</v>
      </c>
      <c r="H952" s="154" t="s">
        <v>169</v>
      </c>
      <c r="I952" s="155"/>
      <c r="J952" s="153"/>
      <c r="K952" s="894">
        <v>0</v>
      </c>
      <c r="L952" s="157">
        <v>44398</v>
      </c>
      <c r="M952" s="157"/>
      <c r="N952" s="158">
        <v>44398</v>
      </c>
      <c r="O952" s="156">
        <v>3349</v>
      </c>
      <c r="P952" s="164"/>
      <c r="Q952" s="164"/>
      <c r="S952" s="7">
        <f t="shared" si="25"/>
        <v>0</v>
      </c>
      <c r="T952" s="1318">
        <f t="shared" si="26"/>
        <v>0</v>
      </c>
      <c r="U952" s="268"/>
    </row>
    <row r="953" spans="3:21" s="7" customFormat="1" ht="18" customHeight="1">
      <c r="C953" s="6" t="s">
        <v>2636</v>
      </c>
      <c r="D953" s="13" t="s">
        <v>1979</v>
      </c>
      <c r="E953" s="18" t="s">
        <v>1978</v>
      </c>
      <c r="F953" s="92"/>
      <c r="G953" s="21"/>
      <c r="H953" s="93"/>
      <c r="I953" s="94"/>
      <c r="J953" s="93"/>
      <c r="K953" s="95" t="s">
        <v>8</v>
      </c>
      <c r="L953" s="33">
        <v>44411</v>
      </c>
      <c r="M953" s="33"/>
      <c r="N953" s="115">
        <v>44411</v>
      </c>
      <c r="O953" s="32">
        <v>3379</v>
      </c>
      <c r="P953" s="83"/>
      <c r="Q953" s="83"/>
      <c r="S953" s="7">
        <f t="shared" si="25"/>
        <v>0</v>
      </c>
      <c r="T953" s="1318">
        <f t="shared" si="26"/>
        <v>0</v>
      </c>
      <c r="U953" s="13"/>
    </row>
    <row r="954" spans="3:21" s="7" customFormat="1" ht="18" customHeight="1">
      <c r="C954" s="6" t="s">
        <v>2636</v>
      </c>
      <c r="D954" s="13" t="s">
        <v>1979</v>
      </c>
      <c r="E954" s="21">
        <v>1966</v>
      </c>
      <c r="F954" s="596"/>
      <c r="G954" s="21" t="s">
        <v>2555</v>
      </c>
      <c r="H954" s="93">
        <v>30</v>
      </c>
      <c r="I954" s="94">
        <v>5</v>
      </c>
      <c r="J954" s="55">
        <f>H954*I954</f>
        <v>150</v>
      </c>
      <c r="K954" s="611">
        <v>0.63</v>
      </c>
      <c r="L954" s="33">
        <v>44411</v>
      </c>
      <c r="M954" s="33"/>
      <c r="N954" s="115">
        <v>44411</v>
      </c>
      <c r="O954" s="32">
        <v>3379</v>
      </c>
      <c r="P954" s="83">
        <v>41</v>
      </c>
      <c r="Q954" s="83">
        <f>P954*J954</f>
        <v>6150</v>
      </c>
      <c r="S954" s="7">
        <f t="shared" si="25"/>
        <v>41</v>
      </c>
      <c r="T954" s="1318">
        <f t="shared" si="26"/>
        <v>6150</v>
      </c>
      <c r="U954" s="20"/>
    </row>
    <row r="955" spans="3:21" s="7" customFormat="1" ht="15">
      <c r="C955" s="6" t="s">
        <v>2636</v>
      </c>
      <c r="D955" s="13" t="s">
        <v>1979</v>
      </c>
      <c r="E955" s="48"/>
      <c r="F955" s="38"/>
      <c r="G955" s="38" t="s">
        <v>13</v>
      </c>
      <c r="H955" s="39"/>
      <c r="I955" s="94"/>
      <c r="J955" s="39">
        <v>1</v>
      </c>
      <c r="K955" s="611">
        <v>12</v>
      </c>
      <c r="L955" s="33">
        <v>44411</v>
      </c>
      <c r="M955" s="33"/>
      <c r="N955" s="115">
        <v>44411</v>
      </c>
      <c r="O955" s="32">
        <v>3379</v>
      </c>
      <c r="P955" s="83">
        <v>900</v>
      </c>
      <c r="Q955" s="83">
        <f>P955*J955</f>
        <v>900</v>
      </c>
      <c r="S955" s="7">
        <f t="shared" si="25"/>
        <v>900</v>
      </c>
      <c r="T955" s="1318">
        <f t="shared" si="26"/>
        <v>900</v>
      </c>
      <c r="U955" s="22"/>
    </row>
    <row r="956" spans="3:21" s="193" customFormat="1" ht="15">
      <c r="C956" s="149" t="s">
        <v>2636</v>
      </c>
      <c r="D956" s="150" t="s">
        <v>1979</v>
      </c>
      <c r="E956" s="151"/>
      <c r="F956" s="152"/>
      <c r="G956" s="152" t="s">
        <v>168</v>
      </c>
      <c r="H956" s="154" t="s">
        <v>169</v>
      </c>
      <c r="I956" s="155"/>
      <c r="J956" s="153"/>
      <c r="K956" s="894">
        <v>0</v>
      </c>
      <c r="L956" s="157">
        <v>44411</v>
      </c>
      <c r="M956" s="157"/>
      <c r="N956" s="158">
        <v>44411</v>
      </c>
      <c r="O956" s="156">
        <v>3379</v>
      </c>
      <c r="P956" s="164"/>
      <c r="Q956" s="164"/>
      <c r="S956" s="7">
        <f t="shared" si="25"/>
        <v>0</v>
      </c>
      <c r="T956" s="1318">
        <f t="shared" si="26"/>
        <v>0</v>
      </c>
      <c r="U956" s="268"/>
    </row>
    <row r="957" spans="3:21" s="7" customFormat="1" ht="18" customHeight="1">
      <c r="C957" s="6" t="s">
        <v>2637</v>
      </c>
      <c r="D957" s="13" t="s">
        <v>2595</v>
      </c>
      <c r="E957" s="18" t="s">
        <v>2185</v>
      </c>
      <c r="F957" s="92"/>
      <c r="G957" s="21"/>
      <c r="H957" s="17"/>
      <c r="I957" s="56"/>
      <c r="J957" s="17"/>
      <c r="K957" s="611"/>
      <c r="L957" s="688"/>
      <c r="M957" s="688"/>
      <c r="N957" s="33">
        <v>44470</v>
      </c>
      <c r="O957" s="32">
        <v>3481</v>
      </c>
      <c r="P957" s="83"/>
      <c r="Q957" s="83"/>
      <c r="S957" s="7">
        <f t="shared" si="25"/>
        <v>0</v>
      </c>
      <c r="T957" s="1318">
        <f t="shared" si="26"/>
        <v>0</v>
      </c>
      <c r="U957" s="128"/>
    </row>
    <row r="958" spans="3:21" ht="18" customHeight="1">
      <c r="C958" s="6" t="s">
        <v>2637</v>
      </c>
      <c r="D958" s="13" t="s">
        <v>2595</v>
      </c>
      <c r="E958" s="21" t="s">
        <v>2605</v>
      </c>
      <c r="F958" s="596"/>
      <c r="G958" s="21" t="s">
        <v>46</v>
      </c>
      <c r="H958" s="93">
        <v>13.7</v>
      </c>
      <c r="I958" s="94">
        <v>4</v>
      </c>
      <c r="J958" s="17">
        <f>H958*I958</f>
        <v>54.8</v>
      </c>
      <c r="K958" s="611">
        <v>3.12</v>
      </c>
      <c r="L958" s="598">
        <f>K958*J958</f>
        <v>170.976</v>
      </c>
      <c r="M958" s="898"/>
      <c r="N958" s="33">
        <v>44470</v>
      </c>
      <c r="O958" s="32">
        <v>3481</v>
      </c>
      <c r="P958" s="1">
        <v>240</v>
      </c>
      <c r="Q958" s="83">
        <f>P958*J958</f>
        <v>13152</v>
      </c>
      <c r="S958" s="7">
        <f t="shared" si="25"/>
        <v>240</v>
      </c>
      <c r="T958" s="1318">
        <f t="shared" si="26"/>
        <v>13152</v>
      </c>
    </row>
    <row r="959" spans="3:21" ht="18" customHeight="1">
      <c r="C959" s="6" t="s">
        <v>2638</v>
      </c>
      <c r="D959" s="13" t="s">
        <v>2595</v>
      </c>
      <c r="E959" s="21" t="s">
        <v>88</v>
      </c>
      <c r="F959" s="596"/>
      <c r="G959" s="21" t="s">
        <v>46</v>
      </c>
      <c r="H959" s="93">
        <v>14</v>
      </c>
      <c r="I959" s="94">
        <v>1</v>
      </c>
      <c r="J959" s="17">
        <f>H959*I959</f>
        <v>14</v>
      </c>
      <c r="K959" s="611">
        <v>4.43</v>
      </c>
      <c r="L959" s="598">
        <f>K959*J959</f>
        <v>62.019999999999996</v>
      </c>
      <c r="M959" s="898"/>
      <c r="N959" s="33">
        <v>44470</v>
      </c>
      <c r="O959" s="32">
        <v>3481</v>
      </c>
      <c r="P959" s="1">
        <v>341</v>
      </c>
      <c r="Q959" s="83">
        <f>P959*J959</f>
        <v>4774</v>
      </c>
      <c r="S959" s="7">
        <f t="shared" si="25"/>
        <v>341</v>
      </c>
      <c r="T959" s="1318">
        <f t="shared" si="26"/>
        <v>4774</v>
      </c>
    </row>
    <row r="960" spans="3:21" s="7" customFormat="1" ht="18" customHeight="1">
      <c r="C960" s="6" t="s">
        <v>2637</v>
      </c>
      <c r="D960" s="13" t="s">
        <v>2595</v>
      </c>
      <c r="E960" s="18" t="s">
        <v>2639</v>
      </c>
      <c r="F960" s="92"/>
      <c r="G960" s="21"/>
      <c r="H960" s="17"/>
      <c r="I960" s="56"/>
      <c r="J960" s="17"/>
      <c r="K960" s="611"/>
      <c r="L960" s="899"/>
      <c r="M960" s="899"/>
      <c r="N960" s="33">
        <v>44470</v>
      </c>
      <c r="O960" s="32">
        <v>3481</v>
      </c>
      <c r="P960" s="83"/>
      <c r="Q960" s="83"/>
      <c r="S960" s="7">
        <f t="shared" si="25"/>
        <v>0</v>
      </c>
      <c r="T960" s="1318">
        <f t="shared" si="26"/>
        <v>0</v>
      </c>
      <c r="U960" s="128"/>
    </row>
    <row r="961" spans="3:21" ht="18" customHeight="1">
      <c r="C961" s="6" t="s">
        <v>2637</v>
      </c>
      <c r="D961" s="13" t="s">
        <v>2595</v>
      </c>
      <c r="E961" s="21" t="s">
        <v>2607</v>
      </c>
      <c r="F961" s="596"/>
      <c r="G961" s="21" t="s">
        <v>46</v>
      </c>
      <c r="H961" s="93">
        <v>13.7</v>
      </c>
      <c r="I961" s="94">
        <v>3</v>
      </c>
      <c r="J961" s="17">
        <f>H961*I961</f>
        <v>41.099999999999994</v>
      </c>
      <c r="K961" s="611">
        <v>25.57</v>
      </c>
      <c r="L961" s="598">
        <f>K961*J961</f>
        <v>1050.9269999999999</v>
      </c>
      <c r="M961" s="898"/>
      <c r="N961" s="33">
        <v>44470</v>
      </c>
      <c r="O961" s="32">
        <v>3481</v>
      </c>
      <c r="P961" s="1">
        <v>2250</v>
      </c>
      <c r="Q961" s="83">
        <f>P961*J961</f>
        <v>92474.999999999985</v>
      </c>
      <c r="S961" s="7">
        <f t="shared" si="25"/>
        <v>2250</v>
      </c>
      <c r="T961" s="1318">
        <f t="shared" si="26"/>
        <v>92474.999999999985</v>
      </c>
    </row>
    <row r="962" spans="3:21" ht="18" customHeight="1">
      <c r="C962" s="6" t="s">
        <v>2637</v>
      </c>
      <c r="D962" s="13" t="s">
        <v>2595</v>
      </c>
      <c r="E962" s="21" t="s">
        <v>2640</v>
      </c>
      <c r="F962" s="596"/>
      <c r="G962" s="21" t="s">
        <v>46</v>
      </c>
      <c r="H962" s="93">
        <v>13.7</v>
      </c>
      <c r="I962" s="94">
        <v>1</v>
      </c>
      <c r="J962" s="17">
        <f>H962*I962</f>
        <v>13.7</v>
      </c>
      <c r="K962" s="611">
        <v>39.78</v>
      </c>
      <c r="L962" s="598">
        <f>K962*J962</f>
        <v>544.98599999999999</v>
      </c>
      <c r="M962" s="898"/>
      <c r="N962" s="33">
        <v>44470</v>
      </c>
      <c r="O962" s="32">
        <v>3481</v>
      </c>
      <c r="P962" s="1">
        <v>3500</v>
      </c>
      <c r="Q962" s="83">
        <f>P962*J962</f>
        <v>47950</v>
      </c>
      <c r="S962" s="7">
        <f t="shared" si="25"/>
        <v>3500</v>
      </c>
      <c r="T962" s="1318">
        <f t="shared" si="26"/>
        <v>47950</v>
      </c>
    </row>
    <row r="963" spans="3:21" ht="18" customHeight="1">
      <c r="C963" s="6" t="s">
        <v>2637</v>
      </c>
      <c r="D963" s="13" t="s">
        <v>2595</v>
      </c>
      <c r="E963" s="21" t="s">
        <v>2641</v>
      </c>
      <c r="F963" s="596"/>
      <c r="G963" s="21" t="s">
        <v>46</v>
      </c>
      <c r="H963" s="93">
        <v>13.7</v>
      </c>
      <c r="I963" s="94">
        <v>1</v>
      </c>
      <c r="J963" s="17">
        <f>H963*I963</f>
        <v>13.7</v>
      </c>
      <c r="K963" s="611">
        <v>36.369999999999997</v>
      </c>
      <c r="L963" s="598">
        <f>K963*J963</f>
        <v>498.26899999999995</v>
      </c>
      <c r="M963" s="898"/>
      <c r="N963" s="33">
        <v>44470</v>
      </c>
      <c r="O963" s="32">
        <v>3481</v>
      </c>
      <c r="P963" s="1">
        <v>3200</v>
      </c>
      <c r="Q963" s="83">
        <f>P963*J963</f>
        <v>43840</v>
      </c>
      <c r="S963" s="7">
        <f t="shared" si="25"/>
        <v>3200</v>
      </c>
      <c r="T963" s="1318">
        <f t="shared" si="26"/>
        <v>43840</v>
      </c>
    </row>
    <row r="964" spans="3:21" s="118" customFormat="1" ht="15">
      <c r="C964" s="116" t="s">
        <v>2636</v>
      </c>
      <c r="D964" s="116" t="s">
        <v>2637</v>
      </c>
      <c r="E964" s="81" t="s">
        <v>2595</v>
      </c>
      <c r="F964" s="36"/>
      <c r="G964" s="36" t="s">
        <v>13</v>
      </c>
      <c r="H964" s="37"/>
      <c r="I964" s="166"/>
      <c r="J964" s="37">
        <v>1</v>
      </c>
      <c r="K964" s="724">
        <v>12</v>
      </c>
      <c r="L964" s="900"/>
      <c r="M964" s="899"/>
      <c r="N964" s="33">
        <v>44470</v>
      </c>
      <c r="O964" s="32">
        <v>3481</v>
      </c>
      <c r="P964" s="225">
        <f>900</f>
        <v>900</v>
      </c>
      <c r="Q964" s="225">
        <f>P964*J964</f>
        <v>900</v>
      </c>
      <c r="S964" s="7">
        <f t="shared" si="25"/>
        <v>900</v>
      </c>
      <c r="T964" s="1318">
        <f t="shared" si="26"/>
        <v>900</v>
      </c>
      <c r="U964" s="127"/>
    </row>
    <row r="965" spans="3:21" s="159" customFormat="1" ht="15.75">
      <c r="C965" s="149" t="s">
        <v>2637</v>
      </c>
      <c r="D965" s="150" t="s">
        <v>2595</v>
      </c>
      <c r="E965" s="151"/>
      <c r="F965" s="152"/>
      <c r="G965" s="152" t="s">
        <v>168</v>
      </c>
      <c r="H965" s="154"/>
      <c r="I965" s="155"/>
      <c r="J965" s="153"/>
      <c r="K965" s="888" t="s">
        <v>169</v>
      </c>
      <c r="L965" s="601"/>
      <c r="M965" s="601"/>
      <c r="N965" s="157">
        <v>44470</v>
      </c>
      <c r="O965" s="156">
        <v>3481</v>
      </c>
      <c r="P965" s="164"/>
      <c r="Q965" s="165"/>
      <c r="S965" s="7">
        <f t="shared" si="25"/>
        <v>0</v>
      </c>
      <c r="T965" s="1318">
        <f t="shared" si="26"/>
        <v>0</v>
      </c>
      <c r="U965" s="268"/>
    </row>
    <row r="966" spans="3:21" s="7" customFormat="1" ht="15">
      <c r="C966" s="6" t="s">
        <v>2642</v>
      </c>
      <c r="D966" s="13" t="s">
        <v>2277</v>
      </c>
      <c r="E966" s="18" t="s">
        <v>19</v>
      </c>
      <c r="F966" s="23"/>
      <c r="G966" s="21"/>
      <c r="H966" s="55"/>
      <c r="I966" s="56"/>
      <c r="J966" s="55"/>
      <c r="K966" s="15" t="s">
        <v>8</v>
      </c>
      <c r="L966" s="33">
        <v>44412</v>
      </c>
      <c r="M966" s="33"/>
      <c r="N966" s="115">
        <v>44412</v>
      </c>
      <c r="O966" s="32">
        <v>3361</v>
      </c>
      <c r="P966" s="100"/>
      <c r="Q966" s="100"/>
      <c r="S966" s="7">
        <f t="shared" si="25"/>
        <v>0</v>
      </c>
      <c r="T966" s="1318">
        <f t="shared" si="26"/>
        <v>0</v>
      </c>
      <c r="U966" s="6" t="s">
        <v>3</v>
      </c>
    </row>
    <row r="967" spans="3:21" s="7" customFormat="1" ht="15">
      <c r="C967" s="6" t="s">
        <v>2642</v>
      </c>
      <c r="D967" s="13" t="s">
        <v>2277</v>
      </c>
      <c r="E967" s="739" t="s">
        <v>2643</v>
      </c>
      <c r="F967" s="23"/>
      <c r="G967" s="21" t="s">
        <v>25</v>
      </c>
      <c r="H967" s="93">
        <v>13.7</v>
      </c>
      <c r="I967" s="94">
        <v>22</v>
      </c>
      <c r="J967" s="107">
        <f>H967*I967</f>
        <v>301.39999999999998</v>
      </c>
      <c r="K967" s="611">
        <v>2.4300000000000002</v>
      </c>
      <c r="L967" s="33">
        <v>44412</v>
      </c>
      <c r="M967" s="33"/>
      <c r="N967" s="115">
        <v>44412</v>
      </c>
      <c r="O967" s="32">
        <v>3361</v>
      </c>
      <c r="P967" s="83">
        <v>200</v>
      </c>
      <c r="Q967" s="83">
        <f>P967*J967</f>
        <v>60279.999999999993</v>
      </c>
      <c r="S967" s="7">
        <f t="shared" si="25"/>
        <v>200</v>
      </c>
      <c r="T967" s="1318">
        <f t="shared" si="26"/>
        <v>60279.999999999993</v>
      </c>
      <c r="U967" s="22"/>
    </row>
    <row r="968" spans="3:21" ht="15">
      <c r="C968" s="6" t="s">
        <v>2642</v>
      </c>
      <c r="D968" s="13" t="s">
        <v>2277</v>
      </c>
      <c r="E968" s="48"/>
      <c r="F968" s="38"/>
      <c r="G968" s="38" t="s">
        <v>13</v>
      </c>
      <c r="H968" s="39"/>
      <c r="I968" s="94"/>
      <c r="J968" s="39">
        <v>1</v>
      </c>
      <c r="K968" s="611">
        <v>12</v>
      </c>
      <c r="L968" s="33">
        <v>44412</v>
      </c>
      <c r="M968" s="33"/>
      <c r="N968" s="115">
        <v>44412</v>
      </c>
      <c r="O968" s="32">
        <v>3361</v>
      </c>
      <c r="P968" s="83">
        <v>0</v>
      </c>
      <c r="Q968" s="83">
        <f>P968*J968</f>
        <v>0</v>
      </c>
      <c r="R968" s="7"/>
      <c r="S968" s="7">
        <f t="shared" si="25"/>
        <v>0</v>
      </c>
      <c r="T968" s="1318">
        <f t="shared" si="26"/>
        <v>0</v>
      </c>
      <c r="U968" s="22"/>
    </row>
    <row r="969" spans="3:21" s="159" customFormat="1" ht="15">
      <c r="C969" s="149" t="s">
        <v>2642</v>
      </c>
      <c r="D969" s="150" t="s">
        <v>2277</v>
      </c>
      <c r="E969" s="151"/>
      <c r="F969" s="152"/>
      <c r="G969" s="152" t="s">
        <v>168</v>
      </c>
      <c r="H969" s="154" t="s">
        <v>169</v>
      </c>
      <c r="I969" s="155"/>
      <c r="J969" s="153"/>
      <c r="K969" s="894">
        <v>0</v>
      </c>
      <c r="L969" s="157">
        <v>44412</v>
      </c>
      <c r="M969" s="157"/>
      <c r="N969" s="158">
        <v>44412</v>
      </c>
      <c r="O969" s="156">
        <v>3361</v>
      </c>
      <c r="P969" s="164"/>
      <c r="Q969" s="164"/>
      <c r="S969" s="7">
        <f t="shared" si="25"/>
        <v>0</v>
      </c>
      <c r="T969" s="1318">
        <f t="shared" si="26"/>
        <v>0</v>
      </c>
      <c r="U969" s="268"/>
    </row>
    <row r="970" spans="3:21" s="7" customFormat="1" ht="15">
      <c r="C970" s="6" t="s">
        <v>2644</v>
      </c>
      <c r="D970" s="13" t="s">
        <v>2277</v>
      </c>
      <c r="E970" s="18" t="s">
        <v>19</v>
      </c>
      <c r="F970" s="23"/>
      <c r="G970" s="21"/>
      <c r="H970" s="55"/>
      <c r="I970" s="56"/>
      <c r="J970" s="55"/>
      <c r="K970" s="15" t="s">
        <v>8</v>
      </c>
      <c r="L970" s="33">
        <v>44412</v>
      </c>
      <c r="M970" s="33"/>
      <c r="N970" s="115">
        <v>44412</v>
      </c>
      <c r="O970" s="32">
        <v>3361</v>
      </c>
      <c r="P970" s="100"/>
      <c r="Q970" s="100"/>
      <c r="S970" s="7">
        <f t="shared" si="25"/>
        <v>0</v>
      </c>
      <c r="T970" s="1318">
        <f t="shared" si="26"/>
        <v>0</v>
      </c>
      <c r="U970" s="6" t="s">
        <v>3</v>
      </c>
    </row>
    <row r="971" spans="3:21" s="7" customFormat="1" ht="15">
      <c r="C971" s="6" t="s">
        <v>2644</v>
      </c>
      <c r="D971" s="13" t="s">
        <v>2277</v>
      </c>
      <c r="E971" s="739">
        <v>257830</v>
      </c>
      <c r="F971" s="23"/>
      <c r="G971" s="21" t="s">
        <v>25</v>
      </c>
      <c r="H971" s="93">
        <v>13.7</v>
      </c>
      <c r="I971" s="94">
        <v>4</v>
      </c>
      <c r="J971" s="107">
        <f>H971*I971</f>
        <v>54.8</v>
      </c>
      <c r="K971" s="597">
        <v>1.49</v>
      </c>
      <c r="L971" s="33">
        <v>44412</v>
      </c>
      <c r="M971" s="33"/>
      <c r="N971" s="115">
        <v>44412</v>
      </c>
      <c r="O971" s="32">
        <v>3361</v>
      </c>
      <c r="P971" s="83">
        <v>123</v>
      </c>
      <c r="Q971" s="83">
        <f>P971*J971</f>
        <v>6740.4</v>
      </c>
      <c r="R971" s="11"/>
      <c r="S971" s="7">
        <f t="shared" si="25"/>
        <v>123</v>
      </c>
      <c r="T971" s="1318">
        <f t="shared" si="26"/>
        <v>6740.4</v>
      </c>
      <c r="U971" s="22"/>
    </row>
    <row r="972" spans="3:21" ht="15">
      <c r="C972" s="6" t="s">
        <v>2644</v>
      </c>
      <c r="D972" s="13" t="s">
        <v>2277</v>
      </c>
      <c r="E972" s="48"/>
      <c r="F972" s="38"/>
      <c r="G972" s="38" t="s">
        <v>13</v>
      </c>
      <c r="H972" s="39"/>
      <c r="I972" s="94"/>
      <c r="J972" s="39">
        <v>1</v>
      </c>
      <c r="K972" s="611">
        <v>12</v>
      </c>
      <c r="L972" s="33">
        <v>44412</v>
      </c>
      <c r="M972" s="33"/>
      <c r="N972" s="115">
        <v>44412</v>
      </c>
      <c r="O972" s="32">
        <v>3361</v>
      </c>
      <c r="P972" s="83">
        <v>0</v>
      </c>
      <c r="Q972" s="83">
        <f>P972*J972</f>
        <v>0</v>
      </c>
      <c r="R972" s="7"/>
      <c r="S972" s="7">
        <f t="shared" si="25"/>
        <v>0</v>
      </c>
      <c r="T972" s="1318">
        <f t="shared" si="26"/>
        <v>0</v>
      </c>
      <c r="U972" s="22"/>
    </row>
    <row r="973" spans="3:21" s="7" customFormat="1" ht="15">
      <c r="C973" s="6" t="s">
        <v>2644</v>
      </c>
      <c r="D973" s="13" t="s">
        <v>2277</v>
      </c>
      <c r="E973" s="739">
        <v>257830</v>
      </c>
      <c r="F973" s="23"/>
      <c r="G973" s="21" t="s">
        <v>25</v>
      </c>
      <c r="H973" s="93">
        <v>13.7</v>
      </c>
      <c r="I973" s="94">
        <v>7</v>
      </c>
      <c r="J973" s="107">
        <f>H973*I973</f>
        <v>95.899999999999991</v>
      </c>
      <c r="K973" s="597">
        <v>1.49</v>
      </c>
      <c r="L973" s="33">
        <v>44435</v>
      </c>
      <c r="M973" s="33"/>
      <c r="N973" s="115">
        <v>44435</v>
      </c>
      <c r="O973" s="690">
        <v>3453</v>
      </c>
      <c r="P973" s="83">
        <v>123</v>
      </c>
      <c r="Q973" s="83">
        <f>P973*J973</f>
        <v>11795.699999999999</v>
      </c>
      <c r="R973" s="11"/>
      <c r="S973" s="7">
        <f t="shared" si="25"/>
        <v>123</v>
      </c>
      <c r="T973" s="1318">
        <f t="shared" si="26"/>
        <v>11795.699999999999</v>
      </c>
      <c r="U973" s="22"/>
    </row>
    <row r="974" spans="3:21" s="159" customFormat="1" ht="15">
      <c r="C974" s="149" t="s">
        <v>2644</v>
      </c>
      <c r="D974" s="150" t="s">
        <v>2277</v>
      </c>
      <c r="E974" s="151"/>
      <c r="F974" s="152"/>
      <c r="G974" s="152" t="s">
        <v>168</v>
      </c>
      <c r="H974" s="154" t="s">
        <v>169</v>
      </c>
      <c r="I974" s="155"/>
      <c r="J974" s="153"/>
      <c r="K974" s="894">
        <v>0</v>
      </c>
      <c r="L974" s="157">
        <v>44435</v>
      </c>
      <c r="M974" s="157"/>
      <c r="N974" s="158">
        <v>44435</v>
      </c>
      <c r="O974" s="880">
        <v>3453</v>
      </c>
      <c r="P974" s="164"/>
      <c r="Q974" s="164"/>
      <c r="S974" s="7">
        <f t="shared" si="25"/>
        <v>0</v>
      </c>
      <c r="T974" s="1318">
        <f t="shared" si="26"/>
        <v>0</v>
      </c>
      <c r="U974" s="268"/>
    </row>
    <row r="975" spans="3:21" s="7" customFormat="1" ht="18" customHeight="1">
      <c r="C975" s="6" t="s">
        <v>2645</v>
      </c>
      <c r="D975" s="13" t="s">
        <v>2539</v>
      </c>
      <c r="E975" s="18" t="s">
        <v>12</v>
      </c>
      <c r="F975" s="92"/>
      <c r="G975" s="21"/>
      <c r="H975" s="93"/>
      <c r="I975" s="94"/>
      <c r="J975" s="93"/>
      <c r="K975" s="28" t="s">
        <v>8</v>
      </c>
      <c r="L975" s="33">
        <v>44425</v>
      </c>
      <c r="M975" s="33"/>
      <c r="N975" s="115">
        <v>44425</v>
      </c>
      <c r="O975" s="32">
        <v>3408</v>
      </c>
      <c r="P975" s="83"/>
      <c r="Q975" s="83"/>
      <c r="S975" s="7">
        <f t="shared" si="25"/>
        <v>0</v>
      </c>
      <c r="T975" s="1318">
        <f t="shared" si="26"/>
        <v>0</v>
      </c>
      <c r="U975" s="13"/>
    </row>
    <row r="976" spans="3:21" s="7" customFormat="1" ht="18" customHeight="1">
      <c r="C976" s="6" t="s">
        <v>2645</v>
      </c>
      <c r="D976" s="13" t="s">
        <v>2539</v>
      </c>
      <c r="E976" s="21" t="s">
        <v>107</v>
      </c>
      <c r="F976" s="92">
        <v>160</v>
      </c>
      <c r="G976" s="21" t="s">
        <v>2541</v>
      </c>
      <c r="H976" s="93">
        <v>25</v>
      </c>
      <c r="I976" s="94">
        <v>1</v>
      </c>
      <c r="J976" s="55">
        <f>H976*I976</f>
        <v>25</v>
      </c>
      <c r="K976" s="40">
        <v>4.45</v>
      </c>
      <c r="L976" s="33">
        <v>44425</v>
      </c>
      <c r="M976" s="33"/>
      <c r="N976" s="115">
        <v>44425</v>
      </c>
      <c r="O976" s="32">
        <v>3408</v>
      </c>
      <c r="P976" s="83">
        <v>320</v>
      </c>
      <c r="Q976" s="83">
        <f>P976*J976</f>
        <v>8000</v>
      </c>
      <c r="S976" s="7">
        <f t="shared" si="25"/>
        <v>320</v>
      </c>
      <c r="T976" s="1318">
        <f t="shared" si="26"/>
        <v>8000</v>
      </c>
      <c r="U976" s="20"/>
    </row>
    <row r="977" spans="3:21" s="7" customFormat="1" ht="16.899999999999999" customHeight="1">
      <c r="C977" s="6" t="s">
        <v>2645</v>
      </c>
      <c r="D977" s="13" t="s">
        <v>2539</v>
      </c>
      <c r="E977" s="21"/>
      <c r="F977" s="285"/>
      <c r="G977" s="38" t="s">
        <v>154</v>
      </c>
      <c r="H977" s="8"/>
      <c r="I977" s="94" ph="1"/>
      <c r="J977" s="39">
        <v>1</v>
      </c>
      <c r="K977" s="40">
        <v>12</v>
      </c>
      <c r="L977" s="33">
        <v>44425</v>
      </c>
      <c r="M977" s="33"/>
      <c r="N977" s="115">
        <v>44425</v>
      </c>
      <c r="O977" s="32">
        <v>3408</v>
      </c>
      <c r="P977" s="83">
        <v>1000</v>
      </c>
      <c r="Q977" s="83">
        <f>P977*J977</f>
        <v>1000</v>
      </c>
      <c r="S977" s="7">
        <f t="shared" si="25"/>
        <v>1000</v>
      </c>
      <c r="T977" s="1318">
        <f t="shared" si="26"/>
        <v>1000</v>
      </c>
      <c r="U977" s="20"/>
    </row>
    <row r="978" spans="3:21" s="7" customFormat="1" ht="16.899999999999999" customHeight="1">
      <c r="C978" s="6" t="s">
        <v>2645</v>
      </c>
      <c r="D978" s="13" t="s">
        <v>2539</v>
      </c>
      <c r="E978" s="21"/>
      <c r="F978" s="285"/>
      <c r="G978" s="38" t="s">
        <v>13</v>
      </c>
      <c r="H978" s="8"/>
      <c r="I978" s="94" ph="1"/>
      <c r="J978" s="39">
        <v>1</v>
      </c>
      <c r="K978" s="40">
        <v>20</v>
      </c>
      <c r="L978" s="33">
        <v>44425</v>
      </c>
      <c r="M978" s="33"/>
      <c r="N978" s="115">
        <v>44425</v>
      </c>
      <c r="O978" s="32">
        <v>3408</v>
      </c>
      <c r="P978" s="83">
        <v>1000</v>
      </c>
      <c r="Q978" s="83">
        <f>P978*J978</f>
        <v>1000</v>
      </c>
      <c r="S978" s="7">
        <f t="shared" si="25"/>
        <v>1000</v>
      </c>
      <c r="T978" s="1318">
        <f t="shared" si="26"/>
        <v>1000</v>
      </c>
      <c r="U978" s="20"/>
    </row>
    <row r="979" spans="3:21" s="159" customFormat="1" ht="15">
      <c r="C979" s="149" t="s">
        <v>2645</v>
      </c>
      <c r="D979" s="150" t="s">
        <v>2539</v>
      </c>
      <c r="E979" s="151"/>
      <c r="F979" s="152"/>
      <c r="G979" s="152" t="s">
        <v>168</v>
      </c>
      <c r="H979" s="154" t="s">
        <v>169</v>
      </c>
      <c r="I979" s="155"/>
      <c r="J979" s="153"/>
      <c r="K979" s="885">
        <v>0</v>
      </c>
      <c r="L979" s="157">
        <v>44425</v>
      </c>
      <c r="M979" s="157"/>
      <c r="N979" s="158">
        <v>44425</v>
      </c>
      <c r="O979" s="156">
        <v>3408</v>
      </c>
      <c r="P979" s="164">
        <v>0</v>
      </c>
      <c r="Q979" s="165">
        <v>0</v>
      </c>
      <c r="S979" s="7">
        <f t="shared" ref="S979:S1042" si="27">P979</f>
        <v>0</v>
      </c>
      <c r="T979" s="1318">
        <f t="shared" si="26"/>
        <v>0</v>
      </c>
      <c r="U979" s="268"/>
    </row>
    <row r="980" spans="3:21" s="7" customFormat="1" ht="18" customHeight="1">
      <c r="C980" s="6" t="s">
        <v>2646</v>
      </c>
      <c r="D980" s="13" t="s">
        <v>2622</v>
      </c>
      <c r="E980" s="18" t="s">
        <v>79</v>
      </c>
      <c r="F980" s="92"/>
      <c r="G980" s="21"/>
      <c r="H980" s="93"/>
      <c r="I980" s="94"/>
      <c r="J980" s="93"/>
      <c r="K980" s="95" t="s">
        <v>8</v>
      </c>
      <c r="L980" s="33"/>
      <c r="M980" s="33"/>
      <c r="N980" s="115"/>
      <c r="O980" s="32"/>
      <c r="P980" s="83"/>
      <c r="Q980" s="83"/>
      <c r="S980" s="7">
        <f t="shared" si="27"/>
        <v>0</v>
      </c>
      <c r="T980" s="1318">
        <f t="shared" ref="T980:T1043" si="28">Q980</f>
        <v>0</v>
      </c>
      <c r="U980" s="13"/>
    </row>
    <row r="981" spans="3:21" s="7" customFormat="1" ht="18" customHeight="1">
      <c r="C981" s="6" t="s">
        <v>2646</v>
      </c>
      <c r="D981" s="13" t="s">
        <v>2622</v>
      </c>
      <c r="E981" s="71">
        <v>4141</v>
      </c>
      <c r="F981" s="596">
        <v>24</v>
      </c>
      <c r="G981" s="21" t="s">
        <v>2647</v>
      </c>
      <c r="H981" s="93">
        <v>20</v>
      </c>
      <c r="I981" s="94">
        <v>1</v>
      </c>
      <c r="J981" s="55">
        <f>H981*I981</f>
        <v>20</v>
      </c>
      <c r="K981" s="611">
        <v>1.75</v>
      </c>
      <c r="L981" s="33"/>
      <c r="M981" s="33"/>
      <c r="N981" s="115"/>
      <c r="O981" s="32"/>
      <c r="P981" s="83">
        <v>115</v>
      </c>
      <c r="Q981" s="83">
        <f>P981*J981</f>
        <v>2300</v>
      </c>
      <c r="S981" s="7">
        <f t="shared" si="27"/>
        <v>115</v>
      </c>
      <c r="T981" s="1318">
        <f t="shared" si="28"/>
        <v>2300</v>
      </c>
      <c r="U981" s="20"/>
    </row>
    <row r="982" spans="3:21" s="7" customFormat="1" ht="18" customHeight="1">
      <c r="C982" s="6" t="s">
        <v>2646</v>
      </c>
      <c r="D982" s="13" t="s">
        <v>2622</v>
      </c>
      <c r="E982" s="71">
        <v>4141</v>
      </c>
      <c r="F982" s="596">
        <v>24</v>
      </c>
      <c r="G982" s="21" t="s">
        <v>2648</v>
      </c>
      <c r="H982" s="93">
        <v>20</v>
      </c>
      <c r="I982" s="94">
        <v>1</v>
      </c>
      <c r="J982" s="55">
        <f>H982*I982</f>
        <v>20</v>
      </c>
      <c r="K982" s="611">
        <v>1.75</v>
      </c>
      <c r="L982" s="33"/>
      <c r="M982" s="33"/>
      <c r="N982" s="115"/>
      <c r="O982" s="32"/>
      <c r="P982" s="83">
        <v>115</v>
      </c>
      <c r="Q982" s="83">
        <f>P982*J982</f>
        <v>2300</v>
      </c>
      <c r="S982" s="7">
        <f t="shared" si="27"/>
        <v>115</v>
      </c>
      <c r="T982" s="1318">
        <f t="shared" si="28"/>
        <v>2300</v>
      </c>
      <c r="U982" s="20"/>
    </row>
    <row r="983" spans="3:21" s="7" customFormat="1" ht="18" customHeight="1">
      <c r="C983" s="6" t="s">
        <v>2646</v>
      </c>
      <c r="D983" s="13" t="s">
        <v>2622</v>
      </c>
      <c r="E983" s="71">
        <v>4141</v>
      </c>
      <c r="F983" s="596">
        <v>24</v>
      </c>
      <c r="G983" s="21" t="s">
        <v>157</v>
      </c>
      <c r="H983" s="93">
        <v>20</v>
      </c>
      <c r="I983" s="94">
        <v>1</v>
      </c>
      <c r="J983" s="55">
        <f>H983*I983</f>
        <v>20</v>
      </c>
      <c r="K983" s="611">
        <v>1.75</v>
      </c>
      <c r="L983" s="33"/>
      <c r="M983" s="33"/>
      <c r="N983" s="115"/>
      <c r="O983" s="32"/>
      <c r="P983" s="83">
        <v>115</v>
      </c>
      <c r="Q983" s="83">
        <f>P983*J983</f>
        <v>2300</v>
      </c>
      <c r="S983" s="7">
        <f t="shared" si="27"/>
        <v>115</v>
      </c>
      <c r="T983" s="1318">
        <f t="shared" si="28"/>
        <v>2300</v>
      </c>
      <c r="U983" s="20"/>
    </row>
    <row r="984" spans="3:21" s="7" customFormat="1" ht="18" customHeight="1">
      <c r="C984" s="6" t="s">
        <v>2646</v>
      </c>
      <c r="D984" s="13" t="s">
        <v>2622</v>
      </c>
      <c r="E984" s="18" t="s">
        <v>2649</v>
      </c>
      <c r="F984" s="92"/>
      <c r="G984" s="21"/>
      <c r="H984" s="93"/>
      <c r="I984" s="94"/>
      <c r="J984" s="93"/>
      <c r="K984" s="95" t="s">
        <v>8</v>
      </c>
      <c r="L984" s="33"/>
      <c r="M984" s="33"/>
      <c r="N984" s="115"/>
      <c r="O984" s="32"/>
      <c r="P984" s="83"/>
      <c r="Q984" s="83"/>
      <c r="S984" s="7">
        <f t="shared" si="27"/>
        <v>0</v>
      </c>
      <c r="T984" s="1318">
        <f t="shared" si="28"/>
        <v>0</v>
      </c>
      <c r="U984" s="13"/>
    </row>
    <row r="985" spans="3:21" s="7" customFormat="1" ht="18" customHeight="1">
      <c r="C985" s="6" t="s">
        <v>2646</v>
      </c>
      <c r="D985" s="13" t="s">
        <v>763</v>
      </c>
      <c r="E985" s="71">
        <v>3377</v>
      </c>
      <c r="F985" s="901" t="s">
        <v>2650</v>
      </c>
      <c r="G985" s="21" t="s">
        <v>33</v>
      </c>
      <c r="H985" s="93">
        <v>30</v>
      </c>
      <c r="I985" s="94">
        <v>1</v>
      </c>
      <c r="J985" s="55">
        <f t="shared" ref="J985:J990" si="29">H985*I985</f>
        <v>30</v>
      </c>
      <c r="K985" s="611">
        <v>0.91</v>
      </c>
      <c r="L985" s="33"/>
      <c r="M985" s="33"/>
      <c r="N985" s="115"/>
      <c r="O985" s="32"/>
      <c r="P985" s="83">
        <v>50</v>
      </c>
      <c r="Q985" s="83">
        <f t="shared" ref="Q985:Q991" si="30">P985*J985</f>
        <v>1500</v>
      </c>
      <c r="R985" s="902" t="s">
        <v>2651</v>
      </c>
      <c r="S985" s="7">
        <f t="shared" si="27"/>
        <v>50</v>
      </c>
      <c r="T985" s="1318">
        <f t="shared" si="28"/>
        <v>1500</v>
      </c>
      <c r="U985" s="20"/>
    </row>
    <row r="986" spans="3:21" s="7" customFormat="1" ht="18" customHeight="1">
      <c r="C986" s="6" t="s">
        <v>2646</v>
      </c>
      <c r="D986" s="13" t="s">
        <v>2622</v>
      </c>
      <c r="E986" s="71">
        <v>3377</v>
      </c>
      <c r="F986" s="901" t="s">
        <v>2650</v>
      </c>
      <c r="G986" s="21" t="s">
        <v>38</v>
      </c>
      <c r="H986" s="93">
        <v>30</v>
      </c>
      <c r="I986" s="94">
        <v>1</v>
      </c>
      <c r="J986" s="55">
        <f t="shared" si="29"/>
        <v>30</v>
      </c>
      <c r="K986" s="611">
        <v>0.91</v>
      </c>
      <c r="L986" s="33"/>
      <c r="M986" s="33"/>
      <c r="N986" s="115"/>
      <c r="O986" s="32"/>
      <c r="P986" s="83">
        <v>50</v>
      </c>
      <c r="Q986" s="83">
        <f t="shared" si="30"/>
        <v>1500</v>
      </c>
      <c r="R986" s="902" t="s">
        <v>2651</v>
      </c>
      <c r="S986" s="7">
        <f t="shared" si="27"/>
        <v>50</v>
      </c>
      <c r="T986" s="1318">
        <f t="shared" si="28"/>
        <v>1500</v>
      </c>
      <c r="U986" s="20"/>
    </row>
    <row r="987" spans="3:21" s="7" customFormat="1" ht="18" customHeight="1">
      <c r="C987" s="6" t="s">
        <v>2646</v>
      </c>
      <c r="D987" s="13" t="s">
        <v>2622</v>
      </c>
      <c r="E987" s="71">
        <v>3377</v>
      </c>
      <c r="F987" s="901" t="s">
        <v>2650</v>
      </c>
      <c r="G987" s="21" t="s">
        <v>34</v>
      </c>
      <c r="H987" s="93">
        <v>30</v>
      </c>
      <c r="I987" s="94">
        <v>1</v>
      </c>
      <c r="J987" s="55">
        <f t="shared" si="29"/>
        <v>30</v>
      </c>
      <c r="K987" s="611">
        <v>0.91</v>
      </c>
      <c r="L987" s="33"/>
      <c r="M987" s="33"/>
      <c r="N987" s="115"/>
      <c r="O987" s="32"/>
      <c r="P987" s="83">
        <v>50</v>
      </c>
      <c r="Q987" s="83">
        <f t="shared" si="30"/>
        <v>1500</v>
      </c>
      <c r="R987" s="902" t="s">
        <v>2651</v>
      </c>
      <c r="S987" s="7">
        <f t="shared" si="27"/>
        <v>50</v>
      </c>
      <c r="T987" s="1318">
        <f t="shared" si="28"/>
        <v>1500</v>
      </c>
      <c r="U987" s="20"/>
    </row>
    <row r="988" spans="3:21" s="7" customFormat="1" ht="18" customHeight="1">
      <c r="C988" s="6" t="s">
        <v>2646</v>
      </c>
      <c r="D988" s="13" t="s">
        <v>2622</v>
      </c>
      <c r="E988" s="71">
        <v>3377</v>
      </c>
      <c r="F988" s="901" t="s">
        <v>2650</v>
      </c>
      <c r="G988" s="21" t="s">
        <v>123</v>
      </c>
      <c r="H988" s="93">
        <v>30</v>
      </c>
      <c r="I988" s="94">
        <v>1</v>
      </c>
      <c r="J988" s="55">
        <f t="shared" si="29"/>
        <v>30</v>
      </c>
      <c r="K988" s="611">
        <v>0.91</v>
      </c>
      <c r="L988" s="33"/>
      <c r="M988" s="33"/>
      <c r="N988" s="115"/>
      <c r="O988" s="32"/>
      <c r="P988" s="83">
        <v>50</v>
      </c>
      <c r="Q988" s="83">
        <f t="shared" si="30"/>
        <v>1500</v>
      </c>
      <c r="R988" s="902" t="s">
        <v>2651</v>
      </c>
      <c r="S988" s="7">
        <f t="shared" si="27"/>
        <v>50</v>
      </c>
      <c r="T988" s="1318">
        <f t="shared" si="28"/>
        <v>1500</v>
      </c>
      <c r="U988" s="20"/>
    </row>
    <row r="989" spans="3:21" s="7" customFormat="1" ht="18" customHeight="1">
      <c r="C989" s="6" t="s">
        <v>2646</v>
      </c>
      <c r="D989" s="13" t="s">
        <v>2622</v>
      </c>
      <c r="E989" s="71">
        <v>3377</v>
      </c>
      <c r="F989" s="901" t="s">
        <v>2650</v>
      </c>
      <c r="G989" s="21" t="s">
        <v>35</v>
      </c>
      <c r="H989" s="93">
        <v>30</v>
      </c>
      <c r="I989" s="94">
        <v>1</v>
      </c>
      <c r="J989" s="55">
        <f t="shared" si="29"/>
        <v>30</v>
      </c>
      <c r="K989" s="611">
        <v>0.91</v>
      </c>
      <c r="L989" s="33"/>
      <c r="M989" s="33"/>
      <c r="N989" s="115"/>
      <c r="O989" s="32"/>
      <c r="P989" s="83">
        <v>50</v>
      </c>
      <c r="Q989" s="83">
        <f t="shared" si="30"/>
        <v>1500</v>
      </c>
      <c r="R989" s="902" t="s">
        <v>2651</v>
      </c>
      <c r="S989" s="7">
        <f t="shared" si="27"/>
        <v>50</v>
      </c>
      <c r="T989" s="1318">
        <f t="shared" si="28"/>
        <v>1500</v>
      </c>
      <c r="U989" s="20"/>
    </row>
    <row r="990" spans="3:21" s="7" customFormat="1" ht="18" customHeight="1">
      <c r="C990" s="6" t="s">
        <v>2646</v>
      </c>
      <c r="D990" s="13" t="s">
        <v>2622</v>
      </c>
      <c r="E990" s="71">
        <v>3377</v>
      </c>
      <c r="F990" s="901" t="s">
        <v>2650</v>
      </c>
      <c r="G990" s="21" t="s">
        <v>173</v>
      </c>
      <c r="H990" s="93">
        <v>30</v>
      </c>
      <c r="I990" s="94">
        <v>1</v>
      </c>
      <c r="J990" s="55">
        <f t="shared" si="29"/>
        <v>30</v>
      </c>
      <c r="K990" s="611">
        <v>0.91</v>
      </c>
      <c r="L990" s="33"/>
      <c r="M990" s="33"/>
      <c r="N990" s="115"/>
      <c r="O990" s="32"/>
      <c r="P990" s="83">
        <v>50</v>
      </c>
      <c r="Q990" s="83">
        <f t="shared" si="30"/>
        <v>1500</v>
      </c>
      <c r="R990" s="902" t="s">
        <v>2651</v>
      </c>
      <c r="S990" s="7">
        <f t="shared" si="27"/>
        <v>50</v>
      </c>
      <c r="T990" s="1318">
        <f t="shared" si="28"/>
        <v>1500</v>
      </c>
      <c r="U990" s="20"/>
    </row>
    <row r="991" spans="3:21" s="7" customFormat="1" ht="15">
      <c r="C991" s="6" t="s">
        <v>2646</v>
      </c>
      <c r="D991" s="13" t="s">
        <v>2622</v>
      </c>
      <c r="E991" s="48"/>
      <c r="F991" s="38"/>
      <c r="G991" s="38" t="s">
        <v>13</v>
      </c>
      <c r="H991" s="39"/>
      <c r="I991" s="94"/>
      <c r="J991" s="39">
        <v>1</v>
      </c>
      <c r="K991" s="611">
        <v>15</v>
      </c>
      <c r="L991" s="33"/>
      <c r="M991" s="33"/>
      <c r="N991" s="115"/>
      <c r="O991" s="32"/>
      <c r="P991" s="358">
        <v>1000</v>
      </c>
      <c r="Q991" s="83">
        <f t="shared" si="30"/>
        <v>1000</v>
      </c>
      <c r="S991" s="7">
        <f t="shared" si="27"/>
        <v>1000</v>
      </c>
      <c r="T991" s="1318">
        <f t="shared" si="28"/>
        <v>1000</v>
      </c>
      <c r="U991" s="22"/>
    </row>
    <row r="992" spans="3:21" s="193" customFormat="1" ht="15">
      <c r="C992" s="149" t="s">
        <v>2646</v>
      </c>
      <c r="D992" s="150" t="s">
        <v>2622</v>
      </c>
      <c r="E992" s="151"/>
      <c r="F992" s="152"/>
      <c r="G992" s="152" t="s">
        <v>168</v>
      </c>
      <c r="H992" s="154"/>
      <c r="I992" s="155"/>
      <c r="J992" s="153"/>
      <c r="K992" s="600"/>
      <c r="L992" s="157"/>
      <c r="M992" s="157"/>
      <c r="N992" s="158"/>
      <c r="O992" s="156"/>
      <c r="P992" s="164"/>
      <c r="Q992" s="164"/>
      <c r="S992" s="7">
        <f t="shared" si="27"/>
        <v>0</v>
      </c>
      <c r="T992" s="1318">
        <f t="shared" si="28"/>
        <v>0</v>
      </c>
      <c r="U992" s="268"/>
    </row>
    <row r="993" spans="3:21" s="7" customFormat="1" ht="18" customHeight="1">
      <c r="C993" s="6" t="s">
        <v>2652</v>
      </c>
      <c r="D993" s="13" t="s">
        <v>2653</v>
      </c>
      <c r="E993" s="18" t="s">
        <v>2185</v>
      </c>
      <c r="F993" s="92"/>
      <c r="G993" s="21"/>
      <c r="H993" s="17"/>
      <c r="I993" s="56"/>
      <c r="J993" s="17"/>
      <c r="K993" s="95" t="s">
        <v>8</v>
      </c>
      <c r="L993" s="33">
        <v>44426</v>
      </c>
      <c r="M993" s="33"/>
      <c r="N993" s="115">
        <v>44426</v>
      </c>
      <c r="O993" s="32">
        <v>3421</v>
      </c>
      <c r="P993" s="83"/>
      <c r="Q993" s="83"/>
      <c r="S993" s="7">
        <f t="shared" si="27"/>
        <v>0</v>
      </c>
      <c r="T993" s="1318">
        <f t="shared" si="28"/>
        <v>0</v>
      </c>
      <c r="U993" s="128"/>
    </row>
    <row r="994" spans="3:21" ht="18" customHeight="1">
      <c r="C994" s="6" t="s">
        <v>2652</v>
      </c>
      <c r="D994" s="13" t="s">
        <v>2653</v>
      </c>
      <c r="E994" s="21" t="s">
        <v>2620</v>
      </c>
      <c r="F994" s="596"/>
      <c r="G994" s="21" t="s">
        <v>46</v>
      </c>
      <c r="H994" s="55">
        <v>10</v>
      </c>
      <c r="I994" s="55">
        <v>10</v>
      </c>
      <c r="J994" s="55">
        <v>10</v>
      </c>
      <c r="K994" s="40">
        <v>2.21</v>
      </c>
      <c r="L994" s="33">
        <v>44426</v>
      </c>
      <c r="M994" s="33"/>
      <c r="N994" s="115">
        <v>44426</v>
      </c>
      <c r="O994" s="32">
        <v>3421</v>
      </c>
      <c r="P994" s="1">
        <v>139</v>
      </c>
      <c r="Q994" s="83">
        <f>P994*J994</f>
        <v>1390</v>
      </c>
      <c r="S994" s="7">
        <f t="shared" si="27"/>
        <v>139</v>
      </c>
      <c r="T994" s="1318">
        <f t="shared" si="28"/>
        <v>1390</v>
      </c>
    </row>
    <row r="995" spans="3:21" s="7" customFormat="1" ht="16.899999999999999" customHeight="1">
      <c r="C995" s="6" t="s">
        <v>2652</v>
      </c>
      <c r="D995" s="13" t="s">
        <v>2653</v>
      </c>
      <c r="E995" s="21"/>
      <c r="F995" s="285"/>
      <c r="G995" s="38" t="s">
        <v>13</v>
      </c>
      <c r="H995" s="8"/>
      <c r="I995" s="94" ph="1"/>
      <c r="J995" s="39">
        <v>1</v>
      </c>
      <c r="K995" s="40">
        <v>15</v>
      </c>
      <c r="L995" s="33">
        <v>44426</v>
      </c>
      <c r="M995" s="33"/>
      <c r="N995" s="115">
        <v>44426</v>
      </c>
      <c r="O995" s="32">
        <v>3421</v>
      </c>
      <c r="P995" s="83">
        <f>900+900</f>
        <v>1800</v>
      </c>
      <c r="Q995" s="83">
        <f>P995*J995</f>
        <v>1800</v>
      </c>
      <c r="S995" s="7">
        <f t="shared" si="27"/>
        <v>1800</v>
      </c>
      <c r="T995" s="1318">
        <f t="shared" si="28"/>
        <v>1800</v>
      </c>
      <c r="U995" s="20"/>
    </row>
    <row r="996" spans="3:21" s="159" customFormat="1" ht="15">
      <c r="C996" s="149" t="s">
        <v>2652</v>
      </c>
      <c r="D996" s="150" t="s">
        <v>2653</v>
      </c>
      <c r="E996" s="151"/>
      <c r="F996" s="152"/>
      <c r="G996" s="152" t="s">
        <v>168</v>
      </c>
      <c r="H996" s="154" t="s">
        <v>169</v>
      </c>
      <c r="I996" s="155"/>
      <c r="J996" s="153"/>
      <c r="K996" s="885">
        <v>16</v>
      </c>
      <c r="L996" s="157">
        <v>44426</v>
      </c>
      <c r="M996" s="157"/>
      <c r="N996" s="158">
        <v>44426</v>
      </c>
      <c r="O996" s="156">
        <v>3421</v>
      </c>
      <c r="P996" s="164">
        <v>1073</v>
      </c>
      <c r="Q996" s="164">
        <v>1073</v>
      </c>
      <c r="S996" s="7">
        <f t="shared" si="27"/>
        <v>1073</v>
      </c>
      <c r="T996" s="1318">
        <f t="shared" si="28"/>
        <v>1073</v>
      </c>
      <c r="U996" s="268"/>
    </row>
    <row r="997" spans="3:21" s="7" customFormat="1" ht="15">
      <c r="C997" s="6" t="s">
        <v>2654</v>
      </c>
      <c r="D997" s="13" t="s">
        <v>2547</v>
      </c>
      <c r="E997" s="18" t="s">
        <v>2548</v>
      </c>
      <c r="F997" s="23"/>
      <c r="G997" s="21"/>
      <c r="H997" s="55"/>
      <c r="I997" s="56"/>
      <c r="J997" s="55"/>
      <c r="K997" s="15" t="s">
        <v>8</v>
      </c>
      <c r="L997" s="33">
        <v>44446</v>
      </c>
      <c r="M997" s="33"/>
      <c r="N997" s="115">
        <v>44446</v>
      </c>
      <c r="O997" s="32">
        <v>3426</v>
      </c>
      <c r="P997" s="83"/>
      <c r="Q997" s="83"/>
      <c r="S997" s="7">
        <f t="shared" si="27"/>
        <v>0</v>
      </c>
      <c r="T997" s="1318">
        <f t="shared" si="28"/>
        <v>0</v>
      </c>
      <c r="U997" s="100"/>
    </row>
    <row r="998" spans="3:21" s="7" customFormat="1" ht="15">
      <c r="C998" s="6" t="s">
        <v>2654</v>
      </c>
      <c r="D998" s="13" t="s">
        <v>2547</v>
      </c>
      <c r="E998" s="740" t="s">
        <v>274</v>
      </c>
      <c r="F998" s="23"/>
      <c r="G998" s="21" t="s">
        <v>25</v>
      </c>
      <c r="H998" s="163">
        <v>400</v>
      </c>
      <c r="I998" s="163">
        <v>400</v>
      </c>
      <c r="J998" s="163">
        <v>400</v>
      </c>
      <c r="K998" s="597">
        <v>0.82</v>
      </c>
      <c r="L998" s="33">
        <v>44446</v>
      </c>
      <c r="M998" s="33"/>
      <c r="N998" s="115">
        <v>44446</v>
      </c>
      <c r="O998" s="32">
        <v>3426</v>
      </c>
      <c r="P998" s="83">
        <v>63</v>
      </c>
      <c r="Q998" s="83">
        <f>P998*J998</f>
        <v>25200</v>
      </c>
      <c r="S998" s="7">
        <f t="shared" si="27"/>
        <v>63</v>
      </c>
      <c r="T998" s="1318">
        <f t="shared" si="28"/>
        <v>25200</v>
      </c>
      <c r="U998" s="13"/>
    </row>
    <row r="999" spans="3:21" ht="15">
      <c r="C999" s="6" t="s">
        <v>2654</v>
      </c>
      <c r="D999" s="13" t="s">
        <v>2547</v>
      </c>
      <c r="E999" s="48"/>
      <c r="F999" s="38"/>
      <c r="G999" s="38" t="s">
        <v>13</v>
      </c>
      <c r="H999" s="39"/>
      <c r="I999" s="94"/>
      <c r="J999" s="39">
        <v>1</v>
      </c>
      <c r="K999" s="611">
        <v>12</v>
      </c>
      <c r="L999" s="33">
        <v>44446</v>
      </c>
      <c r="M999" s="33"/>
      <c r="N999" s="115">
        <v>44446</v>
      </c>
      <c r="O999" s="32">
        <v>3426</v>
      </c>
      <c r="P999" s="83">
        <v>0</v>
      </c>
      <c r="Q999" s="83">
        <f>P999*J999</f>
        <v>0</v>
      </c>
      <c r="S999" s="7">
        <f t="shared" si="27"/>
        <v>0</v>
      </c>
      <c r="T999" s="1318">
        <f t="shared" si="28"/>
        <v>0</v>
      </c>
      <c r="U999" s="22"/>
    </row>
    <row r="1000" spans="3:21" s="159" customFormat="1" ht="15">
      <c r="C1000" s="149" t="s">
        <v>2654</v>
      </c>
      <c r="D1000" s="150" t="s">
        <v>2547</v>
      </c>
      <c r="E1000" s="151"/>
      <c r="F1000" s="152"/>
      <c r="G1000" s="152" t="s">
        <v>168</v>
      </c>
      <c r="H1000" s="154" t="s">
        <v>169</v>
      </c>
      <c r="I1000" s="155"/>
      <c r="J1000" s="153"/>
      <c r="K1000" s="600">
        <v>0</v>
      </c>
      <c r="L1000" s="157">
        <v>44446</v>
      </c>
      <c r="M1000" s="157"/>
      <c r="N1000" s="158">
        <v>44446</v>
      </c>
      <c r="O1000" s="156">
        <v>3426</v>
      </c>
      <c r="P1000" s="164">
        <v>0</v>
      </c>
      <c r="Q1000" s="165">
        <v>0</v>
      </c>
      <c r="S1000" s="7">
        <f t="shared" si="27"/>
        <v>0</v>
      </c>
      <c r="T1000" s="1318">
        <f t="shared" si="28"/>
        <v>0</v>
      </c>
      <c r="U1000" s="268"/>
    </row>
    <row r="1001" spans="3:21" s="7" customFormat="1" ht="18" customHeight="1">
      <c r="C1001" s="6" t="s">
        <v>2655</v>
      </c>
      <c r="D1001" s="13" t="s">
        <v>2003</v>
      </c>
      <c r="E1001" s="18" t="s">
        <v>2656</v>
      </c>
      <c r="F1001" s="92"/>
      <c r="G1001" s="21"/>
      <c r="H1001" s="17"/>
      <c r="I1001" s="56"/>
      <c r="J1001" s="17"/>
      <c r="K1001" s="15" t="s">
        <v>8</v>
      </c>
      <c r="L1001" s="33">
        <v>44452</v>
      </c>
      <c r="M1001" s="33"/>
      <c r="N1001" s="115">
        <v>44452</v>
      </c>
      <c r="O1001" s="32">
        <v>3482</v>
      </c>
      <c r="P1001" s="83"/>
      <c r="Q1001" s="83"/>
      <c r="S1001" s="7">
        <f t="shared" si="27"/>
        <v>0</v>
      </c>
      <c r="T1001" s="1318">
        <f t="shared" si="28"/>
        <v>0</v>
      </c>
      <c r="U1001" s="128"/>
    </row>
    <row r="1002" spans="3:21" s="7" customFormat="1" ht="18" customHeight="1">
      <c r="C1002" s="6" t="s">
        <v>2655</v>
      </c>
      <c r="D1002" s="13" t="s">
        <v>2003</v>
      </c>
      <c r="E1002" s="79">
        <v>4191</v>
      </c>
      <c r="F1002" s="92"/>
      <c r="G1002" s="78" t="s">
        <v>2657</v>
      </c>
      <c r="H1002" s="55">
        <v>2</v>
      </c>
      <c r="I1002" s="55">
        <v>2</v>
      </c>
      <c r="J1002" s="55">
        <v>2</v>
      </c>
      <c r="K1002" s="903">
        <v>3.87</v>
      </c>
      <c r="L1002" s="33">
        <v>44452</v>
      </c>
      <c r="M1002" s="33"/>
      <c r="N1002" s="115">
        <v>44452</v>
      </c>
      <c r="O1002" s="32">
        <v>3482</v>
      </c>
      <c r="P1002" s="904">
        <v>255</v>
      </c>
      <c r="Q1002" s="83">
        <v>0</v>
      </c>
      <c r="S1002" s="7">
        <f t="shared" si="27"/>
        <v>255</v>
      </c>
      <c r="T1002" s="1318">
        <f t="shared" si="28"/>
        <v>0</v>
      </c>
      <c r="U1002" s="128"/>
    </row>
    <row r="1003" spans="3:21" s="7" customFormat="1" ht="18" customHeight="1">
      <c r="C1003" s="6" t="s">
        <v>2655</v>
      </c>
      <c r="D1003" s="13" t="s">
        <v>2003</v>
      </c>
      <c r="E1003" s="79">
        <v>4191</v>
      </c>
      <c r="F1003" s="92"/>
      <c r="G1003" s="78" t="s">
        <v>2658</v>
      </c>
      <c r="H1003" s="55">
        <v>2</v>
      </c>
      <c r="I1003" s="55">
        <v>2</v>
      </c>
      <c r="J1003" s="55">
        <v>2</v>
      </c>
      <c r="K1003" s="903">
        <v>3.87</v>
      </c>
      <c r="L1003" s="33">
        <v>44452</v>
      </c>
      <c r="M1003" s="33"/>
      <c r="N1003" s="115">
        <v>44452</v>
      </c>
      <c r="O1003" s="32">
        <v>3482</v>
      </c>
      <c r="P1003" s="904">
        <v>255</v>
      </c>
      <c r="Q1003" s="83">
        <v>0</v>
      </c>
      <c r="S1003" s="7">
        <f t="shared" si="27"/>
        <v>255</v>
      </c>
      <c r="T1003" s="1318">
        <f t="shared" si="28"/>
        <v>0</v>
      </c>
      <c r="U1003" s="128"/>
    </row>
    <row r="1004" spans="3:21" s="7" customFormat="1" ht="18" customHeight="1">
      <c r="C1004" s="6" t="s">
        <v>2655</v>
      </c>
      <c r="D1004" s="13" t="s">
        <v>2003</v>
      </c>
      <c r="E1004" s="79" t="s">
        <v>2659</v>
      </c>
      <c r="F1004" s="92"/>
      <c r="G1004" s="78" t="s">
        <v>46</v>
      </c>
      <c r="H1004" s="55">
        <v>2</v>
      </c>
      <c r="I1004" s="55">
        <v>2</v>
      </c>
      <c r="J1004" s="55">
        <v>2</v>
      </c>
      <c r="K1004" s="598">
        <v>1.5</v>
      </c>
      <c r="L1004" s="33">
        <v>44452</v>
      </c>
      <c r="M1004" s="33"/>
      <c r="N1004" s="115">
        <v>44452</v>
      </c>
      <c r="O1004" s="32">
        <v>3482</v>
      </c>
      <c r="P1004" s="904">
        <v>115</v>
      </c>
      <c r="Q1004" s="83">
        <f t="shared" ref="Q1004:Q1027" si="31">P1004*J1004</f>
        <v>230</v>
      </c>
      <c r="S1004" s="7">
        <f t="shared" si="27"/>
        <v>115</v>
      </c>
      <c r="T1004" s="1318">
        <f t="shared" si="28"/>
        <v>230</v>
      </c>
      <c r="U1004" s="128"/>
    </row>
    <row r="1005" spans="3:21" s="7" customFormat="1" ht="18" customHeight="1">
      <c r="C1005" s="6" t="s">
        <v>2655</v>
      </c>
      <c r="D1005" s="13" t="s">
        <v>2003</v>
      </c>
      <c r="E1005" s="79" t="s">
        <v>2660</v>
      </c>
      <c r="F1005" s="92"/>
      <c r="G1005" s="78" t="s">
        <v>46</v>
      </c>
      <c r="H1005" s="55">
        <v>2</v>
      </c>
      <c r="I1005" s="55">
        <v>2</v>
      </c>
      <c r="J1005" s="55">
        <v>2</v>
      </c>
      <c r="K1005" s="598">
        <v>2.86</v>
      </c>
      <c r="L1005" s="33">
        <v>44452</v>
      </c>
      <c r="M1005" s="33"/>
      <c r="N1005" s="115">
        <v>44452</v>
      </c>
      <c r="O1005" s="32">
        <v>3482</v>
      </c>
      <c r="P1005" s="904">
        <v>220</v>
      </c>
      <c r="Q1005" s="83">
        <f t="shared" si="31"/>
        <v>440</v>
      </c>
      <c r="S1005" s="7">
        <f t="shared" si="27"/>
        <v>220</v>
      </c>
      <c r="T1005" s="1318">
        <f t="shared" si="28"/>
        <v>440</v>
      </c>
      <c r="U1005" s="128"/>
    </row>
    <row r="1006" spans="3:21" s="7" customFormat="1" ht="18" customHeight="1">
      <c r="C1006" s="6" t="s">
        <v>2655</v>
      </c>
      <c r="D1006" s="13" t="s">
        <v>2003</v>
      </c>
      <c r="E1006" s="79" t="s">
        <v>2085</v>
      </c>
      <c r="F1006" s="92"/>
      <c r="G1006" s="78" t="s">
        <v>2661</v>
      </c>
      <c r="H1006" s="55">
        <v>2</v>
      </c>
      <c r="I1006" s="55">
        <v>2</v>
      </c>
      <c r="J1006" s="55">
        <v>2</v>
      </c>
      <c r="K1006" s="598">
        <v>1.95</v>
      </c>
      <c r="L1006" s="33">
        <v>44452</v>
      </c>
      <c r="M1006" s="33"/>
      <c r="N1006" s="115">
        <v>44452</v>
      </c>
      <c r="O1006" s="32">
        <v>3482</v>
      </c>
      <c r="P1006" s="904">
        <v>150</v>
      </c>
      <c r="Q1006" s="83">
        <f t="shared" si="31"/>
        <v>300</v>
      </c>
      <c r="S1006" s="7">
        <f t="shared" si="27"/>
        <v>150</v>
      </c>
      <c r="T1006" s="1318">
        <f t="shared" si="28"/>
        <v>300</v>
      </c>
      <c r="U1006" s="128"/>
    </row>
    <row r="1007" spans="3:21" s="7" customFormat="1" ht="18" customHeight="1">
      <c r="C1007" s="6" t="s">
        <v>2655</v>
      </c>
      <c r="D1007" s="13" t="s">
        <v>2003</v>
      </c>
      <c r="E1007" s="79" t="s">
        <v>76</v>
      </c>
      <c r="F1007" s="92"/>
      <c r="G1007" s="78" t="s">
        <v>46</v>
      </c>
      <c r="H1007" s="55">
        <v>2</v>
      </c>
      <c r="I1007" s="55">
        <v>2</v>
      </c>
      <c r="J1007" s="55">
        <v>2</v>
      </c>
      <c r="K1007" s="598">
        <v>2.5199999999999996</v>
      </c>
      <c r="L1007" s="33">
        <v>44452</v>
      </c>
      <c r="M1007" s="33"/>
      <c r="N1007" s="115">
        <v>44452</v>
      </c>
      <c r="O1007" s="32">
        <v>3482</v>
      </c>
      <c r="P1007" s="904">
        <v>174</v>
      </c>
      <c r="Q1007" s="83">
        <f t="shared" si="31"/>
        <v>348</v>
      </c>
      <c r="S1007" s="7">
        <f t="shared" si="27"/>
        <v>174</v>
      </c>
      <c r="T1007" s="1318">
        <f t="shared" si="28"/>
        <v>348</v>
      </c>
      <c r="U1007" s="128"/>
    </row>
    <row r="1008" spans="3:21" ht="18" customHeight="1">
      <c r="C1008" s="6" t="s">
        <v>2662</v>
      </c>
      <c r="D1008" s="13" t="s">
        <v>2003</v>
      </c>
      <c r="E1008" s="79" t="s">
        <v>2096</v>
      </c>
      <c r="F1008" s="92"/>
      <c r="G1008" s="78" t="s">
        <v>2663</v>
      </c>
      <c r="H1008" s="55">
        <v>2</v>
      </c>
      <c r="I1008" s="55">
        <v>2</v>
      </c>
      <c r="J1008" s="55">
        <v>2</v>
      </c>
      <c r="K1008" s="598">
        <v>0.73</v>
      </c>
      <c r="L1008" s="33">
        <v>44452</v>
      </c>
      <c r="M1008" s="33"/>
      <c r="N1008" s="115">
        <v>44452</v>
      </c>
      <c r="O1008" s="32">
        <v>3482</v>
      </c>
      <c r="P1008" s="904">
        <v>50</v>
      </c>
      <c r="Q1008" s="83">
        <f t="shared" si="31"/>
        <v>100</v>
      </c>
      <c r="S1008" s="7">
        <f t="shared" si="27"/>
        <v>50</v>
      </c>
      <c r="T1008" s="1318">
        <f t="shared" si="28"/>
        <v>100</v>
      </c>
    </row>
    <row r="1009" spans="3:20" ht="18" customHeight="1">
      <c r="C1009" s="6" t="s">
        <v>2662</v>
      </c>
      <c r="D1009" s="13" t="s">
        <v>2003</v>
      </c>
      <c r="E1009" s="79" t="s">
        <v>2045</v>
      </c>
      <c r="F1009" s="92"/>
      <c r="G1009" s="78" t="s">
        <v>46</v>
      </c>
      <c r="H1009" s="55">
        <v>2</v>
      </c>
      <c r="I1009" s="55">
        <v>2</v>
      </c>
      <c r="J1009" s="55">
        <v>2</v>
      </c>
      <c r="K1009" s="598">
        <v>0.29000000000000004</v>
      </c>
      <c r="L1009" s="33">
        <v>44452</v>
      </c>
      <c r="M1009" s="33"/>
      <c r="N1009" s="115">
        <v>44452</v>
      </c>
      <c r="O1009" s="32">
        <v>3482</v>
      </c>
      <c r="P1009" s="904">
        <v>19</v>
      </c>
      <c r="Q1009" s="83">
        <f t="shared" si="31"/>
        <v>38</v>
      </c>
      <c r="S1009" s="7">
        <f t="shared" si="27"/>
        <v>19</v>
      </c>
      <c r="T1009" s="1318">
        <f t="shared" si="28"/>
        <v>38</v>
      </c>
    </row>
    <row r="1010" spans="3:20" ht="18" customHeight="1">
      <c r="C1010" s="6" t="s">
        <v>2662</v>
      </c>
      <c r="D1010" s="13" t="s">
        <v>2003</v>
      </c>
      <c r="E1010" s="79" t="s">
        <v>2664</v>
      </c>
      <c r="F1010" s="92"/>
      <c r="G1010" s="78" t="s">
        <v>2665</v>
      </c>
      <c r="H1010" s="55">
        <v>2</v>
      </c>
      <c r="I1010" s="55">
        <v>2</v>
      </c>
      <c r="J1010" s="55">
        <v>2</v>
      </c>
      <c r="K1010" s="598">
        <v>0.65</v>
      </c>
      <c r="L1010" s="33">
        <v>44452</v>
      </c>
      <c r="M1010" s="33"/>
      <c r="N1010" s="115">
        <v>44452</v>
      </c>
      <c r="O1010" s="32">
        <v>3482</v>
      </c>
      <c r="P1010" s="904">
        <v>45</v>
      </c>
      <c r="Q1010" s="83">
        <f t="shared" si="31"/>
        <v>90</v>
      </c>
      <c r="S1010" s="7">
        <f t="shared" si="27"/>
        <v>45</v>
      </c>
      <c r="T1010" s="1318">
        <f t="shared" si="28"/>
        <v>90</v>
      </c>
    </row>
    <row r="1011" spans="3:20" ht="18" customHeight="1">
      <c r="C1011" s="6" t="s">
        <v>2662</v>
      </c>
      <c r="D1011" s="13" t="s">
        <v>2003</v>
      </c>
      <c r="E1011" s="79" t="s">
        <v>2666</v>
      </c>
      <c r="F1011" s="92"/>
      <c r="G1011" s="78" t="s">
        <v>46</v>
      </c>
      <c r="H1011" s="55">
        <v>2</v>
      </c>
      <c r="I1011" s="55">
        <v>2</v>
      </c>
      <c r="J1011" s="55">
        <v>2</v>
      </c>
      <c r="K1011" s="598">
        <v>2.4099999999999997</v>
      </c>
      <c r="L1011" s="33">
        <v>44452</v>
      </c>
      <c r="M1011" s="33"/>
      <c r="N1011" s="115">
        <v>44452</v>
      </c>
      <c r="O1011" s="32">
        <v>3482</v>
      </c>
      <c r="P1011" s="904">
        <v>185</v>
      </c>
      <c r="Q1011" s="83">
        <f t="shared" si="31"/>
        <v>370</v>
      </c>
      <c r="S1011" s="7">
        <f t="shared" si="27"/>
        <v>185</v>
      </c>
      <c r="T1011" s="1318">
        <f t="shared" si="28"/>
        <v>370</v>
      </c>
    </row>
    <row r="1012" spans="3:20" ht="18" customHeight="1">
      <c r="C1012" s="6" t="s">
        <v>2662</v>
      </c>
      <c r="D1012" s="13" t="s">
        <v>2003</v>
      </c>
      <c r="E1012" s="79" t="s">
        <v>2667</v>
      </c>
      <c r="F1012" s="92"/>
      <c r="G1012" s="78" t="s">
        <v>46</v>
      </c>
      <c r="H1012" s="55">
        <v>2</v>
      </c>
      <c r="I1012" s="55">
        <v>2</v>
      </c>
      <c r="J1012" s="55">
        <v>2</v>
      </c>
      <c r="K1012" s="598">
        <v>1.8</v>
      </c>
      <c r="L1012" s="33">
        <v>44452</v>
      </c>
      <c r="M1012" s="33"/>
      <c r="N1012" s="115">
        <v>44452</v>
      </c>
      <c r="O1012" s="32">
        <v>3482</v>
      </c>
      <c r="P1012" s="904">
        <v>138</v>
      </c>
      <c r="Q1012" s="83">
        <f t="shared" si="31"/>
        <v>276</v>
      </c>
      <c r="S1012" s="7">
        <f t="shared" si="27"/>
        <v>138</v>
      </c>
      <c r="T1012" s="1318">
        <f t="shared" si="28"/>
        <v>276</v>
      </c>
    </row>
    <row r="1013" spans="3:20" ht="18" customHeight="1">
      <c r="C1013" s="6" t="s">
        <v>2662</v>
      </c>
      <c r="D1013" s="13" t="s">
        <v>2003</v>
      </c>
      <c r="E1013" s="79" t="s">
        <v>2668</v>
      </c>
      <c r="F1013" s="92"/>
      <c r="G1013" s="78" t="s">
        <v>2391</v>
      </c>
      <c r="H1013" s="55">
        <v>2</v>
      </c>
      <c r="I1013" s="55">
        <v>2</v>
      </c>
      <c r="J1013" s="55">
        <v>2</v>
      </c>
      <c r="K1013" s="598">
        <v>3.5999999999999996</v>
      </c>
      <c r="L1013" s="33">
        <v>44452</v>
      </c>
      <c r="M1013" s="33"/>
      <c r="N1013" s="115">
        <v>44452</v>
      </c>
      <c r="O1013" s="32">
        <v>3482</v>
      </c>
      <c r="P1013" s="904">
        <v>277</v>
      </c>
      <c r="Q1013" s="83">
        <f t="shared" si="31"/>
        <v>554</v>
      </c>
      <c r="S1013" s="7">
        <f t="shared" si="27"/>
        <v>277</v>
      </c>
      <c r="T1013" s="1318">
        <f t="shared" si="28"/>
        <v>554</v>
      </c>
    </row>
    <row r="1014" spans="3:20" ht="18" customHeight="1">
      <c r="C1014" s="6" t="s">
        <v>2662</v>
      </c>
      <c r="D1014" s="13" t="s">
        <v>2003</v>
      </c>
      <c r="E1014" s="79" t="s">
        <v>2669</v>
      </c>
      <c r="F1014" s="92"/>
      <c r="G1014" s="78" t="s">
        <v>2670</v>
      </c>
      <c r="H1014" s="55">
        <v>2</v>
      </c>
      <c r="I1014" s="55">
        <v>2</v>
      </c>
      <c r="J1014" s="55">
        <v>2</v>
      </c>
      <c r="K1014" s="598">
        <v>3.5999999999999996</v>
      </c>
      <c r="L1014" s="33">
        <v>44452</v>
      </c>
      <c r="M1014" s="33"/>
      <c r="N1014" s="115">
        <v>44452</v>
      </c>
      <c r="O1014" s="32">
        <v>3482</v>
      </c>
      <c r="P1014" s="904">
        <v>277</v>
      </c>
      <c r="Q1014" s="83">
        <f t="shared" si="31"/>
        <v>554</v>
      </c>
      <c r="S1014" s="7">
        <f t="shared" si="27"/>
        <v>277</v>
      </c>
      <c r="T1014" s="1318">
        <f t="shared" si="28"/>
        <v>554</v>
      </c>
    </row>
    <row r="1015" spans="3:20" ht="18" customHeight="1">
      <c r="C1015" s="6" t="s">
        <v>2662</v>
      </c>
      <c r="D1015" s="13" t="s">
        <v>2003</v>
      </c>
      <c r="E1015" s="79" t="s">
        <v>2671</v>
      </c>
      <c r="F1015" s="92"/>
      <c r="G1015" s="78" t="s">
        <v>2672</v>
      </c>
      <c r="H1015" s="55">
        <v>2</v>
      </c>
      <c r="I1015" s="55">
        <v>2</v>
      </c>
      <c r="J1015" s="55">
        <v>2</v>
      </c>
      <c r="K1015" s="598">
        <v>3.5999999999999996</v>
      </c>
      <c r="L1015" s="33">
        <v>44452</v>
      </c>
      <c r="M1015" s="33"/>
      <c r="N1015" s="115">
        <v>44452</v>
      </c>
      <c r="O1015" s="32">
        <v>3482</v>
      </c>
      <c r="P1015" s="904">
        <v>277</v>
      </c>
      <c r="Q1015" s="83">
        <f t="shared" si="31"/>
        <v>554</v>
      </c>
      <c r="S1015" s="7">
        <f t="shared" si="27"/>
        <v>277</v>
      </c>
      <c r="T1015" s="1318">
        <f t="shared" si="28"/>
        <v>554</v>
      </c>
    </row>
    <row r="1016" spans="3:20" ht="18" customHeight="1">
      <c r="C1016" s="6" t="s">
        <v>2662</v>
      </c>
      <c r="D1016" s="13" t="s">
        <v>2003</v>
      </c>
      <c r="E1016" s="79" t="s">
        <v>2673</v>
      </c>
      <c r="F1016" s="92"/>
      <c r="G1016" s="78" t="s">
        <v>2674</v>
      </c>
      <c r="H1016" s="55">
        <v>2</v>
      </c>
      <c r="I1016" s="55">
        <v>2</v>
      </c>
      <c r="J1016" s="55">
        <v>2</v>
      </c>
      <c r="K1016" s="598">
        <v>3.5999999999999996</v>
      </c>
      <c r="L1016" s="33">
        <v>44452</v>
      </c>
      <c r="M1016" s="33"/>
      <c r="N1016" s="115">
        <v>44452</v>
      </c>
      <c r="O1016" s="32">
        <v>3482</v>
      </c>
      <c r="P1016" s="904">
        <v>277</v>
      </c>
      <c r="Q1016" s="83">
        <f t="shared" si="31"/>
        <v>554</v>
      </c>
      <c r="S1016" s="7">
        <f t="shared" si="27"/>
        <v>277</v>
      </c>
      <c r="T1016" s="1318">
        <f t="shared" si="28"/>
        <v>554</v>
      </c>
    </row>
    <row r="1017" spans="3:20" ht="18" customHeight="1">
      <c r="C1017" s="6" t="s">
        <v>2662</v>
      </c>
      <c r="D1017" s="13" t="s">
        <v>2003</v>
      </c>
      <c r="E1017" s="79" t="s">
        <v>2675</v>
      </c>
      <c r="F1017" s="92"/>
      <c r="G1017" s="78" t="s">
        <v>2676</v>
      </c>
      <c r="H1017" s="55">
        <v>2</v>
      </c>
      <c r="I1017" s="55">
        <v>2</v>
      </c>
      <c r="J1017" s="55">
        <v>2</v>
      </c>
      <c r="K1017" s="598">
        <v>3.15</v>
      </c>
      <c r="L1017" s="33">
        <v>44452</v>
      </c>
      <c r="M1017" s="33"/>
      <c r="N1017" s="115">
        <v>44452</v>
      </c>
      <c r="O1017" s="32">
        <v>3482</v>
      </c>
      <c r="P1017" s="904">
        <v>242</v>
      </c>
      <c r="Q1017" s="83">
        <f t="shared" si="31"/>
        <v>484</v>
      </c>
      <c r="S1017" s="7">
        <f t="shared" si="27"/>
        <v>242</v>
      </c>
      <c r="T1017" s="1318">
        <f t="shared" si="28"/>
        <v>484</v>
      </c>
    </row>
    <row r="1018" spans="3:20" ht="18" customHeight="1">
      <c r="C1018" s="6" t="s">
        <v>2662</v>
      </c>
      <c r="D1018" s="13" t="s">
        <v>2003</v>
      </c>
      <c r="E1018" s="79" t="s">
        <v>2677</v>
      </c>
      <c r="F1018" s="92"/>
      <c r="G1018" s="78" t="s">
        <v>129</v>
      </c>
      <c r="H1018" s="55">
        <v>2</v>
      </c>
      <c r="I1018" s="55">
        <v>2</v>
      </c>
      <c r="J1018" s="55">
        <v>2</v>
      </c>
      <c r="K1018" s="598">
        <v>2.0599999999999996</v>
      </c>
      <c r="L1018" s="33">
        <v>44452</v>
      </c>
      <c r="M1018" s="33"/>
      <c r="N1018" s="115">
        <v>44452</v>
      </c>
      <c r="O1018" s="32">
        <v>3482</v>
      </c>
      <c r="P1018" s="904">
        <v>158</v>
      </c>
      <c r="Q1018" s="83">
        <f t="shared" si="31"/>
        <v>316</v>
      </c>
      <c r="S1018" s="7">
        <f t="shared" si="27"/>
        <v>158</v>
      </c>
      <c r="T1018" s="1318">
        <f t="shared" si="28"/>
        <v>316</v>
      </c>
    </row>
    <row r="1019" spans="3:20" ht="18" customHeight="1">
      <c r="C1019" s="6" t="s">
        <v>2662</v>
      </c>
      <c r="D1019" s="13" t="s">
        <v>2003</v>
      </c>
      <c r="E1019" s="79" t="s">
        <v>2390</v>
      </c>
      <c r="F1019" s="92"/>
      <c r="G1019" s="78" t="s">
        <v>2391</v>
      </c>
      <c r="H1019" s="55">
        <v>2</v>
      </c>
      <c r="I1019" s="55">
        <v>2</v>
      </c>
      <c r="J1019" s="55">
        <v>2</v>
      </c>
      <c r="K1019" s="598">
        <v>2.0599999999999996</v>
      </c>
      <c r="L1019" s="33">
        <v>44452</v>
      </c>
      <c r="M1019" s="33"/>
      <c r="N1019" s="115">
        <v>44452</v>
      </c>
      <c r="O1019" s="32">
        <v>3482</v>
      </c>
      <c r="P1019" s="904">
        <v>158</v>
      </c>
      <c r="Q1019" s="83">
        <f t="shared" si="31"/>
        <v>316</v>
      </c>
      <c r="S1019" s="7">
        <f t="shared" si="27"/>
        <v>158</v>
      </c>
      <c r="T1019" s="1318">
        <f t="shared" si="28"/>
        <v>316</v>
      </c>
    </row>
    <row r="1020" spans="3:20" ht="18" customHeight="1">
      <c r="C1020" s="6" t="s">
        <v>2662</v>
      </c>
      <c r="D1020" s="13" t="s">
        <v>2003</v>
      </c>
      <c r="E1020" s="79" t="s">
        <v>2678</v>
      </c>
      <c r="F1020" s="92"/>
      <c r="G1020" s="78" t="s">
        <v>2672</v>
      </c>
      <c r="H1020" s="55">
        <v>2</v>
      </c>
      <c r="I1020" s="55">
        <v>2</v>
      </c>
      <c r="J1020" s="55">
        <v>2</v>
      </c>
      <c r="K1020" s="598">
        <v>2.0599999999999996</v>
      </c>
      <c r="L1020" s="33">
        <v>44452</v>
      </c>
      <c r="M1020" s="33"/>
      <c r="N1020" s="115">
        <v>44452</v>
      </c>
      <c r="O1020" s="32">
        <v>3482</v>
      </c>
      <c r="P1020" s="904">
        <v>158</v>
      </c>
      <c r="Q1020" s="83">
        <f t="shared" si="31"/>
        <v>316</v>
      </c>
      <c r="S1020" s="7">
        <f t="shared" si="27"/>
        <v>158</v>
      </c>
      <c r="T1020" s="1318">
        <f t="shared" si="28"/>
        <v>316</v>
      </c>
    </row>
    <row r="1021" spans="3:20" ht="18" customHeight="1">
      <c r="C1021" s="6" t="s">
        <v>2662</v>
      </c>
      <c r="D1021" s="13" t="s">
        <v>2003</v>
      </c>
      <c r="E1021" s="79" t="s">
        <v>2679</v>
      </c>
      <c r="F1021" s="92"/>
      <c r="G1021" s="78" t="s">
        <v>2674</v>
      </c>
      <c r="H1021" s="55">
        <v>2</v>
      </c>
      <c r="I1021" s="55">
        <v>2</v>
      </c>
      <c r="J1021" s="55">
        <v>2</v>
      </c>
      <c r="K1021" s="598">
        <v>2.0599999999999996</v>
      </c>
      <c r="L1021" s="33">
        <v>44452</v>
      </c>
      <c r="M1021" s="33"/>
      <c r="N1021" s="115">
        <v>44452</v>
      </c>
      <c r="O1021" s="32">
        <v>3482</v>
      </c>
      <c r="P1021" s="904">
        <v>158</v>
      </c>
      <c r="Q1021" s="83">
        <f t="shared" si="31"/>
        <v>316</v>
      </c>
      <c r="S1021" s="7">
        <f t="shared" si="27"/>
        <v>158</v>
      </c>
      <c r="T1021" s="1318">
        <f t="shared" si="28"/>
        <v>316</v>
      </c>
    </row>
    <row r="1022" spans="3:20" ht="18" customHeight="1">
      <c r="C1022" s="6" t="s">
        <v>2662</v>
      </c>
      <c r="D1022" s="13" t="s">
        <v>2003</v>
      </c>
      <c r="E1022" s="79" t="s">
        <v>2680</v>
      </c>
      <c r="F1022" s="92"/>
      <c r="G1022" s="78" t="s">
        <v>2676</v>
      </c>
      <c r="H1022" s="55">
        <v>2</v>
      </c>
      <c r="I1022" s="55">
        <v>2</v>
      </c>
      <c r="J1022" s="55">
        <v>2</v>
      </c>
      <c r="K1022" s="598">
        <v>1.6</v>
      </c>
      <c r="L1022" s="33">
        <v>44452</v>
      </c>
      <c r="M1022" s="33"/>
      <c r="N1022" s="115">
        <v>44452</v>
      </c>
      <c r="O1022" s="32">
        <v>3482</v>
      </c>
      <c r="P1022" s="904">
        <v>123</v>
      </c>
      <c r="Q1022" s="83">
        <f t="shared" si="31"/>
        <v>246</v>
      </c>
      <c r="S1022" s="7">
        <f t="shared" si="27"/>
        <v>123</v>
      </c>
      <c r="T1022" s="1318">
        <f t="shared" si="28"/>
        <v>246</v>
      </c>
    </row>
    <row r="1023" spans="3:20" ht="18" customHeight="1">
      <c r="C1023" s="6" t="s">
        <v>2662</v>
      </c>
      <c r="D1023" s="13" t="s">
        <v>2003</v>
      </c>
      <c r="E1023" s="79" t="s">
        <v>2681</v>
      </c>
      <c r="F1023" s="92"/>
      <c r="G1023" s="78" t="s">
        <v>25</v>
      </c>
      <c r="H1023" s="55">
        <v>2</v>
      </c>
      <c r="I1023" s="55">
        <v>2</v>
      </c>
      <c r="J1023" s="55">
        <v>2</v>
      </c>
      <c r="K1023" s="598">
        <v>1.1200000000000001</v>
      </c>
      <c r="L1023" s="33">
        <v>44452</v>
      </c>
      <c r="M1023" s="33"/>
      <c r="N1023" s="115">
        <v>44452</v>
      </c>
      <c r="O1023" s="32">
        <v>3482</v>
      </c>
      <c r="P1023" s="904">
        <v>86</v>
      </c>
      <c r="Q1023" s="83">
        <f t="shared" si="31"/>
        <v>172</v>
      </c>
      <c r="S1023" s="7">
        <f t="shared" si="27"/>
        <v>86</v>
      </c>
      <c r="T1023" s="1318">
        <f t="shared" si="28"/>
        <v>172</v>
      </c>
    </row>
    <row r="1024" spans="3:20" ht="18" customHeight="1">
      <c r="C1024" s="6" t="s">
        <v>2662</v>
      </c>
      <c r="D1024" s="13" t="s">
        <v>2003</v>
      </c>
      <c r="E1024" s="79" t="s">
        <v>2682</v>
      </c>
      <c r="F1024" s="92"/>
      <c r="G1024" s="78" t="s">
        <v>25</v>
      </c>
      <c r="H1024" s="55">
        <v>2</v>
      </c>
      <c r="I1024" s="55">
        <v>2</v>
      </c>
      <c r="J1024" s="55">
        <v>2</v>
      </c>
      <c r="K1024" s="598">
        <v>4.0299999999999994</v>
      </c>
      <c r="L1024" s="33">
        <v>44452</v>
      </c>
      <c r="M1024" s="33"/>
      <c r="N1024" s="115">
        <v>44452</v>
      </c>
      <c r="O1024" s="32">
        <v>3482</v>
      </c>
      <c r="P1024" s="904">
        <v>310</v>
      </c>
      <c r="Q1024" s="83">
        <f t="shared" si="31"/>
        <v>620</v>
      </c>
      <c r="S1024" s="7">
        <f t="shared" si="27"/>
        <v>310</v>
      </c>
      <c r="T1024" s="1318">
        <f t="shared" si="28"/>
        <v>620</v>
      </c>
    </row>
    <row r="1025" spans="3:21" ht="18" customHeight="1">
      <c r="C1025" s="6" t="s">
        <v>2662</v>
      </c>
      <c r="D1025" s="13" t="s">
        <v>2003</v>
      </c>
      <c r="E1025" s="79" t="s">
        <v>2683</v>
      </c>
      <c r="F1025" s="92"/>
      <c r="G1025" s="78" t="s">
        <v>25</v>
      </c>
      <c r="H1025" s="55">
        <v>2</v>
      </c>
      <c r="I1025" s="55">
        <v>2</v>
      </c>
      <c r="J1025" s="55">
        <v>2</v>
      </c>
      <c r="K1025" s="598">
        <v>4.0999999999999996</v>
      </c>
      <c r="L1025" s="33">
        <v>44452</v>
      </c>
      <c r="M1025" s="33"/>
      <c r="N1025" s="115">
        <v>44452</v>
      </c>
      <c r="O1025" s="32">
        <v>3482</v>
      </c>
      <c r="P1025" s="904">
        <v>315</v>
      </c>
      <c r="Q1025" s="83">
        <f t="shared" si="31"/>
        <v>630</v>
      </c>
      <c r="S1025" s="7">
        <f t="shared" si="27"/>
        <v>315</v>
      </c>
      <c r="T1025" s="1318">
        <f t="shared" si="28"/>
        <v>630</v>
      </c>
    </row>
    <row r="1026" spans="3:21" ht="18" customHeight="1">
      <c r="C1026" s="6" t="s">
        <v>2662</v>
      </c>
      <c r="D1026" s="13" t="s">
        <v>2003</v>
      </c>
      <c r="E1026" s="79" t="s">
        <v>2684</v>
      </c>
      <c r="F1026" s="92"/>
      <c r="G1026" s="78" t="s">
        <v>25</v>
      </c>
      <c r="H1026" s="55">
        <v>2</v>
      </c>
      <c r="I1026" s="55">
        <v>2</v>
      </c>
      <c r="J1026" s="55">
        <v>2</v>
      </c>
      <c r="K1026" s="598">
        <v>3.71</v>
      </c>
      <c r="L1026" s="33">
        <v>44452</v>
      </c>
      <c r="M1026" s="33"/>
      <c r="N1026" s="115">
        <v>44452</v>
      </c>
      <c r="O1026" s="32">
        <v>3482</v>
      </c>
      <c r="P1026" s="904">
        <v>285</v>
      </c>
      <c r="Q1026" s="83">
        <f t="shared" si="31"/>
        <v>570</v>
      </c>
      <c r="S1026" s="7">
        <f t="shared" si="27"/>
        <v>285</v>
      </c>
      <c r="T1026" s="1318">
        <f t="shared" si="28"/>
        <v>570</v>
      </c>
    </row>
    <row r="1027" spans="3:21" ht="18" customHeight="1">
      <c r="C1027" s="6" t="s">
        <v>2662</v>
      </c>
      <c r="D1027" s="13" t="s">
        <v>2003</v>
      </c>
      <c r="E1027" s="79" t="s">
        <v>2685</v>
      </c>
      <c r="F1027" s="92"/>
      <c r="G1027" s="78" t="s">
        <v>25</v>
      </c>
      <c r="H1027" s="55">
        <v>2</v>
      </c>
      <c r="I1027" s="55">
        <v>2</v>
      </c>
      <c r="J1027" s="55">
        <v>2</v>
      </c>
      <c r="K1027" s="598">
        <v>1.69</v>
      </c>
      <c r="L1027" s="33">
        <v>44452</v>
      </c>
      <c r="M1027" s="33"/>
      <c r="N1027" s="115">
        <v>44452</v>
      </c>
      <c r="O1027" s="32">
        <v>3482</v>
      </c>
      <c r="P1027" s="904">
        <v>130</v>
      </c>
      <c r="Q1027" s="83">
        <f t="shared" si="31"/>
        <v>260</v>
      </c>
      <c r="S1027" s="7">
        <f t="shared" si="27"/>
        <v>130</v>
      </c>
      <c r="T1027" s="1318">
        <f t="shared" si="28"/>
        <v>260</v>
      </c>
    </row>
    <row r="1028" spans="3:21" ht="18" customHeight="1">
      <c r="C1028" s="6" t="s">
        <v>2662</v>
      </c>
      <c r="D1028" s="13" t="s">
        <v>2003</v>
      </c>
      <c r="E1028" s="79" t="s">
        <v>2686</v>
      </c>
      <c r="F1028" s="92"/>
      <c r="G1028" s="78" t="s">
        <v>2687</v>
      </c>
      <c r="H1028" s="17">
        <v>0.3</v>
      </c>
      <c r="I1028" s="17">
        <v>0.3</v>
      </c>
      <c r="J1028" s="17">
        <v>0.3</v>
      </c>
      <c r="K1028" s="598">
        <v>1.52</v>
      </c>
      <c r="L1028" s="33">
        <v>44452</v>
      </c>
      <c r="M1028" s="33"/>
      <c r="N1028" s="115">
        <v>44452</v>
      </c>
      <c r="O1028" s="32">
        <v>3482</v>
      </c>
      <c r="P1028" s="904">
        <f>87+30</f>
        <v>117</v>
      </c>
      <c r="Q1028" s="83">
        <v>0</v>
      </c>
      <c r="S1028" s="7">
        <f t="shared" si="27"/>
        <v>117</v>
      </c>
      <c r="T1028" s="1318">
        <f t="shared" si="28"/>
        <v>0</v>
      </c>
    </row>
    <row r="1029" spans="3:21" ht="18" customHeight="1">
      <c r="C1029" s="6" t="s">
        <v>2662</v>
      </c>
      <c r="D1029" s="13" t="s">
        <v>2003</v>
      </c>
      <c r="E1029" s="79" t="s">
        <v>2686</v>
      </c>
      <c r="F1029" s="92"/>
      <c r="G1029" s="78" t="s">
        <v>2688</v>
      </c>
      <c r="H1029" s="17">
        <v>0.3</v>
      </c>
      <c r="I1029" s="17">
        <v>0.3</v>
      </c>
      <c r="J1029" s="17">
        <v>0.3</v>
      </c>
      <c r="K1029" s="598">
        <v>1.52</v>
      </c>
      <c r="L1029" s="33">
        <v>44452</v>
      </c>
      <c r="M1029" s="33"/>
      <c r="N1029" s="115">
        <v>44452</v>
      </c>
      <c r="O1029" s="32">
        <v>3482</v>
      </c>
      <c r="P1029" s="904">
        <f>87+30</f>
        <v>117</v>
      </c>
      <c r="Q1029" s="83">
        <v>0</v>
      </c>
      <c r="S1029" s="7">
        <f t="shared" si="27"/>
        <v>117</v>
      </c>
      <c r="T1029" s="1318">
        <f t="shared" si="28"/>
        <v>0</v>
      </c>
    </row>
    <row r="1030" spans="3:21" ht="18" customHeight="1">
      <c r="C1030" s="6" t="s">
        <v>2662</v>
      </c>
      <c r="D1030" s="13" t="s">
        <v>2003</v>
      </c>
      <c r="E1030" s="79" t="s">
        <v>2686</v>
      </c>
      <c r="F1030" s="92"/>
      <c r="G1030" s="78" t="s">
        <v>2689</v>
      </c>
      <c r="H1030" s="17">
        <v>0.3</v>
      </c>
      <c r="I1030" s="17">
        <v>0.3</v>
      </c>
      <c r="J1030" s="17">
        <v>0.3</v>
      </c>
      <c r="K1030" s="598">
        <v>1.52</v>
      </c>
      <c r="L1030" s="33">
        <v>44452</v>
      </c>
      <c r="M1030" s="33"/>
      <c r="N1030" s="115">
        <v>44452</v>
      </c>
      <c r="O1030" s="32">
        <v>3482</v>
      </c>
      <c r="P1030" s="904">
        <f>87+30</f>
        <v>117</v>
      </c>
      <c r="Q1030" s="83">
        <v>0</v>
      </c>
      <c r="S1030" s="7">
        <f t="shared" si="27"/>
        <v>117</v>
      </c>
      <c r="T1030" s="1318">
        <f t="shared" si="28"/>
        <v>0</v>
      </c>
    </row>
    <row r="1031" spans="3:21" ht="18" customHeight="1">
      <c r="C1031" s="6" t="s">
        <v>2662</v>
      </c>
      <c r="D1031" s="13" t="s">
        <v>2003</v>
      </c>
      <c r="E1031" s="79" t="s">
        <v>2686</v>
      </c>
      <c r="F1031" s="92"/>
      <c r="G1031" s="78" t="s">
        <v>2690</v>
      </c>
      <c r="H1031" s="17">
        <v>0.3</v>
      </c>
      <c r="I1031" s="17">
        <v>0.3</v>
      </c>
      <c r="J1031" s="17">
        <v>0.3</v>
      </c>
      <c r="K1031" s="598">
        <v>1.52</v>
      </c>
      <c r="L1031" s="33">
        <v>44452</v>
      </c>
      <c r="M1031" s="33"/>
      <c r="N1031" s="115">
        <v>44452</v>
      </c>
      <c r="O1031" s="32">
        <v>3482</v>
      </c>
      <c r="P1031" s="904">
        <f>87+30</f>
        <v>117</v>
      </c>
      <c r="Q1031" s="83">
        <v>0</v>
      </c>
      <c r="S1031" s="7">
        <f t="shared" si="27"/>
        <v>117</v>
      </c>
      <c r="T1031" s="1318">
        <f t="shared" si="28"/>
        <v>0</v>
      </c>
    </row>
    <row r="1032" spans="3:21" ht="18" customHeight="1">
      <c r="C1032" s="6" t="s">
        <v>2662</v>
      </c>
      <c r="D1032" s="13" t="s">
        <v>2003</v>
      </c>
      <c r="E1032" s="79" t="s">
        <v>2686</v>
      </c>
      <c r="F1032" s="92"/>
      <c r="G1032" s="78" t="s">
        <v>2691</v>
      </c>
      <c r="H1032" s="17">
        <v>0.3</v>
      </c>
      <c r="I1032" s="17">
        <v>0.3</v>
      </c>
      <c r="J1032" s="17">
        <v>0.3</v>
      </c>
      <c r="K1032" s="598">
        <v>1.52</v>
      </c>
      <c r="L1032" s="33">
        <v>44452</v>
      </c>
      <c r="M1032" s="33"/>
      <c r="N1032" s="115">
        <v>44452</v>
      </c>
      <c r="O1032" s="32">
        <v>3482</v>
      </c>
      <c r="P1032" s="904">
        <f>87+30</f>
        <v>117</v>
      </c>
      <c r="Q1032" s="83">
        <v>0</v>
      </c>
      <c r="S1032" s="7">
        <f t="shared" si="27"/>
        <v>117</v>
      </c>
      <c r="T1032" s="1318">
        <f t="shared" si="28"/>
        <v>0</v>
      </c>
    </row>
    <row r="1033" spans="3:21" ht="18" customHeight="1">
      <c r="C1033" s="6" t="s">
        <v>2662</v>
      </c>
      <c r="D1033" s="13" t="s">
        <v>2003</v>
      </c>
      <c r="E1033" s="79" t="s">
        <v>2692</v>
      </c>
      <c r="F1033" s="92"/>
      <c r="G1033" s="78" t="s">
        <v>2693</v>
      </c>
      <c r="H1033" s="17">
        <v>0.3</v>
      </c>
      <c r="I1033" s="17">
        <v>0.3</v>
      </c>
      <c r="J1033" s="17">
        <v>0.3</v>
      </c>
      <c r="K1033" s="598">
        <v>1.89</v>
      </c>
      <c r="L1033" s="33">
        <v>44452</v>
      </c>
      <c r="M1033" s="33"/>
      <c r="N1033" s="115">
        <v>44452</v>
      </c>
      <c r="O1033" s="32">
        <v>3482</v>
      </c>
      <c r="P1033" s="904">
        <f>115+30</f>
        <v>145</v>
      </c>
      <c r="Q1033" s="83">
        <v>0</v>
      </c>
      <c r="S1033" s="7">
        <f t="shared" si="27"/>
        <v>145</v>
      </c>
      <c r="T1033" s="1318">
        <f t="shared" si="28"/>
        <v>0</v>
      </c>
    </row>
    <row r="1034" spans="3:21" ht="18" customHeight="1">
      <c r="C1034" s="6" t="s">
        <v>2662</v>
      </c>
      <c r="D1034" s="13" t="s">
        <v>2003</v>
      </c>
      <c r="E1034" s="79" t="s">
        <v>2692</v>
      </c>
      <c r="F1034" s="92"/>
      <c r="G1034" s="78" t="s">
        <v>2694</v>
      </c>
      <c r="H1034" s="17">
        <v>0.3</v>
      </c>
      <c r="I1034" s="17">
        <v>0.3</v>
      </c>
      <c r="J1034" s="17">
        <v>0.3</v>
      </c>
      <c r="K1034" s="598">
        <v>1.89</v>
      </c>
      <c r="L1034" s="33">
        <v>44452</v>
      </c>
      <c r="M1034" s="33"/>
      <c r="N1034" s="115">
        <v>44452</v>
      </c>
      <c r="O1034" s="32">
        <v>3482</v>
      </c>
      <c r="P1034" s="904">
        <f>115+30</f>
        <v>145</v>
      </c>
      <c r="Q1034" s="83">
        <v>0</v>
      </c>
      <c r="S1034" s="7">
        <f t="shared" si="27"/>
        <v>145</v>
      </c>
      <c r="T1034" s="1318">
        <f t="shared" si="28"/>
        <v>0</v>
      </c>
    </row>
    <row r="1035" spans="3:21" ht="18" customHeight="1">
      <c r="C1035" s="6" t="s">
        <v>2662</v>
      </c>
      <c r="D1035" s="13" t="s">
        <v>2003</v>
      </c>
      <c r="E1035" s="79" t="s">
        <v>124</v>
      </c>
      <c r="F1035" s="92"/>
      <c r="G1035" s="78" t="s">
        <v>2693</v>
      </c>
      <c r="H1035" s="17">
        <v>0.3</v>
      </c>
      <c r="I1035" s="17">
        <v>0.3</v>
      </c>
      <c r="J1035" s="17">
        <v>0.3</v>
      </c>
      <c r="K1035" s="598">
        <v>1.47</v>
      </c>
      <c r="L1035" s="33">
        <v>44452</v>
      </c>
      <c r="M1035" s="33"/>
      <c r="N1035" s="115">
        <v>44452</v>
      </c>
      <c r="O1035" s="32">
        <v>3482</v>
      </c>
      <c r="P1035" s="904">
        <f>83+30</f>
        <v>113</v>
      </c>
      <c r="Q1035" s="83">
        <v>0</v>
      </c>
      <c r="S1035" s="7">
        <f t="shared" si="27"/>
        <v>113</v>
      </c>
      <c r="T1035" s="1318">
        <f t="shared" si="28"/>
        <v>0</v>
      </c>
    </row>
    <row r="1036" spans="3:21" ht="18" customHeight="1">
      <c r="C1036" s="6" t="s">
        <v>2662</v>
      </c>
      <c r="D1036" s="13" t="s">
        <v>2003</v>
      </c>
      <c r="E1036" s="79" t="s">
        <v>124</v>
      </c>
      <c r="F1036" s="92"/>
      <c r="G1036" s="78" t="s">
        <v>2694</v>
      </c>
      <c r="H1036" s="17">
        <v>0.3</v>
      </c>
      <c r="I1036" s="17">
        <v>0.3</v>
      </c>
      <c r="J1036" s="17">
        <v>0.3</v>
      </c>
      <c r="K1036" s="598">
        <v>1.47</v>
      </c>
      <c r="L1036" s="33">
        <v>44452</v>
      </c>
      <c r="M1036" s="33"/>
      <c r="N1036" s="115">
        <v>44452</v>
      </c>
      <c r="O1036" s="32">
        <v>3482</v>
      </c>
      <c r="P1036" s="904">
        <f>83+30</f>
        <v>113</v>
      </c>
      <c r="Q1036" s="83">
        <v>0</v>
      </c>
      <c r="S1036" s="7">
        <f t="shared" si="27"/>
        <v>113</v>
      </c>
      <c r="T1036" s="1318">
        <f t="shared" si="28"/>
        <v>0</v>
      </c>
    </row>
    <row r="1037" spans="3:21" ht="18" customHeight="1">
      <c r="C1037" s="6" t="s">
        <v>2662</v>
      </c>
      <c r="D1037" s="13" t="s">
        <v>2003</v>
      </c>
      <c r="E1037" s="79" t="s">
        <v>2052</v>
      </c>
      <c r="F1037" s="92"/>
      <c r="G1037" s="78" t="s">
        <v>2695</v>
      </c>
      <c r="H1037" s="55">
        <v>2</v>
      </c>
      <c r="I1037" s="55">
        <v>2</v>
      </c>
      <c r="J1037" s="55">
        <v>2</v>
      </c>
      <c r="K1037" s="598">
        <v>1.1599999999999999</v>
      </c>
      <c r="L1037" s="33">
        <v>44452</v>
      </c>
      <c r="M1037" s="33"/>
      <c r="N1037" s="115">
        <v>44452</v>
      </c>
      <c r="O1037" s="32">
        <v>3482</v>
      </c>
      <c r="P1037" s="904">
        <v>76</v>
      </c>
      <c r="Q1037" s="83">
        <v>0</v>
      </c>
      <c r="S1037" s="7">
        <f t="shared" si="27"/>
        <v>76</v>
      </c>
      <c r="T1037" s="1318">
        <f t="shared" si="28"/>
        <v>0</v>
      </c>
    </row>
    <row r="1038" spans="3:21" ht="18" customHeight="1">
      <c r="C1038" s="6" t="s">
        <v>2662</v>
      </c>
      <c r="D1038" s="13" t="s">
        <v>2003</v>
      </c>
      <c r="E1038" s="79" t="s">
        <v>2052</v>
      </c>
      <c r="F1038" s="92"/>
      <c r="G1038" s="78" t="s">
        <v>2696</v>
      </c>
      <c r="H1038" s="55">
        <v>2</v>
      </c>
      <c r="I1038" s="55">
        <v>2</v>
      </c>
      <c r="J1038" s="55">
        <v>2</v>
      </c>
      <c r="K1038" s="598">
        <v>1.1599999999999999</v>
      </c>
      <c r="L1038" s="33">
        <v>44452</v>
      </c>
      <c r="M1038" s="33"/>
      <c r="N1038" s="115">
        <v>44452</v>
      </c>
      <c r="O1038" s="32">
        <v>3482</v>
      </c>
      <c r="P1038" s="904">
        <v>76</v>
      </c>
      <c r="Q1038" s="83">
        <v>0</v>
      </c>
      <c r="S1038" s="7">
        <f t="shared" si="27"/>
        <v>76</v>
      </c>
      <c r="T1038" s="1318">
        <f t="shared" si="28"/>
        <v>0</v>
      </c>
    </row>
    <row r="1039" spans="3:21" ht="18" customHeight="1">
      <c r="C1039" s="6" t="s">
        <v>2662</v>
      </c>
      <c r="D1039" s="13" t="s">
        <v>2003</v>
      </c>
      <c r="E1039" s="78" t="s">
        <v>181</v>
      </c>
      <c r="F1039" s="92"/>
      <c r="G1039" s="21"/>
      <c r="H1039" s="39"/>
      <c r="I1039" s="39"/>
      <c r="J1039" s="39">
        <v>1</v>
      </c>
      <c r="K1039" s="598">
        <v>50</v>
      </c>
      <c r="L1039" s="33">
        <v>44452</v>
      </c>
      <c r="M1039" s="33"/>
      <c r="N1039" s="115">
        <v>44452</v>
      </c>
      <c r="O1039" s="32">
        <v>3482</v>
      </c>
      <c r="P1039" s="905">
        <f>800+900+900+900+1000</f>
        <v>4500</v>
      </c>
      <c r="Q1039" s="83">
        <f>P1039*J1039</f>
        <v>4500</v>
      </c>
      <c r="S1039" s="7">
        <f t="shared" si="27"/>
        <v>4500</v>
      </c>
      <c r="T1039" s="1318">
        <f t="shared" si="28"/>
        <v>4500</v>
      </c>
    </row>
    <row r="1040" spans="3:21" s="159" customFormat="1" ht="15">
      <c r="C1040" s="149" t="s">
        <v>2662</v>
      </c>
      <c r="D1040" s="150" t="s">
        <v>2003</v>
      </c>
      <c r="E1040" s="151"/>
      <c r="F1040" s="152"/>
      <c r="G1040" s="152" t="s">
        <v>168</v>
      </c>
      <c r="H1040" s="154" t="s">
        <v>169</v>
      </c>
      <c r="I1040" s="155"/>
      <c r="J1040" s="153"/>
      <c r="K1040" s="600">
        <v>0</v>
      </c>
      <c r="L1040" s="157">
        <v>44452</v>
      </c>
      <c r="M1040" s="157"/>
      <c r="N1040" s="158">
        <v>44452</v>
      </c>
      <c r="O1040" s="156">
        <v>3482</v>
      </c>
      <c r="P1040" s="164">
        <v>0</v>
      </c>
      <c r="Q1040" s="165">
        <v>0</v>
      </c>
      <c r="S1040" s="7">
        <f t="shared" si="27"/>
        <v>0</v>
      </c>
      <c r="T1040" s="1318">
        <f t="shared" si="28"/>
        <v>0</v>
      </c>
      <c r="U1040" s="268"/>
    </row>
    <row r="1041" spans="3:21" s="7" customFormat="1" ht="18" customHeight="1">
      <c r="C1041" s="6" t="s">
        <v>2697</v>
      </c>
      <c r="D1041" s="13" t="s">
        <v>2653</v>
      </c>
      <c r="E1041" s="18" t="s">
        <v>2185</v>
      </c>
      <c r="F1041" s="92"/>
      <c r="G1041" s="21"/>
      <c r="H1041" s="17"/>
      <c r="I1041" s="56"/>
      <c r="J1041" s="17"/>
      <c r="K1041" s="95" t="s">
        <v>8</v>
      </c>
      <c r="L1041" s="33"/>
      <c r="M1041" s="33"/>
      <c r="N1041" s="115">
        <v>44461</v>
      </c>
      <c r="O1041" s="32">
        <v>3509</v>
      </c>
      <c r="P1041" s="83"/>
      <c r="Q1041" s="83"/>
      <c r="S1041" s="7">
        <f t="shared" si="27"/>
        <v>0</v>
      </c>
      <c r="T1041" s="1318">
        <f t="shared" si="28"/>
        <v>0</v>
      </c>
      <c r="U1041" s="128"/>
    </row>
    <row r="1042" spans="3:21" ht="18" customHeight="1">
      <c r="C1042" s="6" t="s">
        <v>2697</v>
      </c>
      <c r="D1042" s="13" t="s">
        <v>2653</v>
      </c>
      <c r="E1042" s="21" t="s">
        <v>2620</v>
      </c>
      <c r="F1042" s="596"/>
      <c r="G1042" s="21" t="s">
        <v>46</v>
      </c>
      <c r="H1042" s="55">
        <v>50</v>
      </c>
      <c r="I1042" s="55">
        <v>50</v>
      </c>
      <c r="J1042" s="55">
        <v>50</v>
      </c>
      <c r="K1042" s="40">
        <v>2.15</v>
      </c>
      <c r="L1042" s="40">
        <f>K1042*J1042</f>
        <v>107.5</v>
      </c>
      <c r="M1042" s="82"/>
      <c r="N1042" s="115">
        <v>44461</v>
      </c>
      <c r="O1042" s="32">
        <v>3509</v>
      </c>
      <c r="P1042" s="1">
        <v>139</v>
      </c>
      <c r="Q1042" s="83">
        <f>P1042*J1042</f>
        <v>6950</v>
      </c>
      <c r="S1042" s="7">
        <f t="shared" si="27"/>
        <v>139</v>
      </c>
      <c r="T1042" s="1318">
        <f t="shared" si="28"/>
        <v>6950</v>
      </c>
    </row>
    <row r="1043" spans="3:21" s="7" customFormat="1" ht="16.899999999999999" customHeight="1">
      <c r="C1043" s="6" t="s">
        <v>2697</v>
      </c>
      <c r="D1043" s="13" t="s">
        <v>2653</v>
      </c>
      <c r="E1043" s="21"/>
      <c r="F1043" s="285"/>
      <c r="G1043" s="38" t="s">
        <v>13</v>
      </c>
      <c r="H1043" s="8"/>
      <c r="I1043" s="94" ph="1"/>
      <c r="J1043" s="39">
        <v>1</v>
      </c>
      <c r="K1043" s="40">
        <v>15</v>
      </c>
      <c r="L1043" s="208" t="s">
        <v>202</v>
      </c>
      <c r="M1043" s="208"/>
      <c r="N1043" s="115">
        <v>44461</v>
      </c>
      <c r="O1043" s="32">
        <v>3509</v>
      </c>
      <c r="P1043" s="83">
        <v>900</v>
      </c>
      <c r="Q1043" s="83">
        <f>P1043*J1043</f>
        <v>900</v>
      </c>
      <c r="S1043" s="7">
        <f t="shared" ref="S1043:S1106" si="32">P1043</f>
        <v>900</v>
      </c>
      <c r="T1043" s="1318">
        <f t="shared" si="28"/>
        <v>900</v>
      </c>
      <c r="U1043" s="20"/>
    </row>
    <row r="1044" spans="3:21" s="159" customFormat="1" ht="15">
      <c r="C1044" s="149" t="s">
        <v>2697</v>
      </c>
      <c r="D1044" s="150" t="s">
        <v>2653</v>
      </c>
      <c r="E1044" s="151"/>
      <c r="F1044" s="152"/>
      <c r="G1044" s="152" t="s">
        <v>168</v>
      </c>
      <c r="H1044" s="154" t="s">
        <v>170</v>
      </c>
      <c r="I1044" s="155"/>
      <c r="J1044" s="153"/>
      <c r="K1044" s="885"/>
      <c r="L1044" s="344" t="s">
        <v>202</v>
      </c>
      <c r="M1044" s="344"/>
      <c r="N1044" s="158">
        <v>44461</v>
      </c>
      <c r="O1044" s="156">
        <v>3509</v>
      </c>
      <c r="P1044" s="83">
        <v>1747</v>
      </c>
      <c r="Q1044" s="83">
        <v>1747</v>
      </c>
      <c r="S1044" s="7">
        <f t="shared" si="32"/>
        <v>1747</v>
      </c>
      <c r="T1044" s="1318">
        <f t="shared" ref="T1044:T1107" si="33">Q1044</f>
        <v>1747</v>
      </c>
      <c r="U1044" s="268"/>
    </row>
    <row r="1045" spans="3:21" s="7" customFormat="1" ht="18" customHeight="1">
      <c r="C1045" s="6" t="s">
        <v>2698</v>
      </c>
      <c r="D1045" s="13" t="s">
        <v>2653</v>
      </c>
      <c r="E1045" s="18" t="s">
        <v>2185</v>
      </c>
      <c r="F1045" s="92"/>
      <c r="G1045" s="21"/>
      <c r="H1045" s="17"/>
      <c r="I1045" s="56"/>
      <c r="J1045" s="17"/>
      <c r="K1045" s="95" t="s">
        <v>8</v>
      </c>
      <c r="L1045" s="33"/>
      <c r="M1045" s="33"/>
      <c r="N1045" s="33">
        <v>44501</v>
      </c>
      <c r="O1045" s="32">
        <v>3527</v>
      </c>
      <c r="P1045" s="83"/>
      <c r="Q1045" s="83"/>
      <c r="S1045" s="7">
        <f t="shared" si="32"/>
        <v>0</v>
      </c>
      <c r="T1045" s="1318">
        <f t="shared" si="33"/>
        <v>0</v>
      </c>
      <c r="U1045" s="128"/>
    </row>
    <row r="1046" spans="3:21" ht="18" customHeight="1">
      <c r="C1046" s="6" t="s">
        <v>2698</v>
      </c>
      <c r="D1046" s="13" t="s">
        <v>2653</v>
      </c>
      <c r="E1046" s="21" t="s">
        <v>2620</v>
      </c>
      <c r="F1046" s="596"/>
      <c r="G1046" s="21" t="s">
        <v>46</v>
      </c>
      <c r="H1046" s="55">
        <v>7400</v>
      </c>
      <c r="I1046" s="55">
        <v>7400</v>
      </c>
      <c r="J1046" s="55">
        <v>7400</v>
      </c>
      <c r="K1046" s="40">
        <v>2.15</v>
      </c>
      <c r="L1046" s="40">
        <f>K1046*J1046</f>
        <v>15910</v>
      </c>
      <c r="M1046" s="82"/>
      <c r="N1046" s="33">
        <v>44501</v>
      </c>
      <c r="O1046" s="32">
        <v>3527</v>
      </c>
      <c r="P1046" s="1">
        <v>135</v>
      </c>
      <c r="Q1046" s="83">
        <f>P1046*J1046</f>
        <v>999000</v>
      </c>
      <c r="S1046" s="7">
        <f t="shared" si="32"/>
        <v>135</v>
      </c>
      <c r="T1046" s="1318">
        <f t="shared" si="33"/>
        <v>999000</v>
      </c>
    </row>
    <row r="1047" spans="3:21" s="7" customFormat="1" ht="16.899999999999999" customHeight="1">
      <c r="C1047" s="6" t="s">
        <v>2698</v>
      </c>
      <c r="D1047" s="13" t="s">
        <v>2653</v>
      </c>
      <c r="E1047" s="21"/>
      <c r="F1047" s="285"/>
      <c r="G1047" s="38" t="s">
        <v>216</v>
      </c>
      <c r="H1047" s="8"/>
      <c r="I1047" s="94" ph="1"/>
      <c r="J1047" s="55">
        <v>7400</v>
      </c>
      <c r="K1047" s="40">
        <v>0.08</v>
      </c>
      <c r="L1047" s="40">
        <f>K1047*J1047</f>
        <v>592</v>
      </c>
      <c r="M1047" s="82"/>
      <c r="N1047" s="33">
        <v>44501</v>
      </c>
      <c r="O1047" s="32">
        <v>3527</v>
      </c>
      <c r="P1047" s="83">
        <v>34852</v>
      </c>
      <c r="Q1047" s="906">
        <v>34852</v>
      </c>
      <c r="S1047" s="7">
        <f t="shared" si="32"/>
        <v>34852</v>
      </c>
      <c r="T1047" s="1318">
        <f t="shared" si="33"/>
        <v>34852</v>
      </c>
      <c r="U1047" s="20"/>
    </row>
    <row r="1048" spans="3:21" s="7" customFormat="1" ht="16.899999999999999" customHeight="1">
      <c r="C1048" s="6" t="s">
        <v>2698</v>
      </c>
      <c r="D1048" s="13" t="s">
        <v>2653</v>
      </c>
      <c r="E1048" s="21"/>
      <c r="F1048" s="285"/>
      <c r="G1048" s="38" t="s">
        <v>61</v>
      </c>
      <c r="H1048" s="8"/>
      <c r="I1048" s="94" ph="1"/>
      <c r="J1048" s="55">
        <v>7400</v>
      </c>
      <c r="K1048" s="40">
        <v>0.01</v>
      </c>
      <c r="L1048" s="40">
        <f>K1048*J1048</f>
        <v>74</v>
      </c>
      <c r="M1048" s="82"/>
      <c r="N1048" s="33">
        <v>44501</v>
      </c>
      <c r="O1048" s="32">
        <v>3527</v>
      </c>
      <c r="P1048" s="83">
        <v>3211</v>
      </c>
      <c r="Q1048" s="83">
        <v>3211</v>
      </c>
      <c r="S1048" s="7">
        <f t="shared" si="32"/>
        <v>3211</v>
      </c>
      <c r="T1048" s="1318">
        <f t="shared" si="33"/>
        <v>3211</v>
      </c>
      <c r="U1048" s="20"/>
    </row>
    <row r="1049" spans="3:21" s="159" customFormat="1" ht="15">
      <c r="C1049" s="149" t="s">
        <v>2698</v>
      </c>
      <c r="D1049" s="150" t="s">
        <v>2653</v>
      </c>
      <c r="E1049" s="151"/>
      <c r="F1049" s="152"/>
      <c r="G1049" s="152" t="s">
        <v>168</v>
      </c>
      <c r="H1049" s="154" t="s">
        <v>170</v>
      </c>
      <c r="I1049" s="155"/>
      <c r="J1049" s="153"/>
      <c r="K1049" s="907" t="s">
        <v>2699</v>
      </c>
      <c r="L1049" s="344"/>
      <c r="M1049" s="344"/>
      <c r="N1049" s="157">
        <v>44501</v>
      </c>
      <c r="O1049" s="156">
        <v>3527</v>
      </c>
      <c r="P1049" s="908" t="s">
        <v>239</v>
      </c>
      <c r="Q1049" s="908" t="s">
        <v>239</v>
      </c>
      <c r="S1049" s="7" t="str">
        <f t="shared" si="32"/>
        <v>CIF</v>
      </c>
      <c r="T1049" s="1318" t="str">
        <f t="shared" si="33"/>
        <v>CIF</v>
      </c>
      <c r="U1049" s="268"/>
    </row>
    <row r="1050" spans="3:21" s="7" customFormat="1" ht="18" customHeight="1">
      <c r="C1050" s="6" t="s">
        <v>2698</v>
      </c>
      <c r="D1050" s="13" t="s">
        <v>2653</v>
      </c>
      <c r="E1050" s="18" t="s">
        <v>2185</v>
      </c>
      <c r="F1050" s="92"/>
      <c r="G1050" s="21"/>
      <c r="H1050" s="17"/>
      <c r="I1050" s="56"/>
      <c r="J1050" s="17"/>
      <c r="K1050" s="95" t="s">
        <v>8</v>
      </c>
      <c r="L1050" s="33"/>
      <c r="M1050" s="33"/>
      <c r="N1050" s="33">
        <v>44518</v>
      </c>
      <c r="O1050" s="32">
        <v>3636</v>
      </c>
      <c r="P1050" s="83"/>
      <c r="Q1050" s="83"/>
      <c r="S1050" s="7">
        <f t="shared" si="32"/>
        <v>0</v>
      </c>
      <c r="T1050" s="1318">
        <f t="shared" si="33"/>
        <v>0</v>
      </c>
      <c r="U1050" s="128"/>
    </row>
    <row r="1051" spans="3:21" ht="18" customHeight="1">
      <c r="C1051" s="6" t="s">
        <v>2698</v>
      </c>
      <c r="D1051" s="13" t="s">
        <v>2653</v>
      </c>
      <c r="E1051" s="21" t="s">
        <v>2620</v>
      </c>
      <c r="F1051" s="596"/>
      <c r="G1051" s="21" t="s">
        <v>46</v>
      </c>
      <c r="H1051" s="55">
        <v>6600</v>
      </c>
      <c r="I1051" s="55">
        <v>6600</v>
      </c>
      <c r="J1051" s="55">
        <v>6600</v>
      </c>
      <c r="K1051" s="40">
        <v>2.15</v>
      </c>
      <c r="L1051" s="40">
        <f>K1051*J1051</f>
        <v>14190</v>
      </c>
      <c r="M1051" s="82"/>
      <c r="N1051" s="33">
        <v>44518</v>
      </c>
      <c r="O1051" s="32">
        <v>3636</v>
      </c>
      <c r="P1051" s="1">
        <v>135</v>
      </c>
      <c r="Q1051" s="83">
        <f>P1051*J1051</f>
        <v>891000</v>
      </c>
      <c r="S1051" s="7">
        <f t="shared" si="32"/>
        <v>135</v>
      </c>
      <c r="T1051" s="1318">
        <f t="shared" si="33"/>
        <v>891000</v>
      </c>
    </row>
    <row r="1052" spans="3:21" s="7" customFormat="1" ht="16.899999999999999" customHeight="1">
      <c r="C1052" s="6" t="s">
        <v>2698</v>
      </c>
      <c r="D1052" s="13" t="s">
        <v>2653</v>
      </c>
      <c r="E1052" s="21"/>
      <c r="F1052" s="285"/>
      <c r="G1052" s="38" t="s">
        <v>216</v>
      </c>
      <c r="H1052" s="8"/>
      <c r="I1052" s="94" ph="1"/>
      <c r="J1052" s="55">
        <v>6600</v>
      </c>
      <c r="K1052" s="40">
        <v>0.08</v>
      </c>
      <c r="L1052" s="40">
        <f>K1052*J1052</f>
        <v>528</v>
      </c>
      <c r="M1052" s="82"/>
      <c r="N1052" s="33">
        <v>44518</v>
      </c>
      <c r="O1052" s="32">
        <v>3636</v>
      </c>
      <c r="P1052" s="83">
        <v>34274</v>
      </c>
      <c r="Q1052" s="908">
        <v>34274</v>
      </c>
      <c r="S1052" s="7">
        <f t="shared" si="32"/>
        <v>34274</v>
      </c>
      <c r="T1052" s="1318">
        <f t="shared" si="33"/>
        <v>34274</v>
      </c>
      <c r="U1052" s="20"/>
    </row>
    <row r="1053" spans="3:21" s="7" customFormat="1" ht="16.899999999999999" customHeight="1">
      <c r="C1053" s="6" t="s">
        <v>2698</v>
      </c>
      <c r="D1053" s="13" t="s">
        <v>2653</v>
      </c>
      <c r="E1053" s="21"/>
      <c r="F1053" s="285"/>
      <c r="G1053" s="38" t="s">
        <v>61</v>
      </c>
      <c r="H1053" s="8"/>
      <c r="I1053" s="94" ph="1"/>
      <c r="J1053" s="55">
        <v>6600</v>
      </c>
      <c r="K1053" s="40">
        <v>0.01</v>
      </c>
      <c r="L1053" s="40">
        <f>K1053*J1053</f>
        <v>66</v>
      </c>
      <c r="M1053" s="82"/>
      <c r="N1053" s="33">
        <v>44518</v>
      </c>
      <c r="O1053" s="32">
        <v>3636</v>
      </c>
      <c r="P1053" s="83">
        <v>3244</v>
      </c>
      <c r="Q1053" s="83">
        <v>3244</v>
      </c>
      <c r="S1053" s="7">
        <f t="shared" si="32"/>
        <v>3244</v>
      </c>
      <c r="T1053" s="1318">
        <f t="shared" si="33"/>
        <v>3244</v>
      </c>
      <c r="U1053" s="20"/>
    </row>
    <row r="1054" spans="3:21" s="159" customFormat="1" ht="15">
      <c r="C1054" s="149" t="s">
        <v>2698</v>
      </c>
      <c r="D1054" s="150" t="s">
        <v>2653</v>
      </c>
      <c r="E1054" s="151"/>
      <c r="F1054" s="152"/>
      <c r="G1054" s="152" t="s">
        <v>168</v>
      </c>
      <c r="H1054" s="154" t="s">
        <v>170</v>
      </c>
      <c r="I1054" s="155"/>
      <c r="J1054" s="153"/>
      <c r="K1054" s="907" t="s">
        <v>2699</v>
      </c>
      <c r="L1054" s="344"/>
      <c r="M1054" s="344"/>
      <c r="N1054" s="157">
        <v>44518</v>
      </c>
      <c r="O1054" s="156">
        <v>3636</v>
      </c>
      <c r="P1054" s="908" t="s">
        <v>239</v>
      </c>
      <c r="Q1054" s="908" t="s">
        <v>239</v>
      </c>
      <c r="S1054" s="7" t="str">
        <f t="shared" si="32"/>
        <v>CIF</v>
      </c>
      <c r="T1054" s="1318" t="str">
        <f t="shared" si="33"/>
        <v>CIF</v>
      </c>
      <c r="U1054" s="268"/>
    </row>
    <row r="1055" spans="3:21" s="177" customFormat="1" ht="18" customHeight="1">
      <c r="C1055" s="167" t="s">
        <v>2700</v>
      </c>
      <c r="D1055" s="169" t="s">
        <v>2701</v>
      </c>
      <c r="E1055" s="169" t="s">
        <v>2630</v>
      </c>
      <c r="F1055" s="170"/>
      <c r="G1055" s="171" t="s">
        <v>2702</v>
      </c>
      <c r="H1055" s="173"/>
      <c r="I1055" s="174"/>
      <c r="J1055" s="172">
        <v>1</v>
      </c>
      <c r="K1055" s="896">
        <v>18</v>
      </c>
      <c r="L1055" s="896">
        <v>18</v>
      </c>
      <c r="M1055" s="909"/>
      <c r="N1055" s="176">
        <v>44460</v>
      </c>
      <c r="O1055" s="175">
        <v>3504</v>
      </c>
      <c r="P1055" s="897">
        <v>1968</v>
      </c>
      <c r="Q1055" s="897">
        <v>1968</v>
      </c>
      <c r="S1055" s="7">
        <f t="shared" si="32"/>
        <v>1968</v>
      </c>
      <c r="T1055" s="1318">
        <f t="shared" si="33"/>
        <v>1968</v>
      </c>
      <c r="U1055" s="212"/>
    </row>
    <row r="1056" spans="3:21" s="7" customFormat="1" ht="18" customHeight="1">
      <c r="C1056" s="6" t="s">
        <v>2703</v>
      </c>
      <c r="D1056" s="13" t="s">
        <v>2003</v>
      </c>
      <c r="E1056" s="18" t="s">
        <v>2185</v>
      </c>
      <c r="F1056" s="92"/>
      <c r="G1056" s="21"/>
      <c r="H1056" s="17"/>
      <c r="I1056" s="56"/>
      <c r="J1056" s="17"/>
      <c r="K1056" s="611"/>
      <c r="L1056" s="33"/>
      <c r="M1056" s="33"/>
      <c r="N1056" s="33">
        <v>44469</v>
      </c>
      <c r="O1056" s="32">
        <v>3526</v>
      </c>
      <c r="P1056" s="83"/>
      <c r="Q1056" s="83"/>
      <c r="S1056" s="7">
        <f t="shared" si="32"/>
        <v>0</v>
      </c>
      <c r="T1056" s="1318">
        <f t="shared" si="33"/>
        <v>0</v>
      </c>
      <c r="U1056" s="128"/>
    </row>
    <row r="1057" spans="3:21" ht="18" customHeight="1">
      <c r="C1057" s="6" t="s">
        <v>2703</v>
      </c>
      <c r="D1057" s="13" t="s">
        <v>2003</v>
      </c>
      <c r="E1057" s="21" t="s">
        <v>2610</v>
      </c>
      <c r="F1057" s="596"/>
      <c r="G1057" s="21" t="s">
        <v>25</v>
      </c>
      <c r="H1057" s="93">
        <v>14</v>
      </c>
      <c r="I1057" s="94">
        <v>1</v>
      </c>
      <c r="J1057" s="55">
        <v>14</v>
      </c>
      <c r="K1057" s="611">
        <f>ROUNDUP(P1057/0.7/110,2)</f>
        <v>1.94</v>
      </c>
      <c r="L1057" s="598">
        <f>K1057*J1057</f>
        <v>27.16</v>
      </c>
      <c r="M1057" s="898"/>
      <c r="N1057" s="33">
        <v>44469</v>
      </c>
      <c r="O1057" s="32">
        <v>3526</v>
      </c>
      <c r="P1057" s="1">
        <v>149</v>
      </c>
      <c r="Q1057" s="83">
        <f>P1057*J1057</f>
        <v>2086</v>
      </c>
      <c r="S1057" s="7">
        <f t="shared" si="32"/>
        <v>149</v>
      </c>
      <c r="T1057" s="1318">
        <f t="shared" si="33"/>
        <v>2086</v>
      </c>
    </row>
    <row r="1058" spans="3:21" s="7" customFormat="1" ht="16.899999999999999" customHeight="1">
      <c r="C1058" s="6" t="s">
        <v>2703</v>
      </c>
      <c r="D1058" s="13" t="s">
        <v>2003</v>
      </c>
      <c r="E1058" s="21"/>
      <c r="F1058" s="285"/>
      <c r="G1058" s="38" t="s">
        <v>218</v>
      </c>
      <c r="H1058" s="8"/>
      <c r="I1058" s="94" ph="1"/>
      <c r="J1058" s="39">
        <v>1</v>
      </c>
      <c r="K1058" s="611">
        <v>15</v>
      </c>
      <c r="L1058" s="598">
        <f>K1058*J1058</f>
        <v>15</v>
      </c>
      <c r="M1058" s="898"/>
      <c r="N1058" s="33">
        <v>44469</v>
      </c>
      <c r="O1058" s="32">
        <v>3526</v>
      </c>
      <c r="P1058" s="83">
        <v>900</v>
      </c>
      <c r="Q1058" s="83">
        <f>P1058*J1058</f>
        <v>900</v>
      </c>
      <c r="S1058" s="7">
        <f t="shared" si="32"/>
        <v>900</v>
      </c>
      <c r="T1058" s="1318">
        <f t="shared" si="33"/>
        <v>900</v>
      </c>
      <c r="U1058" s="20"/>
    </row>
    <row r="1059" spans="3:21" s="159" customFormat="1" ht="15">
      <c r="C1059" s="149" t="s">
        <v>2703</v>
      </c>
      <c r="D1059" s="150" t="s">
        <v>2003</v>
      </c>
      <c r="E1059" s="151"/>
      <c r="F1059" s="152"/>
      <c r="G1059" s="152" t="s">
        <v>168</v>
      </c>
      <c r="H1059" s="154" t="s">
        <v>169</v>
      </c>
      <c r="I1059" s="155"/>
      <c r="J1059" s="153"/>
      <c r="K1059" s="885">
        <v>0</v>
      </c>
      <c r="L1059" s="157"/>
      <c r="M1059" s="157"/>
      <c r="N1059" s="157">
        <v>44469</v>
      </c>
      <c r="O1059" s="156">
        <v>3526</v>
      </c>
      <c r="P1059" s="164">
        <v>0</v>
      </c>
      <c r="Q1059" s="165">
        <v>0</v>
      </c>
      <c r="S1059" s="7">
        <f t="shared" si="32"/>
        <v>0</v>
      </c>
      <c r="T1059" s="1318">
        <f t="shared" si="33"/>
        <v>0</v>
      </c>
      <c r="U1059" s="268"/>
    </row>
    <row r="1060" spans="3:21" s="7" customFormat="1" ht="15">
      <c r="C1060" s="6" t="s">
        <v>2704</v>
      </c>
      <c r="D1060" s="13" t="s">
        <v>2277</v>
      </c>
      <c r="E1060" s="18" t="s">
        <v>19</v>
      </c>
      <c r="F1060" s="23"/>
      <c r="G1060" s="21"/>
      <c r="H1060" s="55"/>
      <c r="I1060" s="56"/>
      <c r="J1060" s="55"/>
      <c r="K1060" s="15" t="s">
        <v>8</v>
      </c>
      <c r="L1060" s="688"/>
      <c r="M1060" s="688"/>
      <c r="N1060" s="33">
        <v>44476</v>
      </c>
      <c r="O1060" s="32">
        <v>3545</v>
      </c>
      <c r="P1060" s="83"/>
      <c r="Q1060" s="83"/>
      <c r="S1060" s="7">
        <f t="shared" si="32"/>
        <v>0</v>
      </c>
      <c r="T1060" s="1318">
        <f t="shared" si="33"/>
        <v>0</v>
      </c>
      <c r="U1060" s="100"/>
    </row>
    <row r="1061" spans="3:21" s="7" customFormat="1" ht="15">
      <c r="C1061" s="6" t="s">
        <v>2704</v>
      </c>
      <c r="D1061" s="13" t="s">
        <v>2277</v>
      </c>
      <c r="E1061" s="739">
        <v>258176</v>
      </c>
      <c r="F1061" s="23"/>
      <c r="G1061" s="21" t="s">
        <v>25</v>
      </c>
      <c r="H1061" s="93">
        <v>13.7</v>
      </c>
      <c r="I1061" s="94">
        <v>15</v>
      </c>
      <c r="J1061" s="17">
        <f>H1061*I1061</f>
        <v>205.5</v>
      </c>
      <c r="K1061" s="884">
        <v>2.4</v>
      </c>
      <c r="L1061" s="598">
        <f>K1061*J1061</f>
        <v>493.2</v>
      </c>
      <c r="M1061" s="898"/>
      <c r="N1061" s="33">
        <v>44476</v>
      </c>
      <c r="O1061" s="32">
        <v>3545</v>
      </c>
      <c r="P1061" s="83">
        <v>198</v>
      </c>
      <c r="Q1061" s="83">
        <f>P1061*J1061</f>
        <v>40689</v>
      </c>
      <c r="S1061" s="7">
        <f t="shared" si="32"/>
        <v>198</v>
      </c>
      <c r="T1061" s="1318">
        <f t="shared" si="33"/>
        <v>40689</v>
      </c>
      <c r="U1061" s="13"/>
    </row>
    <row r="1062" spans="3:21" ht="15">
      <c r="C1062" s="6" t="s">
        <v>2704</v>
      </c>
      <c r="D1062" s="13" t="s">
        <v>2277</v>
      </c>
      <c r="E1062" s="21"/>
      <c r="F1062" s="38"/>
      <c r="G1062" s="38" t="s">
        <v>218</v>
      </c>
      <c r="H1062" s="39"/>
      <c r="I1062" s="94"/>
      <c r="J1062" s="39">
        <v>1</v>
      </c>
      <c r="K1062" s="611">
        <v>12</v>
      </c>
      <c r="L1062" s="598">
        <f>K1062*J1062</f>
        <v>12</v>
      </c>
      <c r="M1062" s="898"/>
      <c r="N1062" s="33">
        <v>44476</v>
      </c>
      <c r="O1062" s="32">
        <v>3545</v>
      </c>
      <c r="P1062" s="83">
        <v>0</v>
      </c>
      <c r="Q1062" s="83">
        <f>P1062*J1062</f>
        <v>0</v>
      </c>
      <c r="S1062" s="7">
        <f t="shared" si="32"/>
        <v>0</v>
      </c>
      <c r="T1062" s="1318">
        <f t="shared" si="33"/>
        <v>0</v>
      </c>
      <c r="U1062" s="22"/>
    </row>
    <row r="1063" spans="3:21" s="159" customFormat="1" ht="15">
      <c r="C1063" s="149" t="s">
        <v>2704</v>
      </c>
      <c r="D1063" s="150" t="s">
        <v>2277</v>
      </c>
      <c r="E1063" s="191"/>
      <c r="F1063" s="152"/>
      <c r="G1063" s="152" t="s">
        <v>168</v>
      </c>
      <c r="H1063" s="154" t="s">
        <v>169</v>
      </c>
      <c r="I1063" s="155"/>
      <c r="J1063" s="153"/>
      <c r="K1063" s="600">
        <v>0</v>
      </c>
      <c r="L1063" s="601"/>
      <c r="M1063" s="601"/>
      <c r="N1063" s="157">
        <v>44476</v>
      </c>
      <c r="O1063" s="156">
        <v>3545</v>
      </c>
      <c r="P1063" s="164">
        <v>0</v>
      </c>
      <c r="Q1063" s="165">
        <v>0</v>
      </c>
      <c r="S1063" s="7">
        <f t="shared" si="32"/>
        <v>0</v>
      </c>
      <c r="T1063" s="1318">
        <f t="shared" si="33"/>
        <v>0</v>
      </c>
      <c r="U1063" s="268"/>
    </row>
    <row r="1064" spans="3:21" s="7" customFormat="1" ht="15">
      <c r="C1064" s="6" t="s">
        <v>2705</v>
      </c>
      <c r="D1064" s="13" t="s">
        <v>2277</v>
      </c>
      <c r="E1064" s="18" t="s">
        <v>19</v>
      </c>
      <c r="F1064" s="23"/>
      <c r="G1064" s="21"/>
      <c r="H1064" s="55"/>
      <c r="I1064" s="56"/>
      <c r="J1064" s="55"/>
      <c r="K1064" s="15" t="s">
        <v>8</v>
      </c>
      <c r="L1064" s="688"/>
      <c r="M1064" s="688"/>
      <c r="N1064" s="33">
        <v>44476</v>
      </c>
      <c r="O1064" s="32">
        <v>3545</v>
      </c>
      <c r="P1064" s="83"/>
      <c r="Q1064" s="83"/>
      <c r="S1064" s="7">
        <f t="shared" si="32"/>
        <v>0</v>
      </c>
      <c r="T1064" s="1318">
        <f t="shared" si="33"/>
        <v>0</v>
      </c>
      <c r="U1064" s="100"/>
    </row>
    <row r="1065" spans="3:21" s="7" customFormat="1" ht="15">
      <c r="C1065" s="6" t="s">
        <v>2705</v>
      </c>
      <c r="D1065" s="13" t="s">
        <v>2277</v>
      </c>
      <c r="E1065" s="740" t="s">
        <v>2280</v>
      </c>
      <c r="F1065" s="23"/>
      <c r="G1065" s="21" t="s">
        <v>25</v>
      </c>
      <c r="H1065" s="93">
        <v>13.7</v>
      </c>
      <c r="I1065" s="94">
        <v>3</v>
      </c>
      <c r="J1065" s="108">
        <f>H1065*I1065</f>
        <v>41.099999999999994</v>
      </c>
      <c r="K1065" s="597">
        <v>5.46</v>
      </c>
      <c r="L1065" s="598">
        <f>K1065*J1065</f>
        <v>224.40599999999998</v>
      </c>
      <c r="M1065" s="898"/>
      <c r="N1065" s="33">
        <v>44476</v>
      </c>
      <c r="O1065" s="32">
        <v>3545</v>
      </c>
      <c r="P1065" s="83">
        <v>450</v>
      </c>
      <c r="Q1065" s="83">
        <f>P1065*J1065</f>
        <v>18494.999999999996</v>
      </c>
      <c r="S1065" s="7">
        <f t="shared" si="32"/>
        <v>450</v>
      </c>
      <c r="T1065" s="1318">
        <f t="shared" si="33"/>
        <v>18494.999999999996</v>
      </c>
      <c r="U1065" s="13"/>
    </row>
    <row r="1066" spans="3:21" ht="15">
      <c r="C1066" s="6" t="s">
        <v>2705</v>
      </c>
      <c r="D1066" s="13" t="s">
        <v>2277</v>
      </c>
      <c r="E1066" s="48"/>
      <c r="F1066" s="38"/>
      <c r="G1066" s="38" t="s">
        <v>218</v>
      </c>
      <c r="H1066" s="39"/>
      <c r="I1066" s="94"/>
      <c r="J1066" s="39">
        <v>1</v>
      </c>
      <c r="K1066" s="611">
        <v>12</v>
      </c>
      <c r="L1066" s="598">
        <f>K1066*J1066</f>
        <v>12</v>
      </c>
      <c r="M1066" s="898"/>
      <c r="N1066" s="33">
        <v>44476</v>
      </c>
      <c r="O1066" s="32">
        <v>3545</v>
      </c>
      <c r="P1066" s="83">
        <v>0</v>
      </c>
      <c r="Q1066" s="83">
        <f>P1066*J1066</f>
        <v>0</v>
      </c>
      <c r="S1066" s="7">
        <f t="shared" si="32"/>
        <v>0</v>
      </c>
      <c r="T1066" s="1318">
        <f t="shared" si="33"/>
        <v>0</v>
      </c>
      <c r="U1066" s="22"/>
    </row>
    <row r="1067" spans="3:21" s="159" customFormat="1" ht="15">
      <c r="C1067" s="149" t="s">
        <v>2706</v>
      </c>
      <c r="D1067" s="150" t="s">
        <v>2277</v>
      </c>
      <c r="E1067" s="151"/>
      <c r="F1067" s="152"/>
      <c r="G1067" s="152" t="s">
        <v>168</v>
      </c>
      <c r="H1067" s="154" t="s">
        <v>169</v>
      </c>
      <c r="I1067" s="155"/>
      <c r="J1067" s="153"/>
      <c r="K1067" s="600">
        <v>0</v>
      </c>
      <c r="L1067" s="601"/>
      <c r="M1067" s="601"/>
      <c r="N1067" s="157">
        <v>44476</v>
      </c>
      <c r="O1067" s="156">
        <v>3545</v>
      </c>
      <c r="P1067" s="164">
        <v>0</v>
      </c>
      <c r="Q1067" s="165">
        <v>0</v>
      </c>
      <c r="S1067" s="7">
        <f t="shared" si="32"/>
        <v>0</v>
      </c>
      <c r="T1067" s="1318">
        <f t="shared" si="33"/>
        <v>0</v>
      </c>
      <c r="U1067" s="268"/>
    </row>
    <row r="1068" spans="3:21" s="7" customFormat="1" ht="18" customHeight="1">
      <c r="C1068" s="6" t="s">
        <v>2707</v>
      </c>
      <c r="D1068" s="13" t="s">
        <v>2708</v>
      </c>
      <c r="E1068" s="18" t="s">
        <v>2709</v>
      </c>
      <c r="F1068" s="92"/>
      <c r="G1068" s="21"/>
      <c r="H1068" s="17"/>
      <c r="I1068" s="56"/>
      <c r="J1068" s="17"/>
      <c r="K1068" s="611"/>
      <c r="L1068" s="33"/>
      <c r="M1068" s="33"/>
      <c r="N1068" s="33">
        <v>44491</v>
      </c>
      <c r="O1068" s="32">
        <v>3588</v>
      </c>
      <c r="P1068" s="83"/>
      <c r="Q1068" s="83"/>
      <c r="S1068" s="7">
        <f t="shared" si="32"/>
        <v>0</v>
      </c>
      <c r="T1068" s="1318">
        <f t="shared" si="33"/>
        <v>0</v>
      </c>
      <c r="U1068" s="128"/>
    </row>
    <row r="1069" spans="3:21" ht="18" customHeight="1">
      <c r="C1069" s="6" t="s">
        <v>2707</v>
      </c>
      <c r="D1069" s="13" t="s">
        <v>2708</v>
      </c>
      <c r="E1069" s="21">
        <v>5348</v>
      </c>
      <c r="F1069" s="596"/>
      <c r="G1069" s="21" t="s">
        <v>2710</v>
      </c>
      <c r="H1069" s="93">
        <v>60</v>
      </c>
      <c r="I1069" s="94">
        <v>1</v>
      </c>
      <c r="J1069" s="55">
        <f>I1069*H1069</f>
        <v>60</v>
      </c>
      <c r="K1069" s="910">
        <v>0.87</v>
      </c>
      <c r="L1069" s="598">
        <f>K1069*J1069</f>
        <v>52.2</v>
      </c>
      <c r="M1069" s="898"/>
      <c r="N1069" s="33">
        <v>44491</v>
      </c>
      <c r="O1069" s="32">
        <v>3588</v>
      </c>
      <c r="P1069" s="1">
        <v>54</v>
      </c>
      <c r="Q1069" s="83">
        <f>P1069*J1069</f>
        <v>3240</v>
      </c>
      <c r="R1069" s="700" t="s">
        <v>2711</v>
      </c>
      <c r="S1069" s="7">
        <f t="shared" si="32"/>
        <v>54</v>
      </c>
      <c r="T1069" s="1318">
        <f t="shared" si="33"/>
        <v>3240</v>
      </c>
    </row>
    <row r="1070" spans="3:21" ht="15">
      <c r="C1070" s="6" t="s">
        <v>2707</v>
      </c>
      <c r="D1070" s="13" t="s">
        <v>2708</v>
      </c>
      <c r="E1070" s="48"/>
      <c r="F1070" s="38"/>
      <c r="G1070" s="38" t="s">
        <v>218</v>
      </c>
      <c r="H1070" s="39"/>
      <c r="I1070" s="94"/>
      <c r="J1070" s="39">
        <v>1</v>
      </c>
      <c r="K1070" s="611">
        <v>12</v>
      </c>
      <c r="L1070" s="598">
        <f>K1070*J1070</f>
        <v>12</v>
      </c>
      <c r="M1070" s="898"/>
      <c r="N1070" s="33">
        <v>44491</v>
      </c>
      <c r="O1070" s="32">
        <v>3588</v>
      </c>
      <c r="P1070" s="83">
        <v>900</v>
      </c>
      <c r="Q1070" s="83">
        <f>P1070*J1070</f>
        <v>900</v>
      </c>
      <c r="S1070" s="7">
        <f t="shared" si="32"/>
        <v>900</v>
      </c>
      <c r="T1070" s="1318">
        <f t="shared" si="33"/>
        <v>900</v>
      </c>
      <c r="U1070" s="22"/>
    </row>
    <row r="1071" spans="3:21" s="159" customFormat="1" ht="15">
      <c r="C1071" s="149" t="s">
        <v>2707</v>
      </c>
      <c r="D1071" s="150" t="s">
        <v>2708</v>
      </c>
      <c r="E1071" s="151"/>
      <c r="F1071" s="152"/>
      <c r="G1071" s="152" t="s">
        <v>168</v>
      </c>
      <c r="H1071" s="154" t="s">
        <v>169</v>
      </c>
      <c r="I1071" s="155"/>
      <c r="J1071" s="153"/>
      <c r="K1071" s="600">
        <v>0</v>
      </c>
      <c r="L1071" s="601"/>
      <c r="M1071" s="601"/>
      <c r="N1071" s="157">
        <v>44491</v>
      </c>
      <c r="O1071" s="156">
        <v>3588</v>
      </c>
      <c r="P1071" s="164">
        <v>0</v>
      </c>
      <c r="Q1071" s="165">
        <v>0</v>
      </c>
      <c r="S1071" s="7">
        <f t="shared" si="32"/>
        <v>0</v>
      </c>
      <c r="T1071" s="1318">
        <f t="shared" si="33"/>
        <v>0</v>
      </c>
      <c r="U1071" s="268"/>
    </row>
    <row r="1072" spans="3:21" s="7" customFormat="1" ht="15">
      <c r="C1072" s="6" t="s">
        <v>2712</v>
      </c>
      <c r="D1072" s="13" t="s">
        <v>2277</v>
      </c>
      <c r="E1072" s="18" t="s">
        <v>19</v>
      </c>
      <c r="F1072" s="23"/>
      <c r="G1072" s="21"/>
      <c r="H1072" s="55"/>
      <c r="I1072" s="56"/>
      <c r="J1072" s="55"/>
      <c r="K1072" s="15" t="s">
        <v>8</v>
      </c>
      <c r="L1072" s="688"/>
      <c r="M1072" s="688"/>
      <c r="N1072" s="33">
        <v>44505</v>
      </c>
      <c r="O1072" s="32">
        <v>3631</v>
      </c>
      <c r="P1072" s="83"/>
      <c r="Q1072" s="83"/>
      <c r="S1072" s="7">
        <f t="shared" si="32"/>
        <v>0</v>
      </c>
      <c r="T1072" s="1318">
        <f t="shared" si="33"/>
        <v>0</v>
      </c>
      <c r="U1072" s="100"/>
    </row>
    <row r="1073" spans="3:21" s="7" customFormat="1" ht="15">
      <c r="C1073" s="6" t="s">
        <v>2712</v>
      </c>
      <c r="D1073" s="13" t="s">
        <v>2277</v>
      </c>
      <c r="E1073" s="740" t="s">
        <v>75</v>
      </c>
      <c r="F1073" s="23"/>
      <c r="G1073" s="21" t="s">
        <v>25</v>
      </c>
      <c r="H1073" s="93"/>
      <c r="I1073" s="94"/>
      <c r="J1073" s="163">
        <v>100</v>
      </c>
      <c r="K1073" s="597">
        <v>2.62</v>
      </c>
      <c r="L1073" s="598">
        <f>K1073*J1073</f>
        <v>262</v>
      </c>
      <c r="M1073" s="898"/>
      <c r="N1073" s="33">
        <v>44505</v>
      </c>
      <c r="O1073" s="32">
        <v>3631</v>
      </c>
      <c r="P1073" s="83">
        <v>145</v>
      </c>
      <c r="Q1073" s="83">
        <f>P1073*J1073</f>
        <v>14500</v>
      </c>
      <c r="S1073" s="7">
        <f t="shared" si="32"/>
        <v>145</v>
      </c>
      <c r="T1073" s="1318">
        <f t="shared" si="33"/>
        <v>14500</v>
      </c>
      <c r="U1073" s="13"/>
    </row>
    <row r="1074" spans="3:21" ht="15">
      <c r="C1074" s="6" t="s">
        <v>2712</v>
      </c>
      <c r="D1074" s="13" t="s">
        <v>2277</v>
      </c>
      <c r="E1074" s="48"/>
      <c r="F1074" s="38"/>
      <c r="G1074" s="38" t="s">
        <v>218</v>
      </c>
      <c r="H1074" s="39"/>
      <c r="I1074" s="94"/>
      <c r="J1074" s="39">
        <v>1</v>
      </c>
      <c r="K1074" s="611">
        <v>12</v>
      </c>
      <c r="L1074" s="598">
        <f>K1074*J1074</f>
        <v>12</v>
      </c>
      <c r="M1074" s="898"/>
      <c r="N1074" s="33">
        <v>44505</v>
      </c>
      <c r="O1074" s="32">
        <v>3631</v>
      </c>
      <c r="P1074" s="83">
        <v>0</v>
      </c>
      <c r="Q1074" s="83">
        <f>P1074*J1074</f>
        <v>0</v>
      </c>
      <c r="S1074" s="7">
        <f t="shared" si="32"/>
        <v>0</v>
      </c>
      <c r="T1074" s="1318">
        <f t="shared" si="33"/>
        <v>0</v>
      </c>
      <c r="U1074" s="22"/>
    </row>
    <row r="1075" spans="3:21" s="159" customFormat="1" ht="15">
      <c r="C1075" s="149" t="s">
        <v>2712</v>
      </c>
      <c r="D1075" s="150" t="s">
        <v>2277</v>
      </c>
      <c r="E1075" s="151"/>
      <c r="F1075" s="152"/>
      <c r="G1075" s="152" t="s">
        <v>168</v>
      </c>
      <c r="H1075" s="154" t="s">
        <v>169</v>
      </c>
      <c r="I1075" s="155"/>
      <c r="J1075" s="153"/>
      <c r="K1075" s="600">
        <v>0</v>
      </c>
      <c r="L1075" s="601"/>
      <c r="M1075" s="601"/>
      <c r="N1075" s="157">
        <v>44505</v>
      </c>
      <c r="O1075" s="156">
        <v>3631</v>
      </c>
      <c r="P1075" s="164">
        <v>0</v>
      </c>
      <c r="Q1075" s="165">
        <v>0</v>
      </c>
      <c r="S1075" s="7">
        <f t="shared" si="32"/>
        <v>0</v>
      </c>
      <c r="T1075" s="1318">
        <f t="shared" si="33"/>
        <v>0</v>
      </c>
      <c r="U1075" s="268"/>
    </row>
    <row r="1076" spans="3:21" s="7" customFormat="1" ht="15">
      <c r="C1076" s="6" t="s">
        <v>2713</v>
      </c>
      <c r="D1076" s="13" t="s">
        <v>2244</v>
      </c>
      <c r="E1076" s="18" t="s">
        <v>19</v>
      </c>
      <c r="F1076" s="23"/>
      <c r="G1076" s="21"/>
      <c r="H1076" s="55"/>
      <c r="I1076" s="56"/>
      <c r="J1076" s="55"/>
      <c r="K1076" s="15" t="s">
        <v>8</v>
      </c>
      <c r="L1076" s="688"/>
      <c r="M1076" s="688"/>
      <c r="N1076" s="33">
        <v>44510</v>
      </c>
      <c r="O1076" s="32">
        <v>3649</v>
      </c>
      <c r="P1076" s="83"/>
      <c r="Q1076" s="83"/>
      <c r="S1076" s="7">
        <f t="shared" si="32"/>
        <v>0</v>
      </c>
      <c r="T1076" s="1318">
        <f t="shared" si="33"/>
        <v>0</v>
      </c>
      <c r="U1076" s="100"/>
    </row>
    <row r="1077" spans="3:21" s="7" customFormat="1" ht="15">
      <c r="C1077" s="6" t="s">
        <v>2713</v>
      </c>
      <c r="D1077" s="13" t="s">
        <v>2244</v>
      </c>
      <c r="E1077" s="740" t="s">
        <v>2179</v>
      </c>
      <c r="F1077" s="23"/>
      <c r="G1077" s="21" t="s">
        <v>25</v>
      </c>
      <c r="H1077" s="93"/>
      <c r="I1077" s="94"/>
      <c r="J1077" s="163">
        <v>4</v>
      </c>
      <c r="K1077" s="611">
        <v>1.61</v>
      </c>
      <c r="L1077" s="598">
        <f>K1077*J1077</f>
        <v>6.44</v>
      </c>
      <c r="M1077" s="898"/>
      <c r="N1077" s="33">
        <v>44510</v>
      </c>
      <c r="O1077" s="32">
        <v>3649</v>
      </c>
      <c r="P1077" s="83">
        <v>124</v>
      </c>
      <c r="Q1077" s="83">
        <f>P1077*J1077</f>
        <v>496</v>
      </c>
      <c r="S1077" s="7">
        <f t="shared" si="32"/>
        <v>124</v>
      </c>
      <c r="T1077" s="1318">
        <f t="shared" si="33"/>
        <v>496</v>
      </c>
      <c r="U1077" s="13"/>
    </row>
    <row r="1078" spans="3:21" ht="15">
      <c r="C1078" s="6" t="s">
        <v>2713</v>
      </c>
      <c r="D1078" s="13" t="s">
        <v>2244</v>
      </c>
      <c r="E1078" s="48"/>
      <c r="F1078" s="38"/>
      <c r="G1078" s="38" t="s">
        <v>218</v>
      </c>
      <c r="H1078" s="39"/>
      <c r="I1078" s="94"/>
      <c r="J1078" s="39">
        <v>1</v>
      </c>
      <c r="K1078" s="611">
        <v>12</v>
      </c>
      <c r="L1078" s="598">
        <f>K1078*J1078</f>
        <v>12</v>
      </c>
      <c r="M1078" s="898"/>
      <c r="N1078" s="33">
        <v>44510</v>
      </c>
      <c r="O1078" s="32">
        <v>3649</v>
      </c>
      <c r="P1078" s="83">
        <v>150</v>
      </c>
      <c r="Q1078" s="83">
        <f>P1078*J1078</f>
        <v>150</v>
      </c>
      <c r="S1078" s="7">
        <f t="shared" si="32"/>
        <v>150</v>
      </c>
      <c r="T1078" s="1318">
        <f t="shared" si="33"/>
        <v>150</v>
      </c>
      <c r="U1078" s="22"/>
    </row>
    <row r="1079" spans="3:21" s="159" customFormat="1" ht="15">
      <c r="C1079" s="149" t="s">
        <v>2713</v>
      </c>
      <c r="D1079" s="150" t="s">
        <v>2244</v>
      </c>
      <c r="E1079" s="151"/>
      <c r="F1079" s="152"/>
      <c r="G1079" s="152" t="s">
        <v>168</v>
      </c>
      <c r="H1079" s="154" t="s">
        <v>169</v>
      </c>
      <c r="I1079" s="155"/>
      <c r="J1079" s="153"/>
      <c r="K1079" s="600">
        <v>27</v>
      </c>
      <c r="L1079" s="601"/>
      <c r="M1079" s="601"/>
      <c r="N1079" s="157">
        <v>44510</v>
      </c>
      <c r="O1079" s="156">
        <v>3649</v>
      </c>
      <c r="P1079" s="164">
        <v>2940</v>
      </c>
      <c r="Q1079" s="165">
        <v>2940</v>
      </c>
      <c r="S1079" s="7">
        <f t="shared" si="32"/>
        <v>2940</v>
      </c>
      <c r="T1079" s="1318">
        <f t="shared" si="33"/>
        <v>2940</v>
      </c>
      <c r="U1079" s="268"/>
    </row>
    <row r="1080" spans="3:21" s="7" customFormat="1" ht="18" customHeight="1">
      <c r="C1080" s="6" t="s">
        <v>2714</v>
      </c>
      <c r="D1080" s="13" t="s">
        <v>2708</v>
      </c>
      <c r="E1080" s="18" t="s">
        <v>87</v>
      </c>
      <c r="F1080" s="92"/>
      <c r="G1080" s="21"/>
      <c r="H1080" s="17"/>
      <c r="I1080" s="56"/>
      <c r="J1080" s="17"/>
      <c r="K1080" s="611"/>
      <c r="L1080" s="33"/>
      <c r="M1080" s="33"/>
      <c r="N1080" s="33">
        <v>44531</v>
      </c>
      <c r="O1080" s="32">
        <v>3706</v>
      </c>
      <c r="P1080" s="83"/>
      <c r="Q1080" s="83"/>
      <c r="S1080" s="7">
        <f t="shared" si="32"/>
        <v>0</v>
      </c>
      <c r="T1080" s="1318">
        <f t="shared" si="33"/>
        <v>0</v>
      </c>
      <c r="U1080" s="128"/>
    </row>
    <row r="1081" spans="3:21" ht="18" customHeight="1">
      <c r="C1081" s="6" t="s">
        <v>2714</v>
      </c>
      <c r="D1081" s="13" t="s">
        <v>2708</v>
      </c>
      <c r="E1081" s="21" t="s">
        <v>2715</v>
      </c>
      <c r="F1081" s="26" t="s">
        <v>104</v>
      </c>
      <c r="G1081" s="21" t="s">
        <v>2716</v>
      </c>
      <c r="H1081" s="93">
        <v>50</v>
      </c>
      <c r="I1081" s="94">
        <v>1</v>
      </c>
      <c r="J1081" s="55">
        <f>I1081*H1081</f>
        <v>50</v>
      </c>
      <c r="K1081" s="910">
        <v>0.28999999999999998</v>
      </c>
      <c r="L1081" s="598">
        <f>K1081*J1081</f>
        <v>14.499999999999998</v>
      </c>
      <c r="M1081" s="898"/>
      <c r="N1081" s="33">
        <v>44531</v>
      </c>
      <c r="O1081" s="32">
        <v>3706</v>
      </c>
      <c r="P1081" s="83">
        <v>19.100000000000001</v>
      </c>
      <c r="Q1081" s="83">
        <f>P1081*J1081</f>
        <v>955.00000000000011</v>
      </c>
      <c r="R1081" s="700"/>
      <c r="S1081" s="7">
        <f t="shared" si="32"/>
        <v>19.100000000000001</v>
      </c>
      <c r="T1081" s="1318">
        <f t="shared" si="33"/>
        <v>955.00000000000011</v>
      </c>
    </row>
    <row r="1082" spans="3:21" ht="18" customHeight="1">
      <c r="C1082" s="6" t="s">
        <v>2714</v>
      </c>
      <c r="D1082" s="13" t="s">
        <v>2708</v>
      </c>
      <c r="E1082" s="21" t="s">
        <v>2715</v>
      </c>
      <c r="F1082" s="26" t="s">
        <v>104</v>
      </c>
      <c r="G1082" s="21" t="s">
        <v>2717</v>
      </c>
      <c r="H1082" s="93">
        <v>50</v>
      </c>
      <c r="I1082" s="94">
        <v>1</v>
      </c>
      <c r="J1082" s="55">
        <f>I1082*H1082</f>
        <v>50</v>
      </c>
      <c r="K1082" s="910">
        <v>0.28999999999999998</v>
      </c>
      <c r="L1082" s="598">
        <f>K1082*J1082</f>
        <v>14.499999999999998</v>
      </c>
      <c r="M1082" s="898"/>
      <c r="N1082" s="33">
        <v>44531</v>
      </c>
      <c r="O1082" s="32">
        <v>3706</v>
      </c>
      <c r="P1082" s="83">
        <v>19.100000000000001</v>
      </c>
      <c r="Q1082" s="83">
        <f>P1082*J1082</f>
        <v>955.00000000000011</v>
      </c>
      <c r="R1082" s="700"/>
      <c r="S1082" s="7">
        <f t="shared" si="32"/>
        <v>19.100000000000001</v>
      </c>
      <c r="T1082" s="1318">
        <f t="shared" si="33"/>
        <v>955.00000000000011</v>
      </c>
    </row>
    <row r="1083" spans="3:21" s="7" customFormat="1" ht="18" customHeight="1">
      <c r="C1083" s="6" t="s">
        <v>2714</v>
      </c>
      <c r="D1083" s="13" t="s">
        <v>2708</v>
      </c>
      <c r="E1083" s="18" t="s">
        <v>145</v>
      </c>
      <c r="F1083" s="92"/>
      <c r="G1083" s="21"/>
      <c r="H1083" s="17"/>
      <c r="I1083" s="56"/>
      <c r="J1083" s="17"/>
      <c r="K1083" s="611"/>
      <c r="L1083" s="33"/>
      <c r="M1083" s="33"/>
      <c r="N1083" s="33">
        <v>44531</v>
      </c>
      <c r="O1083" s="32">
        <v>3706</v>
      </c>
      <c r="P1083" s="83"/>
      <c r="Q1083" s="83"/>
      <c r="S1083" s="7">
        <f t="shared" si="32"/>
        <v>0</v>
      </c>
      <c r="T1083" s="1318">
        <f t="shared" si="33"/>
        <v>0</v>
      </c>
      <c r="U1083" s="128"/>
    </row>
    <row r="1084" spans="3:21" ht="18" customHeight="1">
      <c r="C1084" s="6" t="s">
        <v>2714</v>
      </c>
      <c r="D1084" s="13" t="s">
        <v>2708</v>
      </c>
      <c r="E1084" s="21" t="s">
        <v>2718</v>
      </c>
      <c r="F1084" s="26"/>
      <c r="G1084" s="21" t="s">
        <v>2719</v>
      </c>
      <c r="H1084" s="93"/>
      <c r="I1084" s="94"/>
      <c r="J1084" s="55">
        <v>4</v>
      </c>
      <c r="K1084" s="910">
        <v>0.78</v>
      </c>
      <c r="L1084" s="598">
        <f>K1084*J1084</f>
        <v>3.12</v>
      </c>
      <c r="M1084" s="898"/>
      <c r="N1084" s="33">
        <v>44531</v>
      </c>
      <c r="O1084" s="32">
        <v>3706</v>
      </c>
      <c r="P1084" s="83">
        <v>60</v>
      </c>
      <c r="Q1084" s="83">
        <f>P1084*J1084</f>
        <v>240</v>
      </c>
      <c r="R1084" s="700"/>
      <c r="S1084" s="7">
        <f t="shared" si="32"/>
        <v>60</v>
      </c>
      <c r="T1084" s="1318">
        <f t="shared" si="33"/>
        <v>240</v>
      </c>
    </row>
    <row r="1085" spans="3:21" ht="15">
      <c r="C1085" s="6" t="s">
        <v>2714</v>
      </c>
      <c r="D1085" s="13" t="s">
        <v>2708</v>
      </c>
      <c r="E1085" s="48"/>
      <c r="F1085" s="38"/>
      <c r="G1085" s="38" t="s">
        <v>218</v>
      </c>
      <c r="H1085" s="39"/>
      <c r="I1085" s="94"/>
      <c r="J1085" s="39">
        <v>2</v>
      </c>
      <c r="K1085" s="611">
        <v>12</v>
      </c>
      <c r="L1085" s="598">
        <f>K1085*J1085</f>
        <v>24</v>
      </c>
      <c r="M1085" s="898"/>
      <c r="N1085" s="33">
        <v>44531</v>
      </c>
      <c r="O1085" s="32">
        <v>3706</v>
      </c>
      <c r="P1085" s="83">
        <f>1100+900</f>
        <v>2000</v>
      </c>
      <c r="Q1085" s="83">
        <f>1100+900</f>
        <v>2000</v>
      </c>
      <c r="S1085" s="7">
        <f t="shared" si="32"/>
        <v>2000</v>
      </c>
      <c r="T1085" s="1318">
        <f t="shared" si="33"/>
        <v>2000</v>
      </c>
      <c r="U1085" s="22"/>
    </row>
    <row r="1086" spans="3:21" s="159" customFormat="1" ht="15">
      <c r="C1086" s="149" t="s">
        <v>2714</v>
      </c>
      <c r="D1086" s="150" t="s">
        <v>2708</v>
      </c>
      <c r="E1086" s="151"/>
      <c r="F1086" s="152"/>
      <c r="G1086" s="152" t="s">
        <v>168</v>
      </c>
      <c r="H1086" s="154" t="s">
        <v>169</v>
      </c>
      <c r="I1086" s="155"/>
      <c r="J1086" s="153"/>
      <c r="K1086" s="600">
        <v>0</v>
      </c>
      <c r="L1086" s="601"/>
      <c r="M1086" s="601"/>
      <c r="N1086" s="157">
        <v>44531</v>
      </c>
      <c r="O1086" s="156">
        <v>3706</v>
      </c>
      <c r="P1086" s="164">
        <v>0</v>
      </c>
      <c r="Q1086" s="165">
        <v>0</v>
      </c>
      <c r="S1086" s="7">
        <f t="shared" si="32"/>
        <v>0</v>
      </c>
      <c r="T1086" s="1318">
        <f t="shared" si="33"/>
        <v>0</v>
      </c>
      <c r="U1086" s="268"/>
    </row>
    <row r="1087" spans="3:21" s="7" customFormat="1" ht="15">
      <c r="C1087" s="6" t="s">
        <v>2720</v>
      </c>
      <c r="D1087" s="13" t="s">
        <v>2277</v>
      </c>
      <c r="E1087" s="18" t="s">
        <v>19</v>
      </c>
      <c r="F1087" s="23"/>
      <c r="G1087" s="21"/>
      <c r="H1087" s="55"/>
      <c r="I1087" s="56"/>
      <c r="J1087" s="55"/>
      <c r="K1087" s="15" t="s">
        <v>8</v>
      </c>
      <c r="L1087" s="688"/>
      <c r="M1087" s="688"/>
      <c r="N1087" s="33">
        <v>44526</v>
      </c>
      <c r="O1087" s="32">
        <v>3699</v>
      </c>
      <c r="P1087" s="83"/>
      <c r="Q1087" s="83"/>
      <c r="S1087" s="7">
        <f t="shared" si="32"/>
        <v>0</v>
      </c>
      <c r="T1087" s="1318">
        <f t="shared" si="33"/>
        <v>0</v>
      </c>
      <c r="U1087" s="100"/>
    </row>
    <row r="1088" spans="3:21" s="7" customFormat="1" ht="15">
      <c r="C1088" s="6" t="s">
        <v>2720</v>
      </c>
      <c r="D1088" s="13" t="s">
        <v>2277</v>
      </c>
      <c r="E1088" s="740" t="s">
        <v>2048</v>
      </c>
      <c r="F1088" s="23"/>
      <c r="G1088" s="21" t="s">
        <v>25</v>
      </c>
      <c r="H1088" s="93">
        <v>13.7</v>
      </c>
      <c r="I1088" s="94">
        <v>4</v>
      </c>
      <c r="J1088" s="108">
        <f>H1088*I1088</f>
        <v>54.8</v>
      </c>
      <c r="K1088" s="597">
        <v>6.2</v>
      </c>
      <c r="L1088" s="598">
        <f>K1088*J1088</f>
        <v>339.76</v>
      </c>
      <c r="M1088" s="898"/>
      <c r="N1088" s="33">
        <v>44526</v>
      </c>
      <c r="O1088" s="32">
        <v>3699</v>
      </c>
      <c r="P1088" s="83">
        <v>480</v>
      </c>
      <c r="Q1088" s="83">
        <f>P1088*J1088</f>
        <v>26304</v>
      </c>
      <c r="S1088" s="7">
        <f t="shared" si="32"/>
        <v>480</v>
      </c>
      <c r="T1088" s="1318">
        <f t="shared" si="33"/>
        <v>26304</v>
      </c>
      <c r="U1088" s="13"/>
    </row>
    <row r="1089" spans="3:21" ht="15">
      <c r="C1089" s="6" t="s">
        <v>2720</v>
      </c>
      <c r="D1089" s="13" t="s">
        <v>2277</v>
      </c>
      <c r="E1089" s="48"/>
      <c r="F1089" s="38"/>
      <c r="G1089" s="38" t="s">
        <v>218</v>
      </c>
      <c r="H1089" s="39"/>
      <c r="I1089" s="94"/>
      <c r="J1089" s="39">
        <v>1</v>
      </c>
      <c r="K1089" s="611">
        <v>12</v>
      </c>
      <c r="L1089" s="598">
        <f>K1089*J1089</f>
        <v>12</v>
      </c>
      <c r="M1089" s="898"/>
      <c r="N1089" s="33">
        <v>44526</v>
      </c>
      <c r="O1089" s="32">
        <v>3699</v>
      </c>
      <c r="P1089" s="83">
        <v>0</v>
      </c>
      <c r="Q1089" s="83">
        <f>P1089*J1089</f>
        <v>0</v>
      </c>
      <c r="S1089" s="7">
        <f t="shared" si="32"/>
        <v>0</v>
      </c>
      <c r="T1089" s="1318">
        <f t="shared" si="33"/>
        <v>0</v>
      </c>
      <c r="U1089" s="22"/>
    </row>
    <row r="1090" spans="3:21" s="159" customFormat="1" ht="15">
      <c r="C1090" s="149" t="s">
        <v>2720</v>
      </c>
      <c r="D1090" s="150" t="s">
        <v>2277</v>
      </c>
      <c r="E1090" s="151"/>
      <c r="F1090" s="152"/>
      <c r="G1090" s="152" t="s">
        <v>168</v>
      </c>
      <c r="H1090" s="154" t="s">
        <v>169</v>
      </c>
      <c r="I1090" s="155"/>
      <c r="J1090" s="153"/>
      <c r="K1090" s="600">
        <v>0</v>
      </c>
      <c r="L1090" s="601"/>
      <c r="M1090" s="601"/>
      <c r="N1090" s="157">
        <v>44526</v>
      </c>
      <c r="O1090" s="156">
        <v>3699</v>
      </c>
      <c r="P1090" s="164">
        <v>0</v>
      </c>
      <c r="Q1090" s="165">
        <v>0</v>
      </c>
      <c r="S1090" s="7">
        <f t="shared" si="32"/>
        <v>0</v>
      </c>
      <c r="T1090" s="1318">
        <f t="shared" si="33"/>
        <v>0</v>
      </c>
      <c r="U1090" s="268"/>
    </row>
    <row r="1091" spans="3:21" s="7" customFormat="1" ht="15">
      <c r="C1091" s="6" t="s">
        <v>2721</v>
      </c>
      <c r="D1091" s="13" t="s">
        <v>2277</v>
      </c>
      <c r="E1091" s="18" t="s">
        <v>19</v>
      </c>
      <c r="F1091" s="23"/>
      <c r="G1091" s="21"/>
      <c r="H1091" s="55"/>
      <c r="I1091" s="56"/>
      <c r="J1091" s="55"/>
      <c r="K1091" s="15" t="s">
        <v>8</v>
      </c>
      <c r="L1091" s="688"/>
      <c r="M1091" s="688"/>
      <c r="N1091" s="33">
        <v>44537</v>
      </c>
      <c r="O1091" s="32">
        <v>3722</v>
      </c>
      <c r="P1091" s="83"/>
      <c r="Q1091" s="83"/>
      <c r="S1091" s="7">
        <f t="shared" si="32"/>
        <v>0</v>
      </c>
      <c r="T1091" s="1318">
        <f t="shared" si="33"/>
        <v>0</v>
      </c>
      <c r="U1091" s="100"/>
    </row>
    <row r="1092" spans="3:21" s="7" customFormat="1" ht="15">
      <c r="C1092" s="6" t="s">
        <v>2721</v>
      </c>
      <c r="D1092" s="13" t="s">
        <v>2277</v>
      </c>
      <c r="E1092" s="739">
        <v>258176</v>
      </c>
      <c r="F1092" s="23"/>
      <c r="G1092" s="21" t="s">
        <v>25</v>
      </c>
      <c r="H1092" s="93">
        <v>13.7</v>
      </c>
      <c r="I1092" s="94">
        <v>8</v>
      </c>
      <c r="J1092" s="107">
        <f>H1092*I1092</f>
        <v>109.6</v>
      </c>
      <c r="K1092" s="884">
        <v>2.4</v>
      </c>
      <c r="L1092" s="598">
        <f>K1092*J1092</f>
        <v>263.03999999999996</v>
      </c>
      <c r="M1092" s="898"/>
      <c r="N1092" s="33">
        <v>44537</v>
      </c>
      <c r="O1092" s="32">
        <v>3722</v>
      </c>
      <c r="P1092" s="83">
        <v>198</v>
      </c>
      <c r="Q1092" s="83">
        <f>P1092*J1092</f>
        <v>21700.799999999999</v>
      </c>
      <c r="S1092" s="7">
        <f t="shared" si="32"/>
        <v>198</v>
      </c>
      <c r="T1092" s="1318">
        <f t="shared" si="33"/>
        <v>21700.799999999999</v>
      </c>
      <c r="U1092" s="13"/>
    </row>
    <row r="1093" spans="3:21" s="7" customFormat="1" ht="15">
      <c r="C1093" s="6" t="s">
        <v>2721</v>
      </c>
      <c r="D1093" s="13" t="s">
        <v>2277</v>
      </c>
      <c r="E1093" s="740" t="s">
        <v>2722</v>
      </c>
      <c r="F1093" s="23"/>
      <c r="G1093" s="21" t="s">
        <v>25</v>
      </c>
      <c r="H1093" s="93">
        <v>13.7</v>
      </c>
      <c r="I1093" s="94">
        <v>4</v>
      </c>
      <c r="J1093" s="108">
        <f>H1093*I1093</f>
        <v>54.8</v>
      </c>
      <c r="K1093" s="597">
        <v>3.69</v>
      </c>
      <c r="L1093" s="598">
        <f>K1093*J1093</f>
        <v>202.21199999999999</v>
      </c>
      <c r="M1093" s="898"/>
      <c r="N1093" s="33">
        <v>44537</v>
      </c>
      <c r="O1093" s="32">
        <v>3722</v>
      </c>
      <c r="P1093" s="83">
        <v>242</v>
      </c>
      <c r="Q1093" s="83">
        <f>P1093*J1093</f>
        <v>13261.599999999999</v>
      </c>
      <c r="S1093" s="7">
        <f t="shared" si="32"/>
        <v>242</v>
      </c>
      <c r="T1093" s="1318">
        <f t="shared" si="33"/>
        <v>13261.599999999999</v>
      </c>
      <c r="U1093" s="13"/>
    </row>
    <row r="1094" spans="3:21" ht="15">
      <c r="C1094" s="6" t="s">
        <v>2721</v>
      </c>
      <c r="D1094" s="13" t="s">
        <v>2277</v>
      </c>
      <c r="E1094" s="21"/>
      <c r="F1094" s="38"/>
      <c r="G1094" s="38" t="s">
        <v>218</v>
      </c>
      <c r="H1094" s="39"/>
      <c r="I1094" s="94"/>
      <c r="J1094" s="39">
        <v>1</v>
      </c>
      <c r="K1094" s="611">
        <v>12</v>
      </c>
      <c r="L1094" s="598">
        <f>K1094*J1094</f>
        <v>12</v>
      </c>
      <c r="M1094" s="898"/>
      <c r="N1094" s="33">
        <v>44537</v>
      </c>
      <c r="O1094" s="32">
        <v>3722</v>
      </c>
      <c r="P1094" s="83">
        <v>900</v>
      </c>
      <c r="Q1094" s="83">
        <f>P1094*J1094</f>
        <v>900</v>
      </c>
      <c r="S1094" s="7">
        <f t="shared" si="32"/>
        <v>900</v>
      </c>
      <c r="T1094" s="1318">
        <f t="shared" si="33"/>
        <v>900</v>
      </c>
      <c r="U1094" s="22"/>
    </row>
    <row r="1095" spans="3:21" s="7" customFormat="1" ht="15.75">
      <c r="C1095" s="6" t="s">
        <v>2721</v>
      </c>
      <c r="D1095" s="13" t="s">
        <v>2277</v>
      </c>
      <c r="E1095" s="740" t="s">
        <v>2280</v>
      </c>
      <c r="F1095" s="23"/>
      <c r="G1095" s="21" t="s">
        <v>25</v>
      </c>
      <c r="H1095" s="93">
        <v>13.7</v>
      </c>
      <c r="I1095" s="94">
        <v>8</v>
      </c>
      <c r="J1095" s="108">
        <f>H1095*I1095</f>
        <v>109.6</v>
      </c>
      <c r="K1095" s="597">
        <v>5.46</v>
      </c>
      <c r="L1095" s="598">
        <f>K1095*J1095</f>
        <v>598.41599999999994</v>
      </c>
      <c r="M1095" s="97" t="s">
        <v>224</v>
      </c>
      <c r="N1095" s="33">
        <v>44575</v>
      </c>
      <c r="O1095" s="32">
        <v>3818</v>
      </c>
      <c r="P1095" s="83">
        <v>450</v>
      </c>
      <c r="Q1095" s="83">
        <f>P1095*J1095</f>
        <v>49320</v>
      </c>
      <c r="S1095" s="7">
        <f t="shared" si="32"/>
        <v>450</v>
      </c>
      <c r="T1095" s="1318">
        <f t="shared" si="33"/>
        <v>49320</v>
      </c>
      <c r="U1095" s="13"/>
    </row>
    <row r="1096" spans="3:21" s="7" customFormat="1" ht="15.75">
      <c r="C1096" s="6" t="s">
        <v>2721</v>
      </c>
      <c r="D1096" s="13" t="s">
        <v>2277</v>
      </c>
      <c r="E1096" s="740" t="s">
        <v>2048</v>
      </c>
      <c r="F1096" s="23"/>
      <c r="G1096" s="21" t="s">
        <v>25</v>
      </c>
      <c r="H1096" s="93">
        <v>13.7</v>
      </c>
      <c r="I1096" s="94">
        <v>8</v>
      </c>
      <c r="J1096" s="108">
        <f>H1096*I1096</f>
        <v>109.6</v>
      </c>
      <c r="K1096" s="597">
        <v>6.2</v>
      </c>
      <c r="L1096" s="598">
        <f>K1096*J1096</f>
        <v>679.52</v>
      </c>
      <c r="M1096" s="97" t="s">
        <v>224</v>
      </c>
      <c r="N1096" s="33">
        <v>44575</v>
      </c>
      <c r="O1096" s="32">
        <v>3818</v>
      </c>
      <c r="P1096" s="83">
        <v>480</v>
      </c>
      <c r="Q1096" s="83">
        <f>P1096*J1096</f>
        <v>52608</v>
      </c>
      <c r="S1096" s="7">
        <f t="shared" si="32"/>
        <v>480</v>
      </c>
      <c r="T1096" s="1318">
        <f t="shared" si="33"/>
        <v>52608</v>
      </c>
      <c r="U1096" s="13"/>
    </row>
    <row r="1097" spans="3:21" s="159" customFormat="1" ht="15">
      <c r="C1097" s="149" t="s">
        <v>2721</v>
      </c>
      <c r="D1097" s="150" t="s">
        <v>2277</v>
      </c>
      <c r="E1097" s="151"/>
      <c r="F1097" s="152"/>
      <c r="G1097" s="152" t="s">
        <v>168</v>
      </c>
      <c r="H1097" s="154" t="s">
        <v>169</v>
      </c>
      <c r="I1097" s="155"/>
      <c r="J1097" s="153"/>
      <c r="K1097" s="600">
        <v>0</v>
      </c>
      <c r="L1097" s="601"/>
      <c r="M1097" s="601"/>
      <c r="N1097" s="157">
        <v>44575</v>
      </c>
      <c r="O1097" s="156">
        <v>3818</v>
      </c>
      <c r="P1097" s="164">
        <v>0</v>
      </c>
      <c r="Q1097" s="165">
        <v>0</v>
      </c>
      <c r="S1097" s="7">
        <f t="shared" si="32"/>
        <v>0</v>
      </c>
      <c r="T1097" s="1318">
        <f t="shared" si="33"/>
        <v>0</v>
      </c>
      <c r="U1097" s="268"/>
    </row>
    <row r="1098" spans="3:21" s="7" customFormat="1" ht="15">
      <c r="C1098" s="6" t="s">
        <v>2723</v>
      </c>
      <c r="D1098" s="13" t="s">
        <v>2724</v>
      </c>
      <c r="E1098" s="18" t="s">
        <v>2185</v>
      </c>
      <c r="F1098" s="23"/>
      <c r="G1098" s="21"/>
      <c r="H1098" s="55"/>
      <c r="I1098" s="56"/>
      <c r="J1098" s="55"/>
      <c r="K1098" s="28" t="s">
        <v>8</v>
      </c>
      <c r="L1098" s="688"/>
      <c r="M1098" s="688"/>
      <c r="N1098" s="33">
        <v>44539</v>
      </c>
      <c r="O1098" s="32">
        <v>3736</v>
      </c>
      <c r="P1098" s="83"/>
      <c r="Q1098" s="83"/>
      <c r="S1098" s="7">
        <f t="shared" si="32"/>
        <v>0</v>
      </c>
      <c r="T1098" s="1318">
        <f t="shared" si="33"/>
        <v>0</v>
      </c>
      <c r="U1098" s="100"/>
    </row>
    <row r="1099" spans="3:21" s="7" customFormat="1" ht="15">
      <c r="C1099" s="6" t="s">
        <v>2723</v>
      </c>
      <c r="D1099" s="13" t="s">
        <v>2724</v>
      </c>
      <c r="E1099" s="740" t="s">
        <v>2583</v>
      </c>
      <c r="F1099" s="23"/>
      <c r="G1099" s="21" t="s">
        <v>46</v>
      </c>
      <c r="H1099" s="8">
        <v>2</v>
      </c>
      <c r="I1099" s="8">
        <v>2</v>
      </c>
      <c r="J1099" s="8">
        <v>2</v>
      </c>
      <c r="K1099" s="597">
        <v>2.0799999999999996</v>
      </c>
      <c r="L1099" s="598">
        <f>K1099*J1099</f>
        <v>4.1599999999999993</v>
      </c>
      <c r="M1099" s="898"/>
      <c r="N1099" s="33">
        <v>44539</v>
      </c>
      <c r="O1099" s="32">
        <v>3736</v>
      </c>
      <c r="P1099" s="83">
        <v>160</v>
      </c>
      <c r="Q1099" s="83">
        <f>P1099*J1099</f>
        <v>320</v>
      </c>
      <c r="S1099" s="7">
        <f t="shared" si="32"/>
        <v>160</v>
      </c>
      <c r="T1099" s="1318">
        <f t="shared" si="33"/>
        <v>320</v>
      </c>
      <c r="U1099" s="13"/>
    </row>
    <row r="1100" spans="3:21" s="7" customFormat="1" ht="16.899999999999999" customHeight="1">
      <c r="C1100" s="6" t="s">
        <v>2723</v>
      </c>
      <c r="D1100" s="13" t="s">
        <v>2724</v>
      </c>
      <c r="E1100" s="21"/>
      <c r="F1100" s="285"/>
      <c r="G1100" s="38" t="s">
        <v>218</v>
      </c>
      <c r="H1100" s="8"/>
      <c r="I1100" s="94" ph="1"/>
      <c r="J1100" s="39">
        <v>1</v>
      </c>
      <c r="K1100" s="611">
        <v>12</v>
      </c>
      <c r="L1100" s="598">
        <f>K1100*J1100</f>
        <v>12</v>
      </c>
      <c r="M1100" s="898"/>
      <c r="N1100" s="33">
        <v>44539</v>
      </c>
      <c r="O1100" s="32">
        <v>3736</v>
      </c>
      <c r="P1100" s="83">
        <v>300</v>
      </c>
      <c r="Q1100" s="83">
        <f>P1100*J1100</f>
        <v>300</v>
      </c>
      <c r="S1100" s="7">
        <f t="shared" si="32"/>
        <v>300</v>
      </c>
      <c r="T1100" s="1318">
        <f t="shared" si="33"/>
        <v>300</v>
      </c>
      <c r="U1100" s="20"/>
    </row>
    <row r="1101" spans="3:21" s="159" customFormat="1" ht="15">
      <c r="C1101" s="149" t="s">
        <v>2723</v>
      </c>
      <c r="D1101" s="150" t="s">
        <v>2724</v>
      </c>
      <c r="E1101" s="151"/>
      <c r="F1101" s="152"/>
      <c r="G1101" s="152" t="s">
        <v>168</v>
      </c>
      <c r="H1101" s="154" t="s">
        <v>170</v>
      </c>
      <c r="I1101" s="155"/>
      <c r="J1101" s="153"/>
      <c r="K1101" s="911">
        <v>27</v>
      </c>
      <c r="L1101" s="601"/>
      <c r="M1101" s="601"/>
      <c r="N1101" s="157">
        <v>44539</v>
      </c>
      <c r="O1101" s="156">
        <v>3736</v>
      </c>
      <c r="P1101" s="164">
        <v>2951</v>
      </c>
      <c r="Q1101" s="165">
        <v>2951</v>
      </c>
      <c r="S1101" s="7">
        <f t="shared" si="32"/>
        <v>2951</v>
      </c>
      <c r="T1101" s="1318">
        <f t="shared" si="33"/>
        <v>2951</v>
      </c>
      <c r="U1101" s="268"/>
    </row>
    <row r="1102" spans="3:21" s="7" customFormat="1" ht="15">
      <c r="C1102" s="6" t="s">
        <v>2725</v>
      </c>
      <c r="D1102" s="13" t="s">
        <v>2277</v>
      </c>
      <c r="E1102" s="18" t="s">
        <v>19</v>
      </c>
      <c r="F1102" s="23"/>
      <c r="G1102" s="21"/>
      <c r="H1102" s="55"/>
      <c r="I1102" s="56"/>
      <c r="J1102" s="55"/>
      <c r="K1102" s="15" t="s">
        <v>8</v>
      </c>
      <c r="L1102" s="688"/>
      <c r="M1102" s="688"/>
      <c r="N1102" s="33">
        <v>44602</v>
      </c>
      <c r="O1102" s="32">
        <v>3906</v>
      </c>
      <c r="P1102" s="83"/>
      <c r="Q1102" s="83"/>
      <c r="S1102" s="7">
        <f t="shared" si="32"/>
        <v>0</v>
      </c>
      <c r="T1102" s="1318">
        <f t="shared" si="33"/>
        <v>0</v>
      </c>
      <c r="U1102" s="100"/>
    </row>
    <row r="1103" spans="3:21" s="7" customFormat="1" ht="15.75">
      <c r="C1103" s="6" t="s">
        <v>2725</v>
      </c>
      <c r="D1103" s="13" t="s">
        <v>2277</v>
      </c>
      <c r="E1103" s="740" t="s">
        <v>2280</v>
      </c>
      <c r="F1103" s="23"/>
      <c r="G1103" s="21" t="s">
        <v>25</v>
      </c>
      <c r="H1103" s="93">
        <v>13.7</v>
      </c>
      <c r="I1103" s="94">
        <v>10</v>
      </c>
      <c r="J1103" s="108">
        <f>H1103*I1103</f>
        <v>137</v>
      </c>
      <c r="K1103" s="597">
        <v>5.46</v>
      </c>
      <c r="L1103" s="598">
        <f>K1103*J1103</f>
        <v>748.02</v>
      </c>
      <c r="M1103" s="97" t="s">
        <v>224</v>
      </c>
      <c r="N1103" s="33">
        <v>44602</v>
      </c>
      <c r="O1103" s="32">
        <v>3906</v>
      </c>
      <c r="P1103" s="83">
        <v>450</v>
      </c>
      <c r="Q1103" s="83">
        <f>P1103*J1103</f>
        <v>61650</v>
      </c>
      <c r="S1103" s="7">
        <f t="shared" si="32"/>
        <v>450</v>
      </c>
      <c r="T1103" s="1318">
        <f t="shared" si="33"/>
        <v>61650</v>
      </c>
      <c r="U1103" s="13"/>
    </row>
    <row r="1104" spans="3:21" ht="15">
      <c r="C1104" s="6" t="s">
        <v>2725</v>
      </c>
      <c r="D1104" s="13" t="s">
        <v>2277</v>
      </c>
      <c r="E1104" s="21"/>
      <c r="F1104" s="38"/>
      <c r="G1104" s="38" t="s">
        <v>218</v>
      </c>
      <c r="H1104" s="39"/>
      <c r="I1104" s="94"/>
      <c r="J1104" s="39">
        <v>1</v>
      </c>
      <c r="K1104" s="611">
        <v>12</v>
      </c>
      <c r="L1104" s="598">
        <f>K1104*J1104</f>
        <v>12</v>
      </c>
      <c r="M1104" s="898"/>
      <c r="N1104" s="33">
        <v>44602</v>
      </c>
      <c r="O1104" s="32">
        <v>3906</v>
      </c>
      <c r="P1104" s="83">
        <v>0</v>
      </c>
      <c r="Q1104" s="83">
        <f>P1104*J1104</f>
        <v>0</v>
      </c>
      <c r="S1104" s="7">
        <f t="shared" si="32"/>
        <v>0</v>
      </c>
      <c r="T1104" s="1318">
        <f t="shared" si="33"/>
        <v>0</v>
      </c>
      <c r="U1104" s="22"/>
    </row>
    <row r="1105" spans="3:21" s="7" customFormat="1" ht="15.75">
      <c r="C1105" s="119" t="s">
        <v>2725</v>
      </c>
      <c r="D1105" s="123" t="s">
        <v>2277</v>
      </c>
      <c r="E1105" s="912" t="s">
        <v>2280</v>
      </c>
      <c r="F1105" s="101"/>
      <c r="G1105" s="102" t="s">
        <v>25</v>
      </c>
      <c r="H1105" s="122">
        <v>13.7</v>
      </c>
      <c r="I1105" s="129">
        <v>1</v>
      </c>
      <c r="J1105" s="913">
        <f>H1105*I1105</f>
        <v>13.7</v>
      </c>
      <c r="K1105" s="914">
        <v>5.46</v>
      </c>
      <c r="L1105" s="831">
        <f>K1105*J1105</f>
        <v>74.801999999999992</v>
      </c>
      <c r="M1105" s="335" t="s">
        <v>224</v>
      </c>
      <c r="N1105" s="192" t="s">
        <v>32</v>
      </c>
      <c r="O1105" s="110"/>
      <c r="P1105" s="83"/>
      <c r="Q1105" s="83"/>
      <c r="S1105" s="7">
        <f t="shared" si="32"/>
        <v>0</v>
      </c>
      <c r="T1105" s="1318">
        <f t="shared" si="33"/>
        <v>0</v>
      </c>
      <c r="U1105" s="13"/>
    </row>
    <row r="1106" spans="3:21" s="159" customFormat="1" ht="15">
      <c r="C1106" s="149" t="s">
        <v>2725</v>
      </c>
      <c r="D1106" s="150" t="s">
        <v>2277</v>
      </c>
      <c r="E1106" s="151"/>
      <c r="F1106" s="152"/>
      <c r="G1106" s="152" t="s">
        <v>168</v>
      </c>
      <c r="H1106" s="154" t="s">
        <v>169</v>
      </c>
      <c r="I1106" s="155"/>
      <c r="J1106" s="153"/>
      <c r="K1106" s="600">
        <v>0</v>
      </c>
      <c r="L1106" s="601"/>
      <c r="M1106" s="601"/>
      <c r="N1106" s="157"/>
      <c r="O1106" s="156"/>
      <c r="P1106" s="164">
        <v>0</v>
      </c>
      <c r="Q1106" s="165">
        <v>0</v>
      </c>
      <c r="S1106" s="7">
        <f t="shared" si="32"/>
        <v>0</v>
      </c>
      <c r="T1106" s="1318">
        <f t="shared" si="33"/>
        <v>0</v>
      </c>
      <c r="U1106" s="268"/>
    </row>
    <row r="1107" spans="3:21" s="7" customFormat="1" ht="18" customHeight="1">
      <c r="C1107" s="6" t="s">
        <v>2726</v>
      </c>
      <c r="D1107" s="13" t="s">
        <v>1812</v>
      </c>
      <c r="E1107" s="18" t="s">
        <v>156</v>
      </c>
      <c r="F1107" s="23"/>
      <c r="G1107" s="21"/>
      <c r="H1107" s="39"/>
      <c r="I1107" s="56"/>
      <c r="J1107" s="55"/>
      <c r="K1107" s="15" t="s">
        <v>8</v>
      </c>
      <c r="L1107" s="33"/>
      <c r="M1107" s="33"/>
      <c r="N1107" s="33">
        <v>44602</v>
      </c>
      <c r="O1107" s="32">
        <v>3904</v>
      </c>
      <c r="P1107" s="83"/>
      <c r="Q1107" s="83"/>
      <c r="S1107" s="7">
        <f t="shared" ref="S1107:S1170" si="34">P1107</f>
        <v>0</v>
      </c>
      <c r="T1107" s="1318">
        <f t="shared" si="33"/>
        <v>0</v>
      </c>
      <c r="U1107" s="128"/>
    </row>
    <row r="1108" spans="3:21" ht="18" customHeight="1">
      <c r="C1108" s="6" t="s">
        <v>2726</v>
      </c>
      <c r="D1108" s="13" t="s">
        <v>1812</v>
      </c>
      <c r="E1108" s="21">
        <v>3717</v>
      </c>
      <c r="F1108" s="23">
        <v>9</v>
      </c>
      <c r="G1108" s="21" t="s">
        <v>2727</v>
      </c>
      <c r="H1108" s="93">
        <v>30</v>
      </c>
      <c r="I1108" s="94">
        <v>1</v>
      </c>
      <c r="J1108" s="55">
        <f>H1108*I1108</f>
        <v>30</v>
      </c>
      <c r="K1108" s="910">
        <v>0.21</v>
      </c>
      <c r="L1108" s="598">
        <f>K1108*J1108</f>
        <v>6.3</v>
      </c>
      <c r="M1108" s="97" t="s">
        <v>224</v>
      </c>
      <c r="N1108" s="33">
        <v>44602</v>
      </c>
      <c r="O1108" s="32">
        <v>3904</v>
      </c>
      <c r="P1108" s="83">
        <v>13.33</v>
      </c>
      <c r="Q1108" s="83">
        <f>P1108*J1108</f>
        <v>399.9</v>
      </c>
      <c r="R1108" s="700"/>
      <c r="S1108" s="7">
        <f t="shared" si="34"/>
        <v>13.33</v>
      </c>
      <c r="T1108" s="1318">
        <f t="shared" ref="T1108:T1171" si="35">Q1108</f>
        <v>399.9</v>
      </c>
    </row>
    <row r="1109" spans="3:21" s="7" customFormat="1" ht="18" customHeight="1">
      <c r="C1109" s="6" t="s">
        <v>2726</v>
      </c>
      <c r="D1109" s="13" t="s">
        <v>1812</v>
      </c>
      <c r="E1109" s="18" t="s">
        <v>2728</v>
      </c>
      <c r="F1109" s="23"/>
      <c r="G1109" s="21"/>
      <c r="H1109" s="39"/>
      <c r="I1109" s="56"/>
      <c r="J1109" s="55"/>
      <c r="K1109" s="15" t="s">
        <v>8</v>
      </c>
      <c r="L1109" s="33"/>
      <c r="M1109" s="33"/>
      <c r="N1109" s="33">
        <v>44602</v>
      </c>
      <c r="O1109" s="32">
        <v>3904</v>
      </c>
      <c r="P1109" s="83"/>
      <c r="Q1109" s="83"/>
      <c r="S1109" s="7">
        <f t="shared" si="34"/>
        <v>0</v>
      </c>
      <c r="T1109" s="1318">
        <f t="shared" si="35"/>
        <v>0</v>
      </c>
      <c r="U1109" s="128"/>
    </row>
    <row r="1110" spans="3:21" ht="18" customHeight="1">
      <c r="C1110" s="6" t="s">
        <v>2726</v>
      </c>
      <c r="D1110" s="13" t="s">
        <v>1812</v>
      </c>
      <c r="E1110" s="21">
        <v>5383</v>
      </c>
      <c r="F1110" s="26"/>
      <c r="G1110" s="21" t="s">
        <v>2710</v>
      </c>
      <c r="H1110" s="93">
        <v>50</v>
      </c>
      <c r="I1110" s="94">
        <v>1</v>
      </c>
      <c r="J1110" s="55">
        <f>I1110*H1110</f>
        <v>50</v>
      </c>
      <c r="K1110" s="910">
        <v>0.41</v>
      </c>
      <c r="L1110" s="598">
        <f>K1110*J1110</f>
        <v>20.5</v>
      </c>
      <c r="M1110" s="97" t="s">
        <v>224</v>
      </c>
      <c r="N1110" s="33">
        <v>44602</v>
      </c>
      <c r="O1110" s="32">
        <v>3904</v>
      </c>
      <c r="P1110" s="83">
        <v>27</v>
      </c>
      <c r="Q1110" s="83">
        <f>P1110*J1110</f>
        <v>1350</v>
      </c>
      <c r="R1110" s="700"/>
      <c r="S1110" s="7">
        <f t="shared" si="34"/>
        <v>27</v>
      </c>
      <c r="T1110" s="1318">
        <f t="shared" si="35"/>
        <v>1350</v>
      </c>
    </row>
    <row r="1111" spans="3:21" ht="15">
      <c r="C1111" s="6" t="s">
        <v>2726</v>
      </c>
      <c r="D1111" s="13" t="s">
        <v>1812</v>
      </c>
      <c r="E1111" s="48"/>
      <c r="F1111" s="38"/>
      <c r="G1111" s="38" t="s">
        <v>218</v>
      </c>
      <c r="H1111" s="39"/>
      <c r="I1111" s="94"/>
      <c r="J1111" s="39"/>
      <c r="K1111" s="611">
        <v>24</v>
      </c>
      <c r="L1111" s="598">
        <v>24</v>
      </c>
      <c r="M1111" s="898"/>
      <c r="N1111" s="33">
        <v>44602</v>
      </c>
      <c r="O1111" s="32">
        <v>3904</v>
      </c>
      <c r="P1111" s="83">
        <v>900</v>
      </c>
      <c r="Q1111" s="83">
        <v>900</v>
      </c>
      <c r="S1111" s="7">
        <f t="shared" si="34"/>
        <v>900</v>
      </c>
      <c r="T1111" s="1318">
        <f t="shared" si="35"/>
        <v>900</v>
      </c>
      <c r="U1111" s="22"/>
    </row>
    <row r="1112" spans="3:21" s="159" customFormat="1" ht="15">
      <c r="C1112" s="149" t="s">
        <v>2726</v>
      </c>
      <c r="D1112" s="150" t="s">
        <v>1812</v>
      </c>
      <c r="E1112" s="151"/>
      <c r="F1112" s="152"/>
      <c r="G1112" s="152" t="s">
        <v>168</v>
      </c>
      <c r="H1112" s="154" t="s">
        <v>169</v>
      </c>
      <c r="I1112" s="155"/>
      <c r="J1112" s="153"/>
      <c r="K1112" s="600">
        <v>0</v>
      </c>
      <c r="L1112" s="601"/>
      <c r="M1112" s="601"/>
      <c r="N1112" s="157">
        <v>44602</v>
      </c>
      <c r="O1112" s="156">
        <v>3904</v>
      </c>
      <c r="P1112" s="164">
        <v>0</v>
      </c>
      <c r="Q1112" s="165">
        <v>0</v>
      </c>
      <c r="S1112" s="7">
        <f t="shared" si="34"/>
        <v>0</v>
      </c>
      <c r="T1112" s="1318">
        <f t="shared" si="35"/>
        <v>0</v>
      </c>
      <c r="U1112" s="268"/>
    </row>
    <row r="1113" spans="3:21" s="7" customFormat="1" ht="15">
      <c r="C1113" s="6" t="s">
        <v>2729</v>
      </c>
      <c r="D1113" s="13" t="s">
        <v>2277</v>
      </c>
      <c r="E1113" s="18" t="s">
        <v>19</v>
      </c>
      <c r="F1113" s="23"/>
      <c r="G1113" s="21"/>
      <c r="H1113" s="55"/>
      <c r="I1113" s="56"/>
      <c r="J1113" s="55"/>
      <c r="K1113" s="15" t="s">
        <v>8</v>
      </c>
      <c r="L1113" s="688"/>
      <c r="M1113" s="688"/>
      <c r="N1113" s="33">
        <v>44621</v>
      </c>
      <c r="O1113" s="32">
        <v>3960</v>
      </c>
      <c r="P1113" s="83"/>
      <c r="Q1113" s="83"/>
      <c r="S1113" s="7">
        <f t="shared" si="34"/>
        <v>0</v>
      </c>
      <c r="T1113" s="1318">
        <f t="shared" si="35"/>
        <v>0</v>
      </c>
      <c r="U1113" s="100"/>
    </row>
    <row r="1114" spans="3:21" s="7" customFormat="1" ht="15.75">
      <c r="C1114" s="6" t="s">
        <v>2729</v>
      </c>
      <c r="D1114" s="13" t="s">
        <v>2277</v>
      </c>
      <c r="E1114" s="915" t="s">
        <v>2722</v>
      </c>
      <c r="F1114" s="23"/>
      <c r="G1114" s="21" t="s">
        <v>25</v>
      </c>
      <c r="H1114" s="93">
        <v>13.7</v>
      </c>
      <c r="I1114" s="94">
        <v>4</v>
      </c>
      <c r="J1114" s="108">
        <f>H1114*I1114</f>
        <v>54.8</v>
      </c>
      <c r="K1114" s="597">
        <v>3.69</v>
      </c>
      <c r="L1114" s="598">
        <f>K1114*J1114</f>
        <v>202.21199999999999</v>
      </c>
      <c r="M1114" s="97" t="s">
        <v>224</v>
      </c>
      <c r="N1114" s="33">
        <v>44621</v>
      </c>
      <c r="O1114" s="32">
        <v>3960</v>
      </c>
      <c r="P1114" s="83">
        <v>242</v>
      </c>
      <c r="Q1114" s="83">
        <f>P1114*J1114</f>
        <v>13261.599999999999</v>
      </c>
      <c r="S1114" s="7">
        <f t="shared" si="34"/>
        <v>242</v>
      </c>
      <c r="T1114" s="1318">
        <f t="shared" si="35"/>
        <v>13261.599999999999</v>
      </c>
      <c r="U1114" s="13"/>
    </row>
    <row r="1115" spans="3:21" ht="15">
      <c r="C1115" s="6" t="s">
        <v>2729</v>
      </c>
      <c r="D1115" s="13" t="s">
        <v>2277</v>
      </c>
      <c r="E1115" s="21"/>
      <c r="F1115" s="38"/>
      <c r="G1115" s="38" t="s">
        <v>218</v>
      </c>
      <c r="H1115" s="39"/>
      <c r="I1115" s="94"/>
      <c r="J1115" s="39">
        <v>1</v>
      </c>
      <c r="K1115" s="611">
        <v>12</v>
      </c>
      <c r="L1115" s="598">
        <f>K1115*J1115</f>
        <v>12</v>
      </c>
      <c r="M1115" s="898"/>
      <c r="N1115" s="33">
        <v>44621</v>
      </c>
      <c r="O1115" s="32">
        <v>3960</v>
      </c>
      <c r="P1115" s="83">
        <v>900</v>
      </c>
      <c r="Q1115" s="83">
        <f>P1115*J1115</f>
        <v>900</v>
      </c>
      <c r="S1115" s="7">
        <f t="shared" si="34"/>
        <v>900</v>
      </c>
      <c r="T1115" s="1318">
        <f t="shared" si="35"/>
        <v>900</v>
      </c>
      <c r="U1115" s="22"/>
    </row>
    <row r="1116" spans="3:21" s="159" customFormat="1" ht="15">
      <c r="C1116" s="149" t="s">
        <v>2729</v>
      </c>
      <c r="D1116" s="150" t="s">
        <v>2277</v>
      </c>
      <c r="E1116" s="151"/>
      <c r="F1116" s="152"/>
      <c r="G1116" s="152" t="s">
        <v>168</v>
      </c>
      <c r="H1116" s="154" t="s">
        <v>169</v>
      </c>
      <c r="I1116" s="155"/>
      <c r="J1116" s="153"/>
      <c r="K1116" s="600">
        <v>0</v>
      </c>
      <c r="L1116" s="601"/>
      <c r="M1116" s="601"/>
      <c r="N1116" s="157">
        <v>44621</v>
      </c>
      <c r="O1116" s="156">
        <v>3960</v>
      </c>
      <c r="P1116" s="164">
        <v>0</v>
      </c>
      <c r="Q1116" s="165">
        <v>0</v>
      </c>
      <c r="S1116" s="7">
        <f t="shared" si="34"/>
        <v>0</v>
      </c>
      <c r="T1116" s="1318">
        <f t="shared" si="35"/>
        <v>0</v>
      </c>
      <c r="U1116" s="268"/>
    </row>
    <row r="1117" spans="3:21" s="7" customFormat="1" ht="18" customHeight="1">
      <c r="C1117" s="6" t="s">
        <v>2730</v>
      </c>
      <c r="D1117" s="13" t="s">
        <v>2708</v>
      </c>
      <c r="E1117" s="18" t="s">
        <v>156</v>
      </c>
      <c r="F1117" s="23"/>
      <c r="G1117" s="21"/>
      <c r="H1117" s="39"/>
      <c r="I1117" s="56"/>
      <c r="J1117" s="55"/>
      <c r="K1117" s="15" t="s">
        <v>8</v>
      </c>
      <c r="L1117" s="33"/>
      <c r="M1117" s="33"/>
      <c r="N1117" s="33">
        <v>44631</v>
      </c>
      <c r="O1117" s="32">
        <v>3993</v>
      </c>
      <c r="P1117" s="83"/>
      <c r="Q1117" s="83"/>
      <c r="S1117" s="7">
        <f t="shared" si="34"/>
        <v>0</v>
      </c>
      <c r="T1117" s="1318">
        <f t="shared" si="35"/>
        <v>0</v>
      </c>
      <c r="U1117" s="128"/>
    </row>
    <row r="1118" spans="3:21" ht="18" customHeight="1">
      <c r="C1118" s="6" t="s">
        <v>2730</v>
      </c>
      <c r="D1118" s="13" t="s">
        <v>2708</v>
      </c>
      <c r="E1118" s="21">
        <v>3717</v>
      </c>
      <c r="F1118" s="23">
        <v>15</v>
      </c>
      <c r="G1118" s="21" t="s">
        <v>2731</v>
      </c>
      <c r="H1118" s="93">
        <v>30</v>
      </c>
      <c r="I1118" s="94">
        <v>7</v>
      </c>
      <c r="J1118" s="55">
        <f>H1118*I1118</f>
        <v>210</v>
      </c>
      <c r="K1118" s="910">
        <v>0.31</v>
      </c>
      <c r="L1118" s="598">
        <f>K1118*J1118</f>
        <v>65.099999999999994</v>
      </c>
      <c r="M1118" s="97" t="s">
        <v>224</v>
      </c>
      <c r="N1118" s="33">
        <v>44631</v>
      </c>
      <c r="O1118" s="32">
        <v>3993</v>
      </c>
      <c r="P1118" s="83">
        <v>20</v>
      </c>
      <c r="Q1118" s="83">
        <f>P1118*J1118</f>
        <v>4200</v>
      </c>
      <c r="R1118" s="700"/>
      <c r="S1118" s="7">
        <f t="shared" si="34"/>
        <v>20</v>
      </c>
      <c r="T1118" s="1318">
        <f t="shared" si="35"/>
        <v>4200</v>
      </c>
    </row>
    <row r="1119" spans="3:21" s="7" customFormat="1" ht="18" customHeight="1">
      <c r="C1119" s="6" t="s">
        <v>2730</v>
      </c>
      <c r="D1119" s="13" t="s">
        <v>2708</v>
      </c>
      <c r="E1119" s="18" t="s">
        <v>87</v>
      </c>
      <c r="F1119" s="92"/>
      <c r="G1119" s="21"/>
      <c r="H1119" s="17"/>
      <c r="I1119" s="56"/>
      <c r="J1119" s="17"/>
      <c r="K1119" s="611"/>
      <c r="L1119" s="33"/>
      <c r="M1119" s="33"/>
      <c r="N1119" s="33">
        <v>44631</v>
      </c>
      <c r="O1119" s="32">
        <v>3993</v>
      </c>
      <c r="P1119" s="83"/>
      <c r="Q1119" s="83"/>
      <c r="S1119" s="7">
        <f t="shared" si="34"/>
        <v>0</v>
      </c>
      <c r="T1119" s="1318">
        <f t="shared" si="35"/>
        <v>0</v>
      </c>
      <c r="U1119" s="128"/>
    </row>
    <row r="1120" spans="3:21" ht="18" customHeight="1">
      <c r="C1120" s="6" t="s">
        <v>2730</v>
      </c>
      <c r="D1120" s="13" t="s">
        <v>2708</v>
      </c>
      <c r="E1120" s="21" t="s">
        <v>2732</v>
      </c>
      <c r="F1120" s="26" t="s">
        <v>215</v>
      </c>
      <c r="G1120" s="21" t="s">
        <v>2733</v>
      </c>
      <c r="H1120" s="93">
        <v>50</v>
      </c>
      <c r="I1120" s="94">
        <v>7</v>
      </c>
      <c r="J1120" s="55">
        <f>I1120*H1120</f>
        <v>350</v>
      </c>
      <c r="K1120" s="910">
        <v>0.22</v>
      </c>
      <c r="L1120" s="598">
        <f>K1120*J1120</f>
        <v>77</v>
      </c>
      <c r="M1120" s="97" t="s">
        <v>224</v>
      </c>
      <c r="N1120" s="33">
        <v>44631</v>
      </c>
      <c r="O1120" s="32">
        <v>3993</v>
      </c>
      <c r="P1120" s="83">
        <v>14.4</v>
      </c>
      <c r="Q1120" s="83">
        <f>P1120*J1120</f>
        <v>5040</v>
      </c>
      <c r="R1120" s="700"/>
      <c r="S1120" s="7">
        <f t="shared" si="34"/>
        <v>14.4</v>
      </c>
      <c r="T1120" s="1318">
        <f t="shared" si="35"/>
        <v>5040</v>
      </c>
    </row>
    <row r="1121" spans="3:21" ht="15">
      <c r="C1121" s="6" t="s">
        <v>2730</v>
      </c>
      <c r="D1121" s="13" t="s">
        <v>2708</v>
      </c>
      <c r="E1121" s="48"/>
      <c r="F1121" s="38"/>
      <c r="G1121" s="38" t="s">
        <v>218</v>
      </c>
      <c r="H1121" s="39"/>
      <c r="I1121" s="94"/>
      <c r="J1121" s="39">
        <v>2</v>
      </c>
      <c r="K1121" s="611">
        <v>12</v>
      </c>
      <c r="L1121" s="598">
        <f>K1121*J1121</f>
        <v>24</v>
      </c>
      <c r="M1121" s="898"/>
      <c r="N1121" s="33">
        <v>44631</v>
      </c>
      <c r="O1121" s="32">
        <v>3993</v>
      </c>
      <c r="P1121" s="83">
        <v>1100</v>
      </c>
      <c r="Q1121" s="83">
        <v>1100</v>
      </c>
      <c r="S1121" s="7">
        <f t="shared" si="34"/>
        <v>1100</v>
      </c>
      <c r="T1121" s="1318">
        <f t="shared" si="35"/>
        <v>1100</v>
      </c>
      <c r="U1121" s="22"/>
    </row>
    <row r="1122" spans="3:21" s="159" customFormat="1" ht="15">
      <c r="C1122" s="149" t="s">
        <v>2730</v>
      </c>
      <c r="D1122" s="150" t="s">
        <v>2708</v>
      </c>
      <c r="E1122" s="151"/>
      <c r="F1122" s="152"/>
      <c r="G1122" s="152" t="s">
        <v>168</v>
      </c>
      <c r="H1122" s="154" t="s">
        <v>294</v>
      </c>
      <c r="I1122" s="155"/>
      <c r="J1122" s="153"/>
      <c r="K1122" s="600">
        <v>63</v>
      </c>
      <c r="L1122" s="601"/>
      <c r="M1122" s="601"/>
      <c r="N1122" s="157">
        <v>44631</v>
      </c>
      <c r="O1122" s="156">
        <v>3993</v>
      </c>
      <c r="P1122" s="164">
        <v>6852</v>
      </c>
      <c r="Q1122" s="165">
        <v>6852</v>
      </c>
      <c r="S1122" s="7">
        <f t="shared" si="34"/>
        <v>6852</v>
      </c>
      <c r="T1122" s="1318">
        <f t="shared" si="35"/>
        <v>6852</v>
      </c>
      <c r="U1122" s="268"/>
    </row>
    <row r="1123" spans="3:21" s="7" customFormat="1" ht="18" customHeight="1">
      <c r="C1123" s="6" t="s">
        <v>2734</v>
      </c>
      <c r="D1123" s="13" t="s">
        <v>2003</v>
      </c>
      <c r="E1123" s="18" t="s">
        <v>2735</v>
      </c>
      <c r="F1123" s="92"/>
      <c r="G1123" s="21"/>
      <c r="H1123" s="17"/>
      <c r="I1123" s="56"/>
      <c r="J1123" s="17"/>
      <c r="K1123" s="611"/>
      <c r="L1123" s="33"/>
      <c r="M1123" s="33"/>
      <c r="N1123" s="33">
        <v>44635</v>
      </c>
      <c r="O1123" s="32">
        <v>4006</v>
      </c>
      <c r="P1123" s="83"/>
      <c r="Q1123" s="83"/>
      <c r="S1123" s="7">
        <f t="shared" si="34"/>
        <v>0</v>
      </c>
      <c r="T1123" s="1318">
        <f t="shared" si="35"/>
        <v>0</v>
      </c>
      <c r="U1123" s="128"/>
    </row>
    <row r="1124" spans="3:21" ht="18" customHeight="1">
      <c r="C1124" s="6" t="s">
        <v>2734</v>
      </c>
      <c r="D1124" s="13" t="s">
        <v>2003</v>
      </c>
      <c r="E1124" s="21" t="s">
        <v>2736</v>
      </c>
      <c r="F1124" s="596"/>
      <c r="G1124" s="21" t="s">
        <v>25</v>
      </c>
      <c r="H1124" s="93"/>
      <c r="I1124" s="94"/>
      <c r="J1124" s="55">
        <v>10</v>
      </c>
      <c r="K1124" s="611">
        <v>1.07</v>
      </c>
      <c r="L1124" s="598">
        <f>K1124*J1124</f>
        <v>10.700000000000001</v>
      </c>
      <c r="M1124" s="97" t="s">
        <v>224</v>
      </c>
      <c r="N1124" s="33">
        <v>44635</v>
      </c>
      <c r="O1124" s="32">
        <v>4006</v>
      </c>
      <c r="P1124" s="1">
        <v>82</v>
      </c>
      <c r="Q1124" s="83">
        <f>P1124*J1124</f>
        <v>820</v>
      </c>
      <c r="S1124" s="7">
        <f t="shared" si="34"/>
        <v>82</v>
      </c>
      <c r="T1124" s="1318">
        <f t="shared" si="35"/>
        <v>820</v>
      </c>
    </row>
    <row r="1125" spans="3:21" s="7" customFormat="1" ht="16.899999999999999" customHeight="1">
      <c r="C1125" s="6" t="s">
        <v>2734</v>
      </c>
      <c r="D1125" s="13" t="s">
        <v>2003</v>
      </c>
      <c r="E1125" s="21"/>
      <c r="F1125" s="285"/>
      <c r="G1125" s="38" t="s">
        <v>218</v>
      </c>
      <c r="H1125" s="8"/>
      <c r="I1125" s="94" ph="1"/>
      <c r="J1125" s="39">
        <v>1</v>
      </c>
      <c r="K1125" s="611">
        <v>15</v>
      </c>
      <c r="L1125" s="598">
        <f>K1125*J1125</f>
        <v>15</v>
      </c>
      <c r="M1125" s="898"/>
      <c r="N1125" s="33">
        <v>44635</v>
      </c>
      <c r="O1125" s="32">
        <v>4006</v>
      </c>
      <c r="P1125" s="83">
        <v>0</v>
      </c>
      <c r="Q1125" s="83">
        <f>P1125*J1125</f>
        <v>0</v>
      </c>
      <c r="S1125" s="7">
        <f t="shared" si="34"/>
        <v>0</v>
      </c>
      <c r="T1125" s="1318">
        <f t="shared" si="35"/>
        <v>0</v>
      </c>
      <c r="U1125" s="20"/>
    </row>
    <row r="1126" spans="3:21" s="159" customFormat="1" ht="15">
      <c r="C1126" s="149" t="s">
        <v>2734</v>
      </c>
      <c r="D1126" s="150" t="s">
        <v>2003</v>
      </c>
      <c r="E1126" s="151"/>
      <c r="F1126" s="152"/>
      <c r="G1126" s="152" t="s">
        <v>168</v>
      </c>
      <c r="H1126" s="154" t="s">
        <v>169</v>
      </c>
      <c r="I1126" s="155"/>
      <c r="J1126" s="153"/>
      <c r="K1126" s="885">
        <v>0</v>
      </c>
      <c r="L1126" s="157"/>
      <c r="M1126" s="157"/>
      <c r="N1126" s="157">
        <v>44635</v>
      </c>
      <c r="O1126" s="156">
        <v>4006</v>
      </c>
      <c r="P1126" s="164">
        <v>0</v>
      </c>
      <c r="Q1126" s="165">
        <v>0</v>
      </c>
      <c r="S1126" s="7">
        <f t="shared" si="34"/>
        <v>0</v>
      </c>
      <c r="T1126" s="1318">
        <f t="shared" si="35"/>
        <v>0</v>
      </c>
      <c r="U1126" s="268"/>
    </row>
    <row r="1127" spans="3:21" s="7" customFormat="1" ht="18" customHeight="1">
      <c r="C1127" s="6" t="s">
        <v>2737</v>
      </c>
      <c r="D1127" s="13" t="s">
        <v>2724</v>
      </c>
      <c r="E1127" s="18" t="s">
        <v>2735</v>
      </c>
      <c r="F1127" s="92"/>
      <c r="G1127" s="21"/>
      <c r="H1127" s="17"/>
      <c r="I1127" s="56"/>
      <c r="J1127" s="17"/>
      <c r="K1127" s="611"/>
      <c r="L1127" s="33"/>
      <c r="M1127" s="33"/>
      <c r="N1127" s="33">
        <v>44637</v>
      </c>
      <c r="O1127" s="32">
        <v>4014</v>
      </c>
      <c r="P1127" s="83"/>
      <c r="Q1127" s="83"/>
      <c r="S1127" s="7">
        <f t="shared" si="34"/>
        <v>0</v>
      </c>
      <c r="T1127" s="1318">
        <f t="shared" si="35"/>
        <v>0</v>
      </c>
      <c r="U1127" s="128"/>
    </row>
    <row r="1128" spans="3:21" ht="18" customHeight="1">
      <c r="C1128" s="6" t="s">
        <v>2737</v>
      </c>
      <c r="D1128" s="13" t="s">
        <v>2724</v>
      </c>
      <c r="E1128" s="21" t="s">
        <v>2738</v>
      </c>
      <c r="F1128" s="596"/>
      <c r="G1128" s="21" t="s">
        <v>25</v>
      </c>
      <c r="H1128" s="93"/>
      <c r="I1128" s="94"/>
      <c r="J1128" s="55">
        <v>10</v>
      </c>
      <c r="K1128" s="611">
        <v>1.9</v>
      </c>
      <c r="L1128" s="598">
        <f>K1128*J1128</f>
        <v>19</v>
      </c>
      <c r="M1128" s="97" t="s">
        <v>224</v>
      </c>
      <c r="N1128" s="33">
        <v>44637</v>
      </c>
      <c r="O1128" s="32">
        <v>4014</v>
      </c>
      <c r="P1128" s="1">
        <v>146</v>
      </c>
      <c r="Q1128" s="83">
        <f>P1128*J1128</f>
        <v>1460</v>
      </c>
      <c r="S1128" s="7">
        <f t="shared" si="34"/>
        <v>146</v>
      </c>
      <c r="T1128" s="1318">
        <f t="shared" si="35"/>
        <v>1460</v>
      </c>
    </row>
    <row r="1129" spans="3:21" ht="18" customHeight="1">
      <c r="C1129" s="6" t="s">
        <v>2737</v>
      </c>
      <c r="D1129" s="13" t="s">
        <v>2724</v>
      </c>
      <c r="E1129" s="21" t="s">
        <v>2739</v>
      </c>
      <c r="F1129" s="596"/>
      <c r="G1129" s="21" t="s">
        <v>25</v>
      </c>
      <c r="H1129" s="93"/>
      <c r="I1129" s="94"/>
      <c r="J1129" s="55">
        <v>10</v>
      </c>
      <c r="K1129" s="611">
        <v>0.84</v>
      </c>
      <c r="L1129" s="598">
        <f>K1129*J1129</f>
        <v>8.4</v>
      </c>
      <c r="M1129" s="97" t="s">
        <v>224</v>
      </c>
      <c r="N1129" s="33">
        <v>44637</v>
      </c>
      <c r="O1129" s="32">
        <v>4014</v>
      </c>
      <c r="P1129" s="1">
        <v>64</v>
      </c>
      <c r="Q1129" s="83">
        <f>P1129*J1129</f>
        <v>640</v>
      </c>
      <c r="S1129" s="7">
        <f t="shared" si="34"/>
        <v>64</v>
      </c>
      <c r="T1129" s="1318">
        <f t="shared" si="35"/>
        <v>640</v>
      </c>
    </row>
    <row r="1130" spans="3:21" s="7" customFormat="1" ht="16.899999999999999" customHeight="1">
      <c r="C1130" s="6" t="s">
        <v>2737</v>
      </c>
      <c r="D1130" s="13" t="s">
        <v>2724</v>
      </c>
      <c r="E1130" s="21"/>
      <c r="F1130" s="285"/>
      <c r="G1130" s="38" t="s">
        <v>218</v>
      </c>
      <c r="H1130" s="8"/>
      <c r="I1130" s="94" ph="1"/>
      <c r="J1130" s="39">
        <v>1</v>
      </c>
      <c r="K1130" s="611">
        <v>15</v>
      </c>
      <c r="L1130" s="598">
        <f>K1130*J1130</f>
        <v>15</v>
      </c>
      <c r="M1130" s="898"/>
      <c r="N1130" s="33">
        <v>44637</v>
      </c>
      <c r="O1130" s="32">
        <v>4014</v>
      </c>
      <c r="P1130" s="83">
        <v>900</v>
      </c>
      <c r="Q1130" s="83">
        <f>P1130*J1130</f>
        <v>900</v>
      </c>
      <c r="S1130" s="7">
        <f t="shared" si="34"/>
        <v>900</v>
      </c>
      <c r="T1130" s="1318">
        <f t="shared" si="35"/>
        <v>900</v>
      </c>
      <c r="U1130" s="20"/>
    </row>
    <row r="1131" spans="3:21" s="159" customFormat="1" ht="15">
      <c r="C1131" s="149" t="s">
        <v>2737</v>
      </c>
      <c r="D1131" s="150" t="s">
        <v>2724</v>
      </c>
      <c r="E1131" s="151"/>
      <c r="F1131" s="152"/>
      <c r="G1131" s="152" t="s">
        <v>168</v>
      </c>
      <c r="H1131" s="154" t="s">
        <v>170</v>
      </c>
      <c r="I1131" s="155"/>
      <c r="J1131" s="153"/>
      <c r="K1131" s="911">
        <v>39</v>
      </c>
      <c r="L1131" s="601"/>
      <c r="M1131" s="601"/>
      <c r="N1131" s="157">
        <v>44637</v>
      </c>
      <c r="O1131" s="156">
        <v>4014</v>
      </c>
      <c r="P1131" s="164">
        <v>4204</v>
      </c>
      <c r="Q1131" s="165">
        <v>4204</v>
      </c>
      <c r="S1131" s="7">
        <f t="shared" si="34"/>
        <v>4204</v>
      </c>
      <c r="T1131" s="1318">
        <f t="shared" si="35"/>
        <v>4204</v>
      </c>
      <c r="U1131" s="268"/>
    </row>
    <row r="1132" spans="3:21" s="7" customFormat="1" ht="15">
      <c r="C1132" s="6" t="s">
        <v>2740</v>
      </c>
      <c r="D1132" s="13" t="s">
        <v>2741</v>
      </c>
      <c r="E1132" s="18" t="s">
        <v>2742</v>
      </c>
      <c r="F1132" s="23"/>
      <c r="G1132" s="21"/>
      <c r="H1132" s="55"/>
      <c r="I1132" s="56"/>
      <c r="J1132" s="55"/>
      <c r="K1132" s="15" t="s">
        <v>8</v>
      </c>
      <c r="L1132" s="33"/>
      <c r="M1132" s="33"/>
      <c r="N1132" s="33">
        <v>44638</v>
      </c>
      <c r="O1132" s="32">
        <v>4016</v>
      </c>
      <c r="P1132" s="83"/>
      <c r="Q1132" s="83"/>
      <c r="S1132" s="7">
        <f t="shared" si="34"/>
        <v>0</v>
      </c>
      <c r="T1132" s="1318">
        <f t="shared" si="35"/>
        <v>0</v>
      </c>
      <c r="U1132" s="100"/>
    </row>
    <row r="1133" spans="3:21" s="7" customFormat="1" ht="15.75">
      <c r="C1133" s="6" t="s">
        <v>2740</v>
      </c>
      <c r="D1133" s="13" t="s">
        <v>2741</v>
      </c>
      <c r="E1133" s="740" t="s">
        <v>274</v>
      </c>
      <c r="F1133" s="23"/>
      <c r="G1133" s="21" t="s">
        <v>25</v>
      </c>
      <c r="H1133" s="163"/>
      <c r="I1133" s="163"/>
      <c r="J1133" s="163">
        <v>100</v>
      </c>
      <c r="K1133" s="611">
        <v>0.91</v>
      </c>
      <c r="L1133" s="598">
        <f>K1133*J1133</f>
        <v>91</v>
      </c>
      <c r="M1133" s="97" t="s">
        <v>224</v>
      </c>
      <c r="N1133" s="33">
        <v>44638</v>
      </c>
      <c r="O1133" s="32">
        <v>4016</v>
      </c>
      <c r="P1133" s="83">
        <v>70</v>
      </c>
      <c r="Q1133" s="83">
        <f>P1133*J1133</f>
        <v>7000</v>
      </c>
      <c r="S1133" s="7">
        <f t="shared" si="34"/>
        <v>70</v>
      </c>
      <c r="T1133" s="1318">
        <f t="shared" si="35"/>
        <v>7000</v>
      </c>
      <c r="U1133" s="13"/>
    </row>
    <row r="1134" spans="3:21" ht="15">
      <c r="C1134" s="6" t="s">
        <v>2740</v>
      </c>
      <c r="D1134" s="13" t="s">
        <v>2741</v>
      </c>
      <c r="E1134" s="48"/>
      <c r="F1134" s="38"/>
      <c r="G1134" s="38" t="s">
        <v>218</v>
      </c>
      <c r="H1134" s="39"/>
      <c r="I1134" s="94"/>
      <c r="J1134" s="39">
        <v>1</v>
      </c>
      <c r="K1134" s="611">
        <v>12</v>
      </c>
      <c r="L1134" s="598">
        <f>K1134*J1134</f>
        <v>12</v>
      </c>
      <c r="M1134" s="33"/>
      <c r="N1134" s="33">
        <v>44638</v>
      </c>
      <c r="O1134" s="32">
        <v>4016</v>
      </c>
      <c r="P1134" s="83">
        <v>900</v>
      </c>
      <c r="Q1134" s="83">
        <f>P1134*J1134</f>
        <v>900</v>
      </c>
      <c r="S1134" s="7">
        <f t="shared" si="34"/>
        <v>900</v>
      </c>
      <c r="T1134" s="1318">
        <f t="shared" si="35"/>
        <v>900</v>
      </c>
      <c r="U1134" s="22"/>
    </row>
    <row r="1135" spans="3:21" s="159" customFormat="1" ht="15">
      <c r="C1135" s="149" t="s">
        <v>2740</v>
      </c>
      <c r="D1135" s="150" t="s">
        <v>2741</v>
      </c>
      <c r="E1135" s="151"/>
      <c r="F1135" s="152"/>
      <c r="G1135" s="152" t="s">
        <v>168</v>
      </c>
      <c r="H1135" s="154" t="s">
        <v>169</v>
      </c>
      <c r="I1135" s="155"/>
      <c r="J1135" s="153"/>
      <c r="K1135" s="600">
        <v>0</v>
      </c>
      <c r="L1135" s="157"/>
      <c r="M1135" s="157"/>
      <c r="N1135" s="157">
        <v>44638</v>
      </c>
      <c r="O1135" s="156">
        <v>4016</v>
      </c>
      <c r="P1135" s="164">
        <v>0</v>
      </c>
      <c r="Q1135" s="165">
        <v>0</v>
      </c>
      <c r="S1135" s="7">
        <f t="shared" si="34"/>
        <v>0</v>
      </c>
      <c r="T1135" s="1318">
        <f t="shared" si="35"/>
        <v>0</v>
      </c>
      <c r="U1135" s="268"/>
    </row>
    <row r="1136" spans="3:21" s="7" customFormat="1" ht="18" customHeight="1">
      <c r="C1136" s="6" t="s">
        <v>2743</v>
      </c>
      <c r="D1136" s="13" t="s">
        <v>2744</v>
      </c>
      <c r="E1136" s="18" t="s">
        <v>2745</v>
      </c>
      <c r="F1136" s="23"/>
      <c r="G1136" s="21"/>
      <c r="H1136" s="55"/>
      <c r="I1136" s="56"/>
      <c r="J1136" s="55"/>
      <c r="K1136" s="15" t="s">
        <v>8</v>
      </c>
      <c r="L1136" s="33"/>
      <c r="M1136" s="33"/>
      <c r="N1136" s="33">
        <v>44700</v>
      </c>
      <c r="O1136" s="32">
        <v>4206</v>
      </c>
      <c r="P1136" s="83"/>
      <c r="Q1136" s="83"/>
      <c r="S1136" s="7">
        <f t="shared" si="34"/>
        <v>0</v>
      </c>
      <c r="T1136" s="1318">
        <f t="shared" si="35"/>
        <v>0</v>
      </c>
      <c r="U1136" s="83">
        <v>110</v>
      </c>
    </row>
    <row r="1137" spans="3:21" ht="18" customHeight="1">
      <c r="C1137" s="6" t="s">
        <v>2743</v>
      </c>
      <c r="D1137" s="13" t="s">
        <v>2744</v>
      </c>
      <c r="E1137" s="21">
        <v>5636</v>
      </c>
      <c r="F1137" s="23" t="s">
        <v>1808</v>
      </c>
      <c r="G1137" s="21" t="s">
        <v>2746</v>
      </c>
      <c r="H1137" s="93">
        <v>50</v>
      </c>
      <c r="I1137" s="94">
        <v>4</v>
      </c>
      <c r="J1137" s="55">
        <f>H1137*I1137</f>
        <v>200</v>
      </c>
      <c r="K1137" s="910">
        <v>0.49</v>
      </c>
      <c r="L1137" s="598">
        <f>K1137*J1137</f>
        <v>98</v>
      </c>
      <c r="M1137" s="97" t="s">
        <v>224</v>
      </c>
      <c r="N1137" s="33">
        <v>44700</v>
      </c>
      <c r="O1137" s="32">
        <v>4206</v>
      </c>
      <c r="P1137" s="83">
        <v>32</v>
      </c>
      <c r="Q1137" s="83">
        <f>P1137*J1137</f>
        <v>6400</v>
      </c>
      <c r="R1137" s="700"/>
      <c r="S1137" s="7">
        <f t="shared" si="34"/>
        <v>32</v>
      </c>
      <c r="T1137" s="1318">
        <f t="shared" si="35"/>
        <v>6400</v>
      </c>
      <c r="U1137" s="83">
        <v>110</v>
      </c>
    </row>
    <row r="1138" spans="3:21" ht="18" customHeight="1">
      <c r="C1138" s="6" t="s">
        <v>2743</v>
      </c>
      <c r="D1138" s="13" t="s">
        <v>2744</v>
      </c>
      <c r="E1138" s="21">
        <v>5636</v>
      </c>
      <c r="F1138" s="23" t="s">
        <v>1808</v>
      </c>
      <c r="G1138" s="21" t="s">
        <v>2747</v>
      </c>
      <c r="H1138" s="93">
        <v>50</v>
      </c>
      <c r="I1138" s="94">
        <v>9</v>
      </c>
      <c r="J1138" s="55">
        <f>H1138*I1138</f>
        <v>450</v>
      </c>
      <c r="K1138" s="910">
        <v>0.49</v>
      </c>
      <c r="L1138" s="598">
        <f>K1138*J1138</f>
        <v>220.5</v>
      </c>
      <c r="M1138" s="97" t="s">
        <v>224</v>
      </c>
      <c r="N1138" s="33">
        <v>44700</v>
      </c>
      <c r="O1138" s="32">
        <v>4206</v>
      </c>
      <c r="P1138" s="83">
        <v>32</v>
      </c>
      <c r="Q1138" s="83">
        <f>P1138*J1138</f>
        <v>14400</v>
      </c>
      <c r="R1138" s="700"/>
      <c r="S1138" s="7">
        <f t="shared" si="34"/>
        <v>32</v>
      </c>
      <c r="T1138" s="1318">
        <f t="shared" si="35"/>
        <v>14400</v>
      </c>
      <c r="U1138" s="83">
        <v>110</v>
      </c>
    </row>
    <row r="1139" spans="3:21" ht="18" customHeight="1">
      <c r="C1139" s="6" t="s">
        <v>2743</v>
      </c>
      <c r="D1139" s="13" t="s">
        <v>2744</v>
      </c>
      <c r="E1139" s="21">
        <v>5636</v>
      </c>
      <c r="F1139" s="23" t="s">
        <v>1808</v>
      </c>
      <c r="G1139" s="21" t="s">
        <v>2748</v>
      </c>
      <c r="H1139" s="93">
        <v>50</v>
      </c>
      <c r="I1139" s="94">
        <v>12</v>
      </c>
      <c r="J1139" s="55">
        <f>H1139*I1139</f>
        <v>600</v>
      </c>
      <c r="K1139" s="910">
        <v>0.42</v>
      </c>
      <c r="L1139" s="598">
        <f>K1139*J1139</f>
        <v>252</v>
      </c>
      <c r="M1139" s="97" t="s">
        <v>224</v>
      </c>
      <c r="N1139" s="33">
        <v>44700</v>
      </c>
      <c r="O1139" s="32">
        <v>4206</v>
      </c>
      <c r="P1139" s="83">
        <v>27.4</v>
      </c>
      <c r="Q1139" s="83">
        <f>P1139*J1139</f>
        <v>16440</v>
      </c>
      <c r="R1139" s="700"/>
      <c r="S1139" s="7">
        <f t="shared" si="34"/>
        <v>27.4</v>
      </c>
      <c r="T1139" s="1318">
        <f t="shared" si="35"/>
        <v>16440</v>
      </c>
      <c r="U1139" s="83">
        <v>110</v>
      </c>
    </row>
    <row r="1140" spans="3:21" ht="18" customHeight="1">
      <c r="C1140" s="6" t="s">
        <v>2743</v>
      </c>
      <c r="D1140" s="13" t="s">
        <v>2744</v>
      </c>
      <c r="E1140" s="21"/>
      <c r="F1140" s="38"/>
      <c r="G1140" s="38" t="s">
        <v>218</v>
      </c>
      <c r="H1140" s="39"/>
      <c r="I1140" s="94"/>
      <c r="J1140" s="39">
        <v>1</v>
      </c>
      <c r="K1140" s="611">
        <v>12</v>
      </c>
      <c r="L1140" s="598">
        <f>K1140*J1140</f>
        <v>12</v>
      </c>
      <c r="M1140" s="33"/>
      <c r="N1140" s="33">
        <v>44700</v>
      </c>
      <c r="O1140" s="32">
        <v>4206</v>
      </c>
      <c r="P1140" s="83">
        <v>0</v>
      </c>
      <c r="Q1140" s="83">
        <f>P1140*J1140</f>
        <v>0</v>
      </c>
      <c r="S1140" s="7">
        <f t="shared" si="34"/>
        <v>0</v>
      </c>
      <c r="T1140" s="1318">
        <f t="shared" si="35"/>
        <v>0</v>
      </c>
      <c r="U1140" s="83">
        <v>110</v>
      </c>
    </row>
    <row r="1141" spans="3:21" s="159" customFormat="1" ht="18" customHeight="1">
      <c r="C1141" s="149" t="s">
        <v>2743</v>
      </c>
      <c r="D1141" s="150" t="s">
        <v>2744</v>
      </c>
      <c r="E1141" s="151"/>
      <c r="F1141" s="152"/>
      <c r="G1141" s="152" t="s">
        <v>168</v>
      </c>
      <c r="H1141" s="154" t="s">
        <v>169</v>
      </c>
      <c r="I1141" s="155"/>
      <c r="J1141" s="153"/>
      <c r="K1141" s="600">
        <v>0</v>
      </c>
      <c r="L1141" s="601"/>
      <c r="M1141" s="601"/>
      <c r="N1141" s="157">
        <v>44700</v>
      </c>
      <c r="O1141" s="156">
        <v>4206</v>
      </c>
      <c r="P1141" s="164">
        <v>0</v>
      </c>
      <c r="Q1141" s="165">
        <v>0</v>
      </c>
      <c r="S1141" s="7">
        <f t="shared" si="34"/>
        <v>0</v>
      </c>
      <c r="T1141" s="1318">
        <f t="shared" si="35"/>
        <v>0</v>
      </c>
      <c r="U1141" s="83">
        <v>110</v>
      </c>
    </row>
    <row r="1142" spans="3:21" s="7" customFormat="1" ht="18" customHeight="1">
      <c r="C1142" s="6" t="s">
        <v>2749</v>
      </c>
      <c r="D1142" s="13" t="s">
        <v>2277</v>
      </c>
      <c r="E1142" s="18" t="s">
        <v>19</v>
      </c>
      <c r="F1142" s="23"/>
      <c r="G1142" s="21"/>
      <c r="H1142" s="55"/>
      <c r="I1142" s="56"/>
      <c r="J1142" s="55"/>
      <c r="K1142" s="15" t="s">
        <v>8</v>
      </c>
      <c r="L1142" s="688"/>
      <c r="M1142" s="688"/>
      <c r="N1142" s="33">
        <v>44690</v>
      </c>
      <c r="O1142" s="32">
        <v>4172</v>
      </c>
      <c r="P1142" s="83"/>
      <c r="Q1142" s="83"/>
      <c r="S1142" s="7">
        <f t="shared" si="34"/>
        <v>0</v>
      </c>
      <c r="T1142" s="1318">
        <f t="shared" si="35"/>
        <v>0</v>
      </c>
      <c r="U1142" s="83">
        <v>110</v>
      </c>
    </row>
    <row r="1143" spans="3:21" s="7" customFormat="1" ht="18" customHeight="1">
      <c r="C1143" s="6" t="s">
        <v>2749</v>
      </c>
      <c r="D1143" s="13" t="s">
        <v>2277</v>
      </c>
      <c r="E1143" s="740" t="s">
        <v>2045</v>
      </c>
      <c r="F1143" s="23"/>
      <c r="G1143" s="21" t="s">
        <v>25</v>
      </c>
      <c r="H1143" s="93"/>
      <c r="I1143" s="94"/>
      <c r="J1143" s="55">
        <v>60</v>
      </c>
      <c r="K1143" s="597">
        <v>1.06</v>
      </c>
      <c r="L1143" s="598">
        <f>K1143*J1143</f>
        <v>63.6</v>
      </c>
      <c r="M1143" s="97" t="s">
        <v>224</v>
      </c>
      <c r="N1143" s="33">
        <v>44690</v>
      </c>
      <c r="O1143" s="32">
        <v>4172</v>
      </c>
      <c r="P1143" s="83">
        <v>22</v>
      </c>
      <c r="Q1143" s="83">
        <f>P1143*J1143</f>
        <v>1320</v>
      </c>
      <c r="S1143" s="7">
        <f t="shared" si="34"/>
        <v>22</v>
      </c>
      <c r="T1143" s="1318">
        <f t="shared" si="35"/>
        <v>1320</v>
      </c>
      <c r="U1143" s="83">
        <v>110</v>
      </c>
    </row>
    <row r="1144" spans="3:21" ht="18" customHeight="1">
      <c r="C1144" s="6" t="s">
        <v>2749</v>
      </c>
      <c r="D1144" s="13" t="s">
        <v>2277</v>
      </c>
      <c r="E1144" s="21"/>
      <c r="F1144" s="38"/>
      <c r="G1144" s="38" t="s">
        <v>218</v>
      </c>
      <c r="H1144" s="39"/>
      <c r="I1144" s="94"/>
      <c r="J1144" s="39">
        <v>1</v>
      </c>
      <c r="K1144" s="611">
        <v>12</v>
      </c>
      <c r="L1144" s="598">
        <f>K1144*J1144</f>
        <v>12</v>
      </c>
      <c r="M1144" s="898"/>
      <c r="N1144" s="33">
        <v>44690</v>
      </c>
      <c r="O1144" s="32">
        <v>4172</v>
      </c>
      <c r="P1144" s="83">
        <v>900</v>
      </c>
      <c r="Q1144" s="83">
        <f>P1144*J1144</f>
        <v>900</v>
      </c>
      <c r="S1144" s="7">
        <f t="shared" si="34"/>
        <v>900</v>
      </c>
      <c r="T1144" s="1318">
        <f t="shared" si="35"/>
        <v>900</v>
      </c>
      <c r="U1144" s="83">
        <v>110</v>
      </c>
    </row>
    <row r="1145" spans="3:21" s="159" customFormat="1" ht="18" customHeight="1">
      <c r="C1145" s="149" t="s">
        <v>2749</v>
      </c>
      <c r="D1145" s="150" t="s">
        <v>2277</v>
      </c>
      <c r="E1145" s="151"/>
      <c r="F1145" s="152"/>
      <c r="G1145" s="152" t="s">
        <v>168</v>
      </c>
      <c r="H1145" s="154" t="s">
        <v>169</v>
      </c>
      <c r="I1145" s="155"/>
      <c r="J1145" s="153"/>
      <c r="K1145" s="600">
        <v>0</v>
      </c>
      <c r="L1145" s="601"/>
      <c r="M1145" s="601"/>
      <c r="N1145" s="157">
        <v>44690</v>
      </c>
      <c r="O1145" s="156">
        <v>4172</v>
      </c>
      <c r="P1145" s="164">
        <v>0</v>
      </c>
      <c r="Q1145" s="165">
        <v>0</v>
      </c>
      <c r="S1145" s="7">
        <f t="shared" si="34"/>
        <v>0</v>
      </c>
      <c r="T1145" s="1318">
        <f t="shared" si="35"/>
        <v>0</v>
      </c>
      <c r="U1145" s="83">
        <v>110</v>
      </c>
    </row>
    <row r="1146" spans="3:21" s="7" customFormat="1" ht="18" customHeight="1">
      <c r="C1146" s="6" t="s">
        <v>2750</v>
      </c>
      <c r="D1146" s="13" t="s">
        <v>1812</v>
      </c>
      <c r="E1146" s="18" t="s">
        <v>156</v>
      </c>
      <c r="F1146" s="23"/>
      <c r="G1146" s="21"/>
      <c r="H1146" s="39"/>
      <c r="I1146" s="56"/>
      <c r="J1146" s="55"/>
      <c r="K1146" s="15" t="s">
        <v>8</v>
      </c>
      <c r="L1146" s="33"/>
      <c r="M1146" s="33"/>
      <c r="N1146" s="33">
        <v>44700</v>
      </c>
      <c r="O1146" s="32">
        <v>4206</v>
      </c>
      <c r="P1146" s="83"/>
      <c r="Q1146" s="83"/>
      <c r="S1146" s="7">
        <f t="shared" si="34"/>
        <v>0</v>
      </c>
      <c r="T1146" s="1318">
        <f t="shared" si="35"/>
        <v>0</v>
      </c>
      <c r="U1146" s="83">
        <v>110</v>
      </c>
    </row>
    <row r="1147" spans="3:21" ht="18" customHeight="1">
      <c r="C1147" s="6" t="s">
        <v>2750</v>
      </c>
      <c r="D1147" s="13" t="s">
        <v>1812</v>
      </c>
      <c r="E1147" s="21">
        <v>3717</v>
      </c>
      <c r="F1147" s="23">
        <v>32</v>
      </c>
      <c r="G1147" s="21" t="s">
        <v>3953</v>
      </c>
      <c r="H1147" s="93">
        <v>30</v>
      </c>
      <c r="I1147" s="94">
        <v>2</v>
      </c>
      <c r="J1147" s="55">
        <f>H1147*I1147</f>
        <v>60</v>
      </c>
      <c r="K1147" s="910">
        <v>0.61</v>
      </c>
      <c r="L1147" s="598">
        <f>K1147*J1147</f>
        <v>36.6</v>
      </c>
      <c r="M1147" s="97" t="s">
        <v>224</v>
      </c>
      <c r="N1147" s="33">
        <v>44700</v>
      </c>
      <c r="O1147" s="32">
        <v>4206</v>
      </c>
      <c r="P1147" s="83">
        <v>40</v>
      </c>
      <c r="Q1147" s="83">
        <f>P1147*J1147</f>
        <v>2400</v>
      </c>
      <c r="R1147" s="700"/>
      <c r="S1147" s="7">
        <f t="shared" si="34"/>
        <v>40</v>
      </c>
      <c r="T1147" s="1318">
        <f t="shared" si="35"/>
        <v>2400</v>
      </c>
      <c r="U1147" s="83">
        <v>110</v>
      </c>
    </row>
    <row r="1148" spans="3:21" ht="18" customHeight="1">
      <c r="C1148" s="6" t="s">
        <v>2750</v>
      </c>
      <c r="D1148" s="13" t="s">
        <v>1812</v>
      </c>
      <c r="E1148" s="21">
        <v>3717</v>
      </c>
      <c r="F1148" s="23">
        <v>32</v>
      </c>
      <c r="G1148" s="21" t="s">
        <v>2752</v>
      </c>
      <c r="H1148" s="93">
        <v>30</v>
      </c>
      <c r="I1148" s="94">
        <v>4</v>
      </c>
      <c r="J1148" s="55">
        <f>H1148*I1148</f>
        <v>120</v>
      </c>
      <c r="K1148" s="910">
        <v>0.61</v>
      </c>
      <c r="L1148" s="598">
        <f>K1148*J1148</f>
        <v>73.2</v>
      </c>
      <c r="M1148" s="97" t="s">
        <v>224</v>
      </c>
      <c r="N1148" s="33">
        <v>44700</v>
      </c>
      <c r="O1148" s="32">
        <v>4206</v>
      </c>
      <c r="P1148" s="83">
        <v>40</v>
      </c>
      <c r="Q1148" s="83">
        <f>P1148*J1148</f>
        <v>4800</v>
      </c>
      <c r="R1148" s="700"/>
      <c r="S1148" s="7">
        <f t="shared" si="34"/>
        <v>40</v>
      </c>
      <c r="T1148" s="1318">
        <f t="shared" si="35"/>
        <v>4800</v>
      </c>
      <c r="U1148" s="83">
        <v>110</v>
      </c>
    </row>
    <row r="1149" spans="3:21" ht="18" customHeight="1">
      <c r="C1149" s="6" t="s">
        <v>2750</v>
      </c>
      <c r="D1149" s="13" t="s">
        <v>1812</v>
      </c>
      <c r="E1149" s="48"/>
      <c r="F1149" s="38"/>
      <c r="G1149" s="38" t="s">
        <v>218</v>
      </c>
      <c r="H1149" s="39"/>
      <c r="I1149" s="94"/>
      <c r="J1149" s="39">
        <v>1</v>
      </c>
      <c r="K1149" s="611">
        <v>12</v>
      </c>
      <c r="L1149" s="598">
        <f>K1149*J1149</f>
        <v>12</v>
      </c>
      <c r="M1149" s="33"/>
      <c r="N1149" s="33">
        <v>44700</v>
      </c>
      <c r="O1149" s="32">
        <v>4206</v>
      </c>
      <c r="P1149" s="83">
        <v>0</v>
      </c>
      <c r="Q1149" s="83">
        <f>P1149*J1149</f>
        <v>0</v>
      </c>
      <c r="S1149" s="7">
        <f t="shared" si="34"/>
        <v>0</v>
      </c>
      <c r="T1149" s="1318">
        <f t="shared" si="35"/>
        <v>0</v>
      </c>
      <c r="U1149" s="83">
        <v>110</v>
      </c>
    </row>
    <row r="1150" spans="3:21" s="159" customFormat="1" ht="18" customHeight="1">
      <c r="C1150" s="149" t="s">
        <v>2750</v>
      </c>
      <c r="D1150" s="150" t="s">
        <v>1812</v>
      </c>
      <c r="E1150" s="151"/>
      <c r="F1150" s="152"/>
      <c r="G1150" s="152" t="s">
        <v>168</v>
      </c>
      <c r="H1150" s="154" t="s">
        <v>169</v>
      </c>
      <c r="I1150" s="155"/>
      <c r="J1150" s="153"/>
      <c r="K1150" s="600">
        <v>0</v>
      </c>
      <c r="L1150" s="601"/>
      <c r="M1150" s="601"/>
      <c r="N1150" s="157">
        <v>44700</v>
      </c>
      <c r="O1150" s="156">
        <v>4206</v>
      </c>
      <c r="P1150" s="164">
        <v>0</v>
      </c>
      <c r="Q1150" s="165">
        <v>0</v>
      </c>
      <c r="S1150" s="7">
        <f t="shared" si="34"/>
        <v>0</v>
      </c>
      <c r="T1150" s="1318">
        <f t="shared" si="35"/>
        <v>0</v>
      </c>
      <c r="U1150" s="83">
        <v>110</v>
      </c>
    </row>
    <row r="1151" spans="3:21" s="7" customFormat="1" ht="18" customHeight="1">
      <c r="C1151" s="6" t="s">
        <v>2753</v>
      </c>
      <c r="D1151" s="13" t="s">
        <v>2277</v>
      </c>
      <c r="E1151" s="18" t="s">
        <v>19</v>
      </c>
      <c r="F1151" s="23"/>
      <c r="G1151" s="21"/>
      <c r="H1151" s="55"/>
      <c r="I1151" s="56"/>
      <c r="J1151" s="55"/>
      <c r="K1151" s="15" t="s">
        <v>8</v>
      </c>
      <c r="L1151" s="688"/>
      <c r="M1151" s="688"/>
      <c r="N1151" s="33">
        <v>44767</v>
      </c>
      <c r="O1151" s="32">
        <v>4389</v>
      </c>
      <c r="P1151" s="83"/>
      <c r="Q1151" s="83"/>
      <c r="S1151" s="7">
        <f t="shared" si="34"/>
        <v>0</v>
      </c>
      <c r="T1151" s="1318">
        <f t="shared" si="35"/>
        <v>0</v>
      </c>
      <c r="U1151" s="83">
        <v>110</v>
      </c>
    </row>
    <row r="1152" spans="3:21" s="7" customFormat="1" ht="18" customHeight="1">
      <c r="C1152" s="6" t="s">
        <v>2753</v>
      </c>
      <c r="D1152" s="13" t="s">
        <v>2277</v>
      </c>
      <c r="E1152" s="740" t="s">
        <v>2280</v>
      </c>
      <c r="F1152" s="23"/>
      <c r="G1152" s="21" t="s">
        <v>25</v>
      </c>
      <c r="H1152" s="93">
        <v>13.7</v>
      </c>
      <c r="I1152" s="94">
        <v>8</v>
      </c>
      <c r="J1152" s="108">
        <f>H1152*I1152</f>
        <v>109.6</v>
      </c>
      <c r="K1152" s="597">
        <v>5.46</v>
      </c>
      <c r="L1152" s="598">
        <f>K1152*J1152</f>
        <v>598.41599999999994</v>
      </c>
      <c r="M1152" s="97" t="s">
        <v>224</v>
      </c>
      <c r="N1152" s="33">
        <v>44767</v>
      </c>
      <c r="O1152" s="32">
        <v>4389</v>
      </c>
      <c r="P1152" s="83">
        <v>450</v>
      </c>
      <c r="Q1152" s="83">
        <f>P1152*J1152</f>
        <v>49320</v>
      </c>
      <c r="S1152" s="7">
        <f t="shared" si="34"/>
        <v>450</v>
      </c>
      <c r="T1152" s="1318">
        <f t="shared" si="35"/>
        <v>49320</v>
      </c>
      <c r="U1152" s="83">
        <v>110</v>
      </c>
    </row>
    <row r="1153" spans="3:26" ht="18" customHeight="1">
      <c r="C1153" s="6" t="s">
        <v>2753</v>
      </c>
      <c r="D1153" s="13" t="s">
        <v>2277</v>
      </c>
      <c r="E1153" s="21"/>
      <c r="F1153" s="38"/>
      <c r="G1153" s="38" t="s">
        <v>218</v>
      </c>
      <c r="H1153" s="39"/>
      <c r="I1153" s="94"/>
      <c r="J1153" s="39">
        <v>1</v>
      </c>
      <c r="K1153" s="611">
        <v>12</v>
      </c>
      <c r="L1153" s="598">
        <f>K1153*J1153</f>
        <v>12</v>
      </c>
      <c r="M1153" s="898"/>
      <c r="N1153" s="33">
        <v>44767</v>
      </c>
      <c r="O1153" s="32">
        <v>4389</v>
      </c>
      <c r="P1153" s="83">
        <v>0</v>
      </c>
      <c r="Q1153" s="83">
        <f>P1153*J1153</f>
        <v>0</v>
      </c>
      <c r="S1153" s="7">
        <f t="shared" si="34"/>
        <v>0</v>
      </c>
      <c r="T1153" s="1318">
        <f t="shared" si="35"/>
        <v>0</v>
      </c>
      <c r="U1153" s="83">
        <v>110</v>
      </c>
    </row>
    <row r="1154" spans="3:26" s="159" customFormat="1" ht="18" customHeight="1">
      <c r="C1154" s="149" t="s">
        <v>2753</v>
      </c>
      <c r="D1154" s="150" t="s">
        <v>2277</v>
      </c>
      <c r="E1154" s="151"/>
      <c r="F1154" s="152"/>
      <c r="G1154" s="152" t="s">
        <v>168</v>
      </c>
      <c r="H1154" s="154" t="s">
        <v>169</v>
      </c>
      <c r="I1154" s="155"/>
      <c r="J1154" s="153"/>
      <c r="K1154" s="600">
        <v>0</v>
      </c>
      <c r="L1154" s="601"/>
      <c r="M1154" s="601"/>
      <c r="N1154" s="157">
        <v>44767</v>
      </c>
      <c r="O1154" s="156">
        <v>4389</v>
      </c>
      <c r="P1154" s="164">
        <v>0</v>
      </c>
      <c r="Q1154" s="165">
        <v>0</v>
      </c>
      <c r="S1154" s="7">
        <f t="shared" si="34"/>
        <v>0</v>
      </c>
      <c r="T1154" s="1318">
        <f t="shared" si="35"/>
        <v>0</v>
      </c>
      <c r="U1154" s="83">
        <v>110</v>
      </c>
    </row>
    <row r="1155" spans="3:26" ht="18" customHeight="1">
      <c r="C1155" s="6" t="s">
        <v>2754</v>
      </c>
      <c r="D1155" s="13" t="s">
        <v>1812</v>
      </c>
      <c r="E1155" s="16" t="s">
        <v>84</v>
      </c>
      <c r="F1155" s="253"/>
      <c r="G1155" s="237"/>
      <c r="H1155" s="238" t="s">
        <v>265</v>
      </c>
      <c r="I1155" s="254"/>
      <c r="J1155" s="255"/>
      <c r="K1155" s="95" t="s">
        <v>47</v>
      </c>
      <c r="L1155" s="115"/>
      <c r="M1155" s="33"/>
      <c r="N1155" s="33">
        <v>44735</v>
      </c>
      <c r="O1155" s="32">
        <v>4309</v>
      </c>
      <c r="P1155" s="83"/>
      <c r="Q1155" s="83"/>
      <c r="R1155" s="7"/>
      <c r="S1155" s="7">
        <f t="shared" si="34"/>
        <v>0</v>
      </c>
      <c r="T1155" s="1318">
        <f t="shared" si="35"/>
        <v>0</v>
      </c>
      <c r="U1155" s="83">
        <v>125</v>
      </c>
      <c r="V1155" s="7"/>
      <c r="W1155" s="7"/>
      <c r="X1155" s="7"/>
      <c r="Y1155" s="7"/>
      <c r="Z1155" s="7"/>
    </row>
    <row r="1156" spans="3:26" ht="18" customHeight="1">
      <c r="C1156" s="6" t="s">
        <v>2754</v>
      </c>
      <c r="D1156" s="13" t="s">
        <v>1812</v>
      </c>
      <c r="E1156" s="21">
        <v>14552</v>
      </c>
      <c r="F1156" s="23">
        <v>25</v>
      </c>
      <c r="G1156" s="203" t="s">
        <v>37</v>
      </c>
      <c r="H1156" s="93">
        <v>30</v>
      </c>
      <c r="I1156" s="94">
        <v>1</v>
      </c>
      <c r="J1156" s="8">
        <f>H1156*I1156</f>
        <v>30</v>
      </c>
      <c r="K1156" s="597">
        <v>0.99</v>
      </c>
      <c r="L1156" s="598">
        <f>K1156*J1156</f>
        <v>29.7</v>
      </c>
      <c r="M1156" s="97" t="s">
        <v>257</v>
      </c>
      <c r="N1156" s="33">
        <v>44735</v>
      </c>
      <c r="O1156" s="32">
        <v>4309</v>
      </c>
      <c r="P1156" s="83">
        <v>65</v>
      </c>
      <c r="Q1156" s="83">
        <f>P1156*J1156</f>
        <v>1950</v>
      </c>
      <c r="S1156" s="7">
        <f t="shared" si="34"/>
        <v>65</v>
      </c>
      <c r="T1156" s="1318">
        <f t="shared" si="35"/>
        <v>1950</v>
      </c>
      <c r="U1156" s="83">
        <v>125</v>
      </c>
    </row>
    <row r="1157" spans="3:26" ht="18" customHeight="1">
      <c r="C1157" s="6" t="s">
        <v>2754</v>
      </c>
      <c r="D1157" s="13" t="s">
        <v>1812</v>
      </c>
      <c r="E1157" s="21">
        <v>14552</v>
      </c>
      <c r="F1157" s="23">
        <v>25</v>
      </c>
      <c r="G1157" s="203" t="s">
        <v>2755</v>
      </c>
      <c r="H1157" s="93">
        <v>30</v>
      </c>
      <c r="I1157" s="94">
        <v>1</v>
      </c>
      <c r="J1157" s="8">
        <f>H1157*I1157</f>
        <v>30</v>
      </c>
      <c r="K1157" s="597">
        <v>0.99</v>
      </c>
      <c r="L1157" s="598">
        <f>K1157*J1157</f>
        <v>29.7</v>
      </c>
      <c r="M1157" s="97" t="s">
        <v>257</v>
      </c>
      <c r="N1157" s="33">
        <v>44735</v>
      </c>
      <c r="O1157" s="32">
        <v>4309</v>
      </c>
      <c r="P1157" s="83">
        <v>65</v>
      </c>
      <c r="Q1157" s="83">
        <f>P1157*J1157</f>
        <v>1950</v>
      </c>
      <c r="S1157" s="7">
        <f t="shared" si="34"/>
        <v>65</v>
      </c>
      <c r="T1157" s="1318">
        <f t="shared" si="35"/>
        <v>1950</v>
      </c>
      <c r="U1157" s="83">
        <v>125</v>
      </c>
    </row>
    <row r="1158" spans="3:26" ht="18" customHeight="1">
      <c r="C1158" s="6" t="s">
        <v>2754</v>
      </c>
      <c r="D1158" s="13" t="s">
        <v>1812</v>
      </c>
      <c r="E1158" s="21">
        <v>14552</v>
      </c>
      <c r="F1158" s="23">
        <v>25</v>
      </c>
      <c r="G1158" s="203" t="s">
        <v>2756</v>
      </c>
      <c r="H1158" s="93">
        <v>30</v>
      </c>
      <c r="I1158" s="94">
        <v>1</v>
      </c>
      <c r="J1158" s="8">
        <f>H1158*I1158</f>
        <v>30</v>
      </c>
      <c r="K1158" s="597">
        <v>0.99</v>
      </c>
      <c r="L1158" s="598">
        <f>K1158*J1158</f>
        <v>29.7</v>
      </c>
      <c r="M1158" s="97" t="s">
        <v>257</v>
      </c>
      <c r="N1158" s="33">
        <v>44735</v>
      </c>
      <c r="O1158" s="32">
        <v>4309</v>
      </c>
      <c r="P1158" s="83">
        <v>65</v>
      </c>
      <c r="Q1158" s="83">
        <f>P1158*J1158</f>
        <v>1950</v>
      </c>
      <c r="S1158" s="7">
        <f t="shared" si="34"/>
        <v>65</v>
      </c>
      <c r="T1158" s="1318">
        <f t="shared" si="35"/>
        <v>1950</v>
      </c>
      <c r="U1158" s="83">
        <v>125</v>
      </c>
    </row>
    <row r="1159" spans="3:26" ht="18" customHeight="1">
      <c r="C1159" s="6" t="s">
        <v>2754</v>
      </c>
      <c r="D1159" s="13" t="s">
        <v>1812</v>
      </c>
      <c r="E1159" s="21">
        <v>14552</v>
      </c>
      <c r="F1159" s="23">
        <v>25</v>
      </c>
      <c r="G1159" s="203" t="s">
        <v>85</v>
      </c>
      <c r="H1159" s="93">
        <v>30</v>
      </c>
      <c r="I1159" s="94">
        <v>1</v>
      </c>
      <c r="J1159" s="8">
        <f>H1159*I1159</f>
        <v>30</v>
      </c>
      <c r="K1159" s="597">
        <v>0.99</v>
      </c>
      <c r="L1159" s="598">
        <f>K1159*J1159</f>
        <v>29.7</v>
      </c>
      <c r="M1159" s="97" t="s">
        <v>257</v>
      </c>
      <c r="N1159" s="33">
        <v>44735</v>
      </c>
      <c r="O1159" s="32">
        <v>4309</v>
      </c>
      <c r="P1159" s="83">
        <v>65</v>
      </c>
      <c r="Q1159" s="83">
        <f>P1159*J1159</f>
        <v>1950</v>
      </c>
      <c r="S1159" s="7">
        <f t="shared" si="34"/>
        <v>65</v>
      </c>
      <c r="T1159" s="1318">
        <f t="shared" si="35"/>
        <v>1950</v>
      </c>
      <c r="U1159" s="83">
        <v>125</v>
      </c>
    </row>
    <row r="1160" spans="3:26" ht="18" customHeight="1">
      <c r="C1160" s="6" t="s">
        <v>2754</v>
      </c>
      <c r="D1160" s="13" t="s">
        <v>1812</v>
      </c>
      <c r="E1160" s="21"/>
      <c r="F1160" s="86"/>
      <c r="G1160" s="21" t="s">
        <v>218</v>
      </c>
      <c r="H1160" s="8"/>
      <c r="I1160" s="35"/>
      <c r="J1160" s="39">
        <v>1</v>
      </c>
      <c r="K1160" s="611">
        <v>12</v>
      </c>
      <c r="L1160" s="598">
        <f>K1160*J1160</f>
        <v>12</v>
      </c>
      <c r="M1160" s="82"/>
      <c r="N1160" s="33">
        <v>44735</v>
      </c>
      <c r="O1160" s="32">
        <v>4309</v>
      </c>
      <c r="P1160" s="164">
        <v>1000</v>
      </c>
      <c r="Q1160" s="83">
        <f>P1160*J1160</f>
        <v>1000</v>
      </c>
      <c r="R1160" s="159"/>
      <c r="S1160" s="7">
        <f t="shared" si="34"/>
        <v>1000</v>
      </c>
      <c r="T1160" s="1318">
        <f t="shared" si="35"/>
        <v>1000</v>
      </c>
      <c r="U1160" s="83">
        <v>125</v>
      </c>
      <c r="V1160" s="159"/>
      <c r="W1160" s="159"/>
      <c r="X1160" s="159"/>
      <c r="Y1160" s="159"/>
      <c r="Z1160" s="159"/>
    </row>
    <row r="1161" spans="3:26" ht="18" customHeight="1">
      <c r="C1161" s="149" t="s">
        <v>2754</v>
      </c>
      <c r="D1161" s="150" t="s">
        <v>1812</v>
      </c>
      <c r="E1161" s="151"/>
      <c r="F1161" s="916"/>
      <c r="G1161" s="152" t="s">
        <v>168</v>
      </c>
      <c r="H1161" s="154" t="s">
        <v>169</v>
      </c>
      <c r="I1161" s="155"/>
      <c r="J1161" s="153"/>
      <c r="K1161" s="600">
        <v>0</v>
      </c>
      <c r="L1161" s="158"/>
      <c r="M1161" s="157"/>
      <c r="N1161" s="157">
        <v>44735</v>
      </c>
      <c r="O1161" s="156">
        <v>4309</v>
      </c>
      <c r="P1161" s="164">
        <v>0</v>
      </c>
      <c r="Q1161" s="165">
        <v>0</v>
      </c>
      <c r="R1161" s="159"/>
      <c r="S1161" s="7">
        <f t="shared" si="34"/>
        <v>0</v>
      </c>
      <c r="T1161" s="1318">
        <f t="shared" si="35"/>
        <v>0</v>
      </c>
      <c r="U1161" s="83">
        <v>125</v>
      </c>
      <c r="V1161" s="159"/>
      <c r="W1161" s="159"/>
      <c r="X1161" s="159"/>
    </row>
    <row r="1162" spans="3:26" ht="18" customHeight="1">
      <c r="C1162" s="6" t="s">
        <v>2757</v>
      </c>
      <c r="D1162" s="13" t="s">
        <v>1812</v>
      </c>
      <c r="E1162" s="16" t="s">
        <v>84</v>
      </c>
      <c r="F1162" s="253"/>
      <c r="G1162" s="237"/>
      <c r="H1162" s="238" t="s">
        <v>265</v>
      </c>
      <c r="I1162" s="254"/>
      <c r="J1162" s="255"/>
      <c r="K1162" s="95" t="s">
        <v>47</v>
      </c>
      <c r="L1162" s="115"/>
      <c r="M1162" s="33"/>
      <c r="N1162" s="33">
        <v>44792</v>
      </c>
      <c r="O1162" s="32">
        <v>4497</v>
      </c>
      <c r="P1162" s="83"/>
      <c r="Q1162" s="83"/>
      <c r="R1162" s="7"/>
      <c r="S1162" s="7">
        <f t="shared" si="34"/>
        <v>0</v>
      </c>
      <c r="T1162" s="1318">
        <f t="shared" si="35"/>
        <v>0</v>
      </c>
      <c r="U1162" s="83">
        <v>125</v>
      </c>
      <c r="V1162" s="7"/>
      <c r="W1162" s="7"/>
      <c r="X1162" s="7"/>
      <c r="Y1162" s="7"/>
      <c r="Z1162" s="7"/>
    </row>
    <row r="1163" spans="3:26" ht="18" customHeight="1">
      <c r="C1163" s="6" t="s">
        <v>2757</v>
      </c>
      <c r="D1163" s="13" t="s">
        <v>1812</v>
      </c>
      <c r="E1163" s="21">
        <v>14552</v>
      </c>
      <c r="F1163" s="23">
        <v>25</v>
      </c>
      <c r="G1163" s="203" t="s">
        <v>2758</v>
      </c>
      <c r="H1163" s="93">
        <v>30</v>
      </c>
      <c r="I1163" s="94">
        <v>1</v>
      </c>
      <c r="J1163" s="8">
        <f>H1163*I1163</f>
        <v>30</v>
      </c>
      <c r="K1163" s="597">
        <v>0.99</v>
      </c>
      <c r="L1163" s="598">
        <f>K1163*J1163</f>
        <v>29.7</v>
      </c>
      <c r="M1163" s="97" t="s">
        <v>257</v>
      </c>
      <c r="N1163" s="33">
        <v>44792</v>
      </c>
      <c r="O1163" s="32">
        <v>4497</v>
      </c>
      <c r="P1163" s="83">
        <v>65</v>
      </c>
      <c r="Q1163" s="83">
        <f>P1163*J1163</f>
        <v>1950</v>
      </c>
      <c r="S1163" s="7">
        <f t="shared" si="34"/>
        <v>65</v>
      </c>
      <c r="T1163" s="1318">
        <f t="shared" si="35"/>
        <v>1950</v>
      </c>
      <c r="U1163" s="83">
        <v>125</v>
      </c>
    </row>
    <row r="1164" spans="3:26" ht="18" customHeight="1">
      <c r="C1164" s="6" t="s">
        <v>2757</v>
      </c>
      <c r="D1164" s="13" t="s">
        <v>1812</v>
      </c>
      <c r="E1164" s="21">
        <v>14552</v>
      </c>
      <c r="F1164" s="23">
        <v>25</v>
      </c>
      <c r="G1164" s="203" t="s">
        <v>2759</v>
      </c>
      <c r="H1164" s="93">
        <v>30</v>
      </c>
      <c r="I1164" s="94">
        <v>1</v>
      </c>
      <c r="J1164" s="8">
        <f>H1164*I1164</f>
        <v>30</v>
      </c>
      <c r="K1164" s="597">
        <v>0.99</v>
      </c>
      <c r="L1164" s="598">
        <f>K1164*J1164</f>
        <v>29.7</v>
      </c>
      <c r="M1164" s="97" t="s">
        <v>257</v>
      </c>
      <c r="N1164" s="33">
        <v>44792</v>
      </c>
      <c r="O1164" s="32">
        <v>4497</v>
      </c>
      <c r="P1164" s="83">
        <v>65</v>
      </c>
      <c r="Q1164" s="83">
        <f>P1164*J1164</f>
        <v>1950</v>
      </c>
      <c r="S1164" s="7">
        <f t="shared" si="34"/>
        <v>65</v>
      </c>
      <c r="T1164" s="1318">
        <f t="shared" si="35"/>
        <v>1950</v>
      </c>
      <c r="U1164" s="83">
        <v>125</v>
      </c>
    </row>
    <row r="1165" spans="3:26" ht="18" customHeight="1">
      <c r="C1165" s="6" t="s">
        <v>2757</v>
      </c>
      <c r="D1165" s="13" t="s">
        <v>1812</v>
      </c>
      <c r="E1165" s="21"/>
      <c r="F1165" s="86"/>
      <c r="G1165" s="21" t="s">
        <v>218</v>
      </c>
      <c r="H1165" s="8"/>
      <c r="I1165" s="35"/>
      <c r="J1165" s="39">
        <v>1</v>
      </c>
      <c r="K1165" s="611">
        <v>12</v>
      </c>
      <c r="L1165" s="598">
        <f>K1165*J1165</f>
        <v>12</v>
      </c>
      <c r="M1165" s="82"/>
      <c r="N1165" s="33">
        <v>44792</v>
      </c>
      <c r="O1165" s="32">
        <v>4497</v>
      </c>
      <c r="P1165" s="164">
        <v>0</v>
      </c>
      <c r="Q1165" s="83">
        <f>P1165*J1165</f>
        <v>0</v>
      </c>
      <c r="R1165" s="159"/>
      <c r="S1165" s="7">
        <f t="shared" si="34"/>
        <v>0</v>
      </c>
      <c r="T1165" s="1318">
        <f t="shared" si="35"/>
        <v>0</v>
      </c>
      <c r="U1165" s="83">
        <v>125</v>
      </c>
      <c r="V1165" s="159"/>
      <c r="W1165" s="159"/>
      <c r="X1165" s="159"/>
      <c r="Y1165" s="159"/>
      <c r="Z1165" s="159"/>
    </row>
    <row r="1166" spans="3:26" ht="18" customHeight="1">
      <c r="C1166" s="149" t="s">
        <v>2757</v>
      </c>
      <c r="D1166" s="150" t="s">
        <v>1812</v>
      </c>
      <c r="E1166" s="151"/>
      <c r="F1166" s="916"/>
      <c r="G1166" s="152" t="s">
        <v>168</v>
      </c>
      <c r="H1166" s="154" t="s">
        <v>169</v>
      </c>
      <c r="I1166" s="155"/>
      <c r="J1166" s="153"/>
      <c r="K1166" s="600">
        <v>0</v>
      </c>
      <c r="L1166" s="158"/>
      <c r="M1166" s="157"/>
      <c r="N1166" s="157">
        <v>44792</v>
      </c>
      <c r="O1166" s="156">
        <v>4497</v>
      </c>
      <c r="P1166" s="164">
        <v>0</v>
      </c>
      <c r="Q1166" s="165">
        <v>0</v>
      </c>
      <c r="R1166" s="159"/>
      <c r="S1166" s="7">
        <f t="shared" si="34"/>
        <v>0</v>
      </c>
      <c r="T1166" s="1318">
        <f t="shared" si="35"/>
        <v>0</v>
      </c>
      <c r="U1166" s="83">
        <v>125</v>
      </c>
      <c r="V1166" s="159"/>
      <c r="W1166" s="159"/>
      <c r="X1166" s="159"/>
    </row>
    <row r="1167" spans="3:26" s="7" customFormat="1" ht="18" customHeight="1">
      <c r="C1167" s="6" t="s">
        <v>2760</v>
      </c>
      <c r="D1167" s="13" t="s">
        <v>2277</v>
      </c>
      <c r="E1167" s="18" t="s">
        <v>19</v>
      </c>
      <c r="F1167" s="23"/>
      <c r="G1167" s="21"/>
      <c r="H1167" s="55"/>
      <c r="I1167" s="56"/>
      <c r="J1167" s="55"/>
      <c r="K1167" s="15" t="s">
        <v>8</v>
      </c>
      <c r="L1167" s="688"/>
      <c r="M1167" s="688"/>
      <c r="N1167" s="33">
        <v>44767</v>
      </c>
      <c r="O1167" s="32">
        <v>4389</v>
      </c>
      <c r="P1167" s="83"/>
      <c r="Q1167" s="83"/>
      <c r="S1167" s="7">
        <f t="shared" si="34"/>
        <v>0</v>
      </c>
      <c r="T1167" s="1318">
        <f t="shared" si="35"/>
        <v>0</v>
      </c>
      <c r="U1167" s="83">
        <v>125</v>
      </c>
    </row>
    <row r="1168" spans="3:26" s="7" customFormat="1" ht="18" customHeight="1">
      <c r="C1168" s="6" t="s">
        <v>2760</v>
      </c>
      <c r="D1168" s="13" t="s">
        <v>2277</v>
      </c>
      <c r="E1168" s="740" t="s">
        <v>2761</v>
      </c>
      <c r="F1168" s="23"/>
      <c r="G1168" s="21" t="s">
        <v>25</v>
      </c>
      <c r="H1168" s="93">
        <v>10</v>
      </c>
      <c r="I1168" s="94">
        <v>1</v>
      </c>
      <c r="J1168" s="108">
        <f>H1168*I1168</f>
        <v>10</v>
      </c>
      <c r="K1168" s="597">
        <v>9.82</v>
      </c>
      <c r="L1168" s="598">
        <f>K1168*J1168</f>
        <v>98.2</v>
      </c>
      <c r="M1168" s="97" t="s">
        <v>224</v>
      </c>
      <c r="N1168" s="33">
        <v>44767</v>
      </c>
      <c r="O1168" s="32">
        <v>4389</v>
      </c>
      <c r="P1168" s="83">
        <v>810</v>
      </c>
      <c r="Q1168" s="83">
        <f>P1168*J1168</f>
        <v>8100</v>
      </c>
      <c r="R1168" s="7" t="s">
        <v>2762</v>
      </c>
      <c r="S1168" s="7">
        <f t="shared" si="34"/>
        <v>810</v>
      </c>
      <c r="T1168" s="1318">
        <f t="shared" si="35"/>
        <v>8100</v>
      </c>
      <c r="U1168" s="83">
        <v>125</v>
      </c>
    </row>
    <row r="1169" spans="3:21" s="7" customFormat="1" ht="18" customHeight="1">
      <c r="C1169" s="6" t="s">
        <v>2760</v>
      </c>
      <c r="D1169" s="13" t="s">
        <v>2277</v>
      </c>
      <c r="E1169" s="740" t="s">
        <v>2761</v>
      </c>
      <c r="F1169" s="23"/>
      <c r="G1169" s="21" t="s">
        <v>25</v>
      </c>
      <c r="H1169" s="93">
        <v>13.7</v>
      </c>
      <c r="I1169" s="94">
        <v>1</v>
      </c>
      <c r="J1169" s="108">
        <f>H1169*I1169</f>
        <v>13.7</v>
      </c>
      <c r="K1169" s="597">
        <v>9.82</v>
      </c>
      <c r="L1169" s="598">
        <f>K1169*J1169</f>
        <v>134.53399999999999</v>
      </c>
      <c r="M1169" s="97" t="s">
        <v>224</v>
      </c>
      <c r="N1169" s="33">
        <v>44855</v>
      </c>
      <c r="O1169" s="32">
        <v>4669</v>
      </c>
      <c r="P1169" s="83">
        <v>810</v>
      </c>
      <c r="Q1169" s="83">
        <f>P1169*J1169</f>
        <v>11097</v>
      </c>
      <c r="R1169" s="7" t="s">
        <v>2762</v>
      </c>
      <c r="S1169" s="7">
        <f t="shared" si="34"/>
        <v>810</v>
      </c>
      <c r="T1169" s="1318">
        <f t="shared" si="35"/>
        <v>11097</v>
      </c>
      <c r="U1169" s="83">
        <v>125</v>
      </c>
    </row>
    <row r="1170" spans="3:21" s="7" customFormat="1" ht="18" customHeight="1">
      <c r="C1170" s="6" t="s">
        <v>2760</v>
      </c>
      <c r="D1170" s="13" t="s">
        <v>2277</v>
      </c>
      <c r="E1170" s="740" t="s">
        <v>2763</v>
      </c>
      <c r="F1170" s="23"/>
      <c r="G1170" s="21" t="s">
        <v>25</v>
      </c>
      <c r="H1170" s="93">
        <v>13.7</v>
      </c>
      <c r="I1170" s="94">
        <v>2</v>
      </c>
      <c r="J1170" s="108">
        <f>H1170*I1170</f>
        <v>27.4</v>
      </c>
      <c r="K1170" s="597">
        <v>3.88</v>
      </c>
      <c r="L1170" s="598">
        <f>K1170*J1170</f>
        <v>106.312</v>
      </c>
      <c r="M1170" s="97" t="s">
        <v>224</v>
      </c>
      <c r="N1170" s="33">
        <v>44767</v>
      </c>
      <c r="O1170" s="32">
        <v>4389</v>
      </c>
      <c r="P1170" s="83">
        <v>340</v>
      </c>
      <c r="Q1170" s="83">
        <f>P1170*J1170</f>
        <v>9316</v>
      </c>
      <c r="S1170" s="7">
        <f t="shared" si="34"/>
        <v>340</v>
      </c>
      <c r="T1170" s="1318">
        <f t="shared" si="35"/>
        <v>9316</v>
      </c>
      <c r="U1170" s="83">
        <v>125</v>
      </c>
    </row>
    <row r="1171" spans="3:21" ht="18" customHeight="1">
      <c r="C1171" s="6" t="s">
        <v>2760</v>
      </c>
      <c r="D1171" s="13" t="s">
        <v>2277</v>
      </c>
      <c r="E1171" s="21"/>
      <c r="F1171" s="38"/>
      <c r="G1171" s="38" t="s">
        <v>218</v>
      </c>
      <c r="H1171" s="39"/>
      <c r="I1171" s="94"/>
      <c r="J1171" s="39">
        <v>1</v>
      </c>
      <c r="K1171" s="611">
        <v>12</v>
      </c>
      <c r="L1171" s="598">
        <f>K1171*J1171</f>
        <v>12</v>
      </c>
      <c r="M1171" s="898"/>
      <c r="N1171" s="33">
        <v>44767</v>
      </c>
      <c r="O1171" s="32">
        <v>4389</v>
      </c>
      <c r="P1171" s="83">
        <v>0</v>
      </c>
      <c r="Q1171" s="83">
        <f>P1171*J1171</f>
        <v>0</v>
      </c>
      <c r="S1171" s="7">
        <f t="shared" ref="S1171:S1234" si="36">P1171</f>
        <v>0</v>
      </c>
      <c r="T1171" s="1318">
        <f t="shared" si="35"/>
        <v>0</v>
      </c>
      <c r="U1171" s="83">
        <v>125</v>
      </c>
    </row>
    <row r="1172" spans="3:21" s="159" customFormat="1" ht="18" customHeight="1">
      <c r="C1172" s="149" t="s">
        <v>2760</v>
      </c>
      <c r="D1172" s="150" t="s">
        <v>2277</v>
      </c>
      <c r="E1172" s="191"/>
      <c r="F1172" s="152"/>
      <c r="G1172" s="152" t="s">
        <v>168</v>
      </c>
      <c r="H1172" s="154" t="s">
        <v>169</v>
      </c>
      <c r="I1172" s="155"/>
      <c r="J1172" s="153"/>
      <c r="K1172" s="600">
        <v>0</v>
      </c>
      <c r="L1172" s="601"/>
      <c r="M1172" s="601"/>
      <c r="N1172" s="157">
        <v>44767</v>
      </c>
      <c r="O1172" s="156">
        <v>4389</v>
      </c>
      <c r="P1172" s="164">
        <v>0</v>
      </c>
      <c r="Q1172" s="165">
        <v>0</v>
      </c>
      <c r="S1172" s="7">
        <f t="shared" si="36"/>
        <v>0</v>
      </c>
      <c r="T1172" s="1318">
        <f t="shared" ref="T1172:T1235" si="37">Q1172</f>
        <v>0</v>
      </c>
      <c r="U1172" s="83">
        <v>125</v>
      </c>
    </row>
    <row r="1173" spans="3:21" s="7" customFormat="1" ht="18" customHeight="1">
      <c r="C1173" s="6" t="s">
        <v>2764</v>
      </c>
      <c r="D1173" s="13" t="s">
        <v>2277</v>
      </c>
      <c r="E1173" s="18" t="s">
        <v>19</v>
      </c>
      <c r="F1173" s="23"/>
      <c r="G1173" s="21"/>
      <c r="H1173" s="55"/>
      <c r="I1173" s="56"/>
      <c r="J1173" s="55"/>
      <c r="K1173" s="15" t="s">
        <v>8</v>
      </c>
      <c r="L1173" s="688"/>
      <c r="M1173" s="688"/>
      <c r="N1173" s="33">
        <v>44855</v>
      </c>
      <c r="O1173" s="32">
        <v>4669</v>
      </c>
      <c r="P1173" s="83"/>
      <c r="Q1173" s="83"/>
      <c r="S1173" s="7">
        <f t="shared" si="36"/>
        <v>0</v>
      </c>
      <c r="T1173" s="1318">
        <f t="shared" si="37"/>
        <v>0</v>
      </c>
      <c r="U1173" s="83">
        <v>125</v>
      </c>
    </row>
    <row r="1174" spans="3:21" s="7" customFormat="1" ht="18" customHeight="1">
      <c r="C1174" s="6" t="s">
        <v>2764</v>
      </c>
      <c r="D1174" s="13" t="s">
        <v>2277</v>
      </c>
      <c r="E1174" s="740" t="s">
        <v>2280</v>
      </c>
      <c r="F1174" s="23"/>
      <c r="G1174" s="21" t="s">
        <v>25</v>
      </c>
      <c r="H1174" s="93">
        <v>13.7</v>
      </c>
      <c r="I1174" s="94">
        <v>8</v>
      </c>
      <c r="J1174" s="108">
        <f>H1174*I1174</f>
        <v>109.6</v>
      </c>
      <c r="K1174" s="597">
        <v>5.46</v>
      </c>
      <c r="L1174" s="598">
        <f>K1174*J1174</f>
        <v>598.41599999999994</v>
      </c>
      <c r="M1174" s="97" t="s">
        <v>224</v>
      </c>
      <c r="N1174" s="33">
        <v>44855</v>
      </c>
      <c r="O1174" s="32">
        <v>4669</v>
      </c>
      <c r="P1174" s="83">
        <v>450</v>
      </c>
      <c r="Q1174" s="83">
        <f>P1174*J1174</f>
        <v>49320</v>
      </c>
      <c r="S1174" s="7">
        <f t="shared" si="36"/>
        <v>450</v>
      </c>
      <c r="T1174" s="1318">
        <f t="shared" si="37"/>
        <v>49320</v>
      </c>
      <c r="U1174" s="83">
        <v>125</v>
      </c>
    </row>
    <row r="1175" spans="3:21" s="7" customFormat="1" ht="18" customHeight="1">
      <c r="C1175" s="6" t="s">
        <v>2764</v>
      </c>
      <c r="D1175" s="13" t="s">
        <v>2277</v>
      </c>
      <c r="E1175" s="740" t="s">
        <v>2763</v>
      </c>
      <c r="F1175" s="23"/>
      <c r="G1175" s="21" t="s">
        <v>25</v>
      </c>
      <c r="H1175" s="93">
        <v>13.7</v>
      </c>
      <c r="I1175" s="94">
        <v>2</v>
      </c>
      <c r="J1175" s="108">
        <f>H1175*I1175</f>
        <v>27.4</v>
      </c>
      <c r="K1175" s="597">
        <v>3.88</v>
      </c>
      <c r="L1175" s="598">
        <f>K1175*J1175</f>
        <v>106.312</v>
      </c>
      <c r="M1175" s="97" t="s">
        <v>224</v>
      </c>
      <c r="N1175" s="33">
        <v>44855</v>
      </c>
      <c r="O1175" s="32">
        <v>4669</v>
      </c>
      <c r="P1175" s="83">
        <v>340</v>
      </c>
      <c r="Q1175" s="83">
        <f>P1175*J1175</f>
        <v>9316</v>
      </c>
      <c r="S1175" s="7">
        <f t="shared" si="36"/>
        <v>340</v>
      </c>
      <c r="T1175" s="1318">
        <f t="shared" si="37"/>
        <v>9316</v>
      </c>
      <c r="U1175" s="83">
        <v>125</v>
      </c>
    </row>
    <row r="1176" spans="3:21" s="7" customFormat="1" ht="18" customHeight="1">
      <c r="C1176" s="6" t="s">
        <v>2764</v>
      </c>
      <c r="D1176" s="13" t="s">
        <v>2277</v>
      </c>
      <c r="E1176" s="739" t="s">
        <v>2765</v>
      </c>
      <c r="F1176" s="23"/>
      <c r="G1176" s="21" t="s">
        <v>25</v>
      </c>
      <c r="H1176" s="93">
        <v>13.7</v>
      </c>
      <c r="I1176" s="94">
        <v>10</v>
      </c>
      <c r="J1176" s="107">
        <f>H1176*I1176</f>
        <v>137</v>
      </c>
      <c r="K1176" s="597">
        <v>2.4</v>
      </c>
      <c r="L1176" s="598">
        <f>K1176*J1176</f>
        <v>328.8</v>
      </c>
      <c r="M1176" s="97" t="s">
        <v>224</v>
      </c>
      <c r="N1176" s="33">
        <v>44855</v>
      </c>
      <c r="O1176" s="32">
        <v>4669</v>
      </c>
      <c r="P1176" s="83">
        <v>198</v>
      </c>
      <c r="Q1176" s="83">
        <f>P1176*J1176</f>
        <v>27126</v>
      </c>
      <c r="S1176" s="7">
        <f t="shared" si="36"/>
        <v>198</v>
      </c>
      <c r="T1176" s="1318">
        <f t="shared" si="37"/>
        <v>27126</v>
      </c>
      <c r="U1176" s="83">
        <v>125</v>
      </c>
    </row>
    <row r="1177" spans="3:21" ht="18" customHeight="1">
      <c r="C1177" s="6" t="s">
        <v>2764</v>
      </c>
      <c r="D1177" s="13" t="s">
        <v>2277</v>
      </c>
      <c r="E1177" s="21"/>
      <c r="F1177" s="38"/>
      <c r="G1177" s="38" t="s">
        <v>218</v>
      </c>
      <c r="H1177" s="39"/>
      <c r="I1177" s="94"/>
      <c r="J1177" s="39">
        <v>1</v>
      </c>
      <c r="K1177" s="611">
        <v>24</v>
      </c>
      <c r="L1177" s="598">
        <f>K1177*J1177</f>
        <v>24</v>
      </c>
      <c r="M1177" s="898"/>
      <c r="N1177" s="33">
        <v>44855</v>
      </c>
      <c r="O1177" s="32">
        <v>4669</v>
      </c>
      <c r="P1177" s="83">
        <v>0</v>
      </c>
      <c r="Q1177" s="83">
        <f>P1177*J1177</f>
        <v>0</v>
      </c>
      <c r="S1177" s="7">
        <f t="shared" si="36"/>
        <v>0</v>
      </c>
      <c r="T1177" s="1318">
        <f t="shared" si="37"/>
        <v>0</v>
      </c>
      <c r="U1177" s="83">
        <v>125</v>
      </c>
    </row>
    <row r="1178" spans="3:21" s="159" customFormat="1" ht="18" customHeight="1">
      <c r="C1178" s="149" t="s">
        <v>2764</v>
      </c>
      <c r="D1178" s="150" t="s">
        <v>2277</v>
      </c>
      <c r="E1178" s="151"/>
      <c r="F1178" s="152"/>
      <c r="G1178" s="152" t="s">
        <v>168</v>
      </c>
      <c r="H1178" s="154" t="s">
        <v>169</v>
      </c>
      <c r="I1178" s="155"/>
      <c r="J1178" s="153"/>
      <c r="K1178" s="600">
        <v>0</v>
      </c>
      <c r="L1178" s="601"/>
      <c r="M1178" s="601"/>
      <c r="N1178" s="157">
        <v>44855</v>
      </c>
      <c r="O1178" s="156">
        <v>4669</v>
      </c>
      <c r="P1178" s="164">
        <v>0</v>
      </c>
      <c r="Q1178" s="165">
        <v>0</v>
      </c>
      <c r="S1178" s="7">
        <f t="shared" si="36"/>
        <v>0</v>
      </c>
      <c r="T1178" s="1318">
        <f t="shared" si="37"/>
        <v>0</v>
      </c>
      <c r="U1178" s="83">
        <v>125</v>
      </c>
    </row>
    <row r="1179" spans="3:21" s="7" customFormat="1" ht="18" customHeight="1">
      <c r="C1179" s="6" t="s">
        <v>2766</v>
      </c>
      <c r="D1179" s="13" t="s">
        <v>1812</v>
      </c>
      <c r="E1179" s="18" t="s">
        <v>156</v>
      </c>
      <c r="F1179" s="23"/>
      <c r="G1179" s="21"/>
      <c r="H1179" s="39"/>
      <c r="I1179" s="56"/>
      <c r="J1179" s="55"/>
      <c r="K1179" s="15" t="s">
        <v>8</v>
      </c>
      <c r="L1179" s="33"/>
      <c r="M1179" s="33"/>
      <c r="N1179" s="33">
        <v>44817</v>
      </c>
      <c r="O1179" s="32">
        <v>4558</v>
      </c>
      <c r="P1179" s="83"/>
      <c r="Q1179" s="83"/>
      <c r="S1179" s="7">
        <f t="shared" si="36"/>
        <v>0</v>
      </c>
      <c r="T1179" s="1318">
        <f t="shared" si="37"/>
        <v>0</v>
      </c>
      <c r="U1179" s="83">
        <v>125</v>
      </c>
    </row>
    <row r="1180" spans="3:21" ht="18" customHeight="1">
      <c r="C1180" s="6" t="s">
        <v>2766</v>
      </c>
      <c r="D1180" s="13" t="s">
        <v>1812</v>
      </c>
      <c r="E1180" s="21">
        <v>3717</v>
      </c>
      <c r="F1180" s="23">
        <v>9</v>
      </c>
      <c r="G1180" s="21" t="s">
        <v>37</v>
      </c>
      <c r="H1180" s="93">
        <v>30</v>
      </c>
      <c r="I1180" s="94">
        <v>2</v>
      </c>
      <c r="J1180" s="55">
        <f>H1180*I1180</f>
        <v>60</v>
      </c>
      <c r="K1180" s="597">
        <v>0.23</v>
      </c>
      <c r="L1180" s="598">
        <f>K1180*J1180</f>
        <v>13.8</v>
      </c>
      <c r="M1180" s="97" t="s">
        <v>224</v>
      </c>
      <c r="N1180" s="33">
        <v>44817</v>
      </c>
      <c r="O1180" s="32">
        <v>4558</v>
      </c>
      <c r="P1180" s="83">
        <v>14.67</v>
      </c>
      <c r="Q1180" s="83">
        <f>P1180*J1180</f>
        <v>880.2</v>
      </c>
      <c r="R1180" s="700"/>
      <c r="S1180" s="7">
        <f t="shared" si="36"/>
        <v>14.67</v>
      </c>
      <c r="T1180" s="1318">
        <f t="shared" si="37"/>
        <v>880.2</v>
      </c>
      <c r="U1180" s="83">
        <v>125</v>
      </c>
    </row>
    <row r="1181" spans="3:21" ht="18" customHeight="1">
      <c r="C1181" s="6" t="s">
        <v>2766</v>
      </c>
      <c r="D1181" s="13" t="s">
        <v>1812</v>
      </c>
      <c r="E1181" s="21">
        <v>3717</v>
      </c>
      <c r="F1181" s="23">
        <v>9</v>
      </c>
      <c r="G1181" s="21" t="s">
        <v>2727</v>
      </c>
      <c r="H1181" s="93">
        <v>30</v>
      </c>
      <c r="I1181" s="94">
        <v>2</v>
      </c>
      <c r="J1181" s="55">
        <f>H1181*I1181</f>
        <v>60</v>
      </c>
      <c r="K1181" s="597">
        <v>0.23</v>
      </c>
      <c r="L1181" s="598">
        <f>K1181*J1181</f>
        <v>13.8</v>
      </c>
      <c r="M1181" s="97" t="s">
        <v>224</v>
      </c>
      <c r="N1181" s="33">
        <v>44817</v>
      </c>
      <c r="O1181" s="32">
        <v>4558</v>
      </c>
      <c r="P1181" s="83">
        <v>14.67</v>
      </c>
      <c r="Q1181" s="83">
        <f>P1181*J1181</f>
        <v>880.2</v>
      </c>
      <c r="R1181" s="700"/>
      <c r="S1181" s="7">
        <f t="shared" si="36"/>
        <v>14.67</v>
      </c>
      <c r="T1181" s="1318">
        <f t="shared" si="37"/>
        <v>880.2</v>
      </c>
      <c r="U1181" s="83">
        <v>125</v>
      </c>
    </row>
    <row r="1182" spans="3:21" ht="18" customHeight="1">
      <c r="C1182" s="6" t="s">
        <v>2766</v>
      </c>
      <c r="D1182" s="13" t="s">
        <v>1812</v>
      </c>
      <c r="E1182" s="21">
        <v>3717</v>
      </c>
      <c r="F1182" s="23">
        <v>9</v>
      </c>
      <c r="G1182" s="21" t="s">
        <v>2767</v>
      </c>
      <c r="H1182" s="93">
        <v>30</v>
      </c>
      <c r="I1182" s="94">
        <v>1</v>
      </c>
      <c r="J1182" s="55">
        <f>H1182*I1182</f>
        <v>30</v>
      </c>
      <c r="K1182" s="597">
        <v>0.23</v>
      </c>
      <c r="L1182" s="598">
        <f>K1182*J1182</f>
        <v>6.9</v>
      </c>
      <c r="M1182" s="97" t="s">
        <v>224</v>
      </c>
      <c r="N1182" s="33">
        <v>44817</v>
      </c>
      <c r="O1182" s="32">
        <v>4558</v>
      </c>
      <c r="P1182" s="83">
        <v>14.67</v>
      </c>
      <c r="Q1182" s="83">
        <f>P1182*J1182</f>
        <v>440.1</v>
      </c>
      <c r="R1182" s="700"/>
      <c r="S1182" s="7">
        <f t="shared" si="36"/>
        <v>14.67</v>
      </c>
      <c r="T1182" s="1318">
        <f t="shared" si="37"/>
        <v>440.1</v>
      </c>
      <c r="U1182" s="83">
        <v>125</v>
      </c>
    </row>
    <row r="1183" spans="3:21" ht="15">
      <c r="C1183" s="6" t="s">
        <v>2766</v>
      </c>
      <c r="D1183" s="13" t="s">
        <v>1812</v>
      </c>
      <c r="E1183" s="48"/>
      <c r="F1183" s="38"/>
      <c r="G1183" s="38" t="s">
        <v>218</v>
      </c>
      <c r="H1183" s="39"/>
      <c r="I1183" s="94"/>
      <c r="J1183" s="39">
        <v>1</v>
      </c>
      <c r="K1183" s="611">
        <v>12</v>
      </c>
      <c r="L1183" s="598">
        <f>K1183*J1183</f>
        <v>12</v>
      </c>
      <c r="M1183" s="898"/>
      <c r="N1183" s="33">
        <v>44817</v>
      </c>
      <c r="O1183" s="32">
        <v>4558</v>
      </c>
      <c r="P1183" s="83">
        <v>0</v>
      </c>
      <c r="Q1183" s="83">
        <f>P1183*J1183</f>
        <v>0</v>
      </c>
      <c r="S1183" s="7">
        <f t="shared" si="36"/>
        <v>0</v>
      </c>
      <c r="T1183" s="1318">
        <f t="shared" si="37"/>
        <v>0</v>
      </c>
      <c r="U1183" s="83">
        <v>125</v>
      </c>
    </row>
    <row r="1184" spans="3:21" s="159" customFormat="1" ht="15">
      <c r="C1184" s="149" t="s">
        <v>2766</v>
      </c>
      <c r="D1184" s="150" t="s">
        <v>1812</v>
      </c>
      <c r="E1184" s="151"/>
      <c r="F1184" s="152"/>
      <c r="G1184" s="152" t="s">
        <v>168</v>
      </c>
      <c r="H1184" s="154" t="s">
        <v>169</v>
      </c>
      <c r="I1184" s="155"/>
      <c r="J1184" s="153"/>
      <c r="K1184" s="600">
        <v>0</v>
      </c>
      <c r="L1184" s="601"/>
      <c r="M1184" s="601"/>
      <c r="N1184" s="157">
        <v>44817</v>
      </c>
      <c r="O1184" s="156">
        <v>4558</v>
      </c>
      <c r="P1184" s="164">
        <v>0</v>
      </c>
      <c r="Q1184" s="165">
        <v>0</v>
      </c>
      <c r="S1184" s="7">
        <f t="shared" si="36"/>
        <v>0</v>
      </c>
      <c r="T1184" s="1318">
        <f t="shared" si="37"/>
        <v>0</v>
      </c>
      <c r="U1184" s="83">
        <v>125</v>
      </c>
    </row>
    <row r="1185" spans="3:21" s="177" customFormat="1" ht="18" customHeight="1">
      <c r="C1185" s="167" t="s">
        <v>2768</v>
      </c>
      <c r="D1185" s="169" t="s">
        <v>2769</v>
      </c>
      <c r="E1185" s="169" t="s">
        <v>2630</v>
      </c>
      <c r="F1185" s="170"/>
      <c r="G1185" s="171" t="s">
        <v>2702</v>
      </c>
      <c r="H1185" s="173"/>
      <c r="I1185" s="174"/>
      <c r="J1185" s="172">
        <v>1</v>
      </c>
      <c r="K1185" s="917">
        <v>30</v>
      </c>
      <c r="L1185" s="896">
        <v>30</v>
      </c>
      <c r="M1185" s="909"/>
      <c r="N1185" s="235">
        <v>44816</v>
      </c>
      <c r="O1185" s="175">
        <v>4556</v>
      </c>
      <c r="P1185" s="897">
        <v>3490</v>
      </c>
      <c r="Q1185" s="897">
        <v>3490</v>
      </c>
      <c r="S1185" s="7">
        <f t="shared" si="36"/>
        <v>3490</v>
      </c>
      <c r="T1185" s="1318">
        <f t="shared" si="37"/>
        <v>3490</v>
      </c>
      <c r="U1185" s="83">
        <v>125</v>
      </c>
    </row>
    <row r="1186" spans="3:21" s="7" customFormat="1" ht="18" customHeight="1">
      <c r="C1186" s="6" t="s">
        <v>2770</v>
      </c>
      <c r="D1186" s="13" t="s">
        <v>2771</v>
      </c>
      <c r="E1186" s="18" t="s">
        <v>2772</v>
      </c>
      <c r="F1186" s="23"/>
      <c r="G1186" s="21"/>
      <c r="H1186" s="39"/>
      <c r="I1186" s="56"/>
      <c r="J1186" s="55"/>
      <c r="K1186" s="15" t="s">
        <v>8</v>
      </c>
      <c r="L1186" s="33"/>
      <c r="M1186" s="33"/>
      <c r="N1186" s="33">
        <v>44831</v>
      </c>
      <c r="O1186" s="32">
        <v>4598</v>
      </c>
      <c r="P1186" s="83"/>
      <c r="Q1186" s="83"/>
      <c r="S1186" s="7">
        <f t="shared" si="36"/>
        <v>0</v>
      </c>
      <c r="T1186" s="1318">
        <f t="shared" si="37"/>
        <v>0</v>
      </c>
      <c r="U1186" s="83">
        <v>125</v>
      </c>
    </row>
    <row r="1187" spans="3:21" s="7" customFormat="1" ht="18" customHeight="1">
      <c r="C1187" s="6" t="s">
        <v>2770</v>
      </c>
      <c r="D1187" s="13" t="s">
        <v>2771</v>
      </c>
      <c r="E1187" s="740" t="s">
        <v>2773</v>
      </c>
      <c r="F1187" s="23" t="s">
        <v>2491</v>
      </c>
      <c r="G1187" s="21" t="s">
        <v>2774</v>
      </c>
      <c r="H1187" s="93"/>
      <c r="I1187" s="94"/>
      <c r="J1187" s="93">
        <v>10</v>
      </c>
      <c r="K1187" s="597">
        <v>19.8</v>
      </c>
      <c r="L1187" s="598">
        <f>K1187*J1187</f>
        <v>198</v>
      </c>
      <c r="M1187" s="97" t="s">
        <v>224</v>
      </c>
      <c r="N1187" s="33">
        <v>44831</v>
      </c>
      <c r="O1187" s="32">
        <v>4598</v>
      </c>
      <c r="P1187" s="83">
        <f>1680</f>
        <v>1680</v>
      </c>
      <c r="Q1187" s="83">
        <f>P1187*J1187</f>
        <v>16800</v>
      </c>
      <c r="R1187" s="7" t="s">
        <v>2775</v>
      </c>
      <c r="S1187" s="7">
        <f t="shared" si="36"/>
        <v>1680</v>
      </c>
      <c r="T1187" s="1318">
        <f t="shared" si="37"/>
        <v>16800</v>
      </c>
      <c r="U1187" s="83">
        <v>125</v>
      </c>
    </row>
    <row r="1188" spans="3:21" ht="18" customHeight="1">
      <c r="C1188" s="6" t="s">
        <v>2770</v>
      </c>
      <c r="D1188" s="13" t="s">
        <v>2771</v>
      </c>
      <c r="E1188" s="48"/>
      <c r="F1188" s="38"/>
      <c r="G1188" s="38" t="s">
        <v>218</v>
      </c>
      <c r="H1188" s="39"/>
      <c r="I1188" s="94"/>
      <c r="J1188" s="39">
        <v>1</v>
      </c>
      <c r="K1188" s="611">
        <v>12</v>
      </c>
      <c r="L1188" s="598">
        <f>K1188*J1188</f>
        <v>12</v>
      </c>
      <c r="M1188" s="898"/>
      <c r="N1188" s="33">
        <v>44831</v>
      </c>
      <c r="O1188" s="32">
        <v>4598</v>
      </c>
      <c r="P1188" s="83">
        <v>0</v>
      </c>
      <c r="Q1188" s="83">
        <f>P1188*J1188</f>
        <v>0</v>
      </c>
      <c r="S1188" s="7">
        <f t="shared" si="36"/>
        <v>0</v>
      </c>
      <c r="T1188" s="1318">
        <f t="shared" si="37"/>
        <v>0</v>
      </c>
      <c r="U1188" s="83">
        <v>125</v>
      </c>
    </row>
    <row r="1189" spans="3:21" s="159" customFormat="1" ht="18" customHeight="1">
      <c r="C1189" s="149" t="s">
        <v>2770</v>
      </c>
      <c r="D1189" s="150" t="s">
        <v>2771</v>
      </c>
      <c r="E1189" s="151"/>
      <c r="F1189" s="152"/>
      <c r="G1189" s="152" t="s">
        <v>168</v>
      </c>
      <c r="H1189" s="918" t="s">
        <v>2776</v>
      </c>
      <c r="I1189" s="155"/>
      <c r="J1189" s="153"/>
      <c r="K1189" s="600">
        <v>0</v>
      </c>
      <c r="L1189" s="601"/>
      <c r="M1189" s="601"/>
      <c r="N1189" s="157">
        <v>44831</v>
      </c>
      <c r="O1189" s="156">
        <v>4598</v>
      </c>
      <c r="P1189" s="164">
        <v>0</v>
      </c>
      <c r="Q1189" s="165">
        <v>0</v>
      </c>
      <c r="S1189" s="7">
        <f t="shared" si="36"/>
        <v>0</v>
      </c>
      <c r="T1189" s="1318">
        <f t="shared" si="37"/>
        <v>0</v>
      </c>
      <c r="U1189" s="83">
        <v>125</v>
      </c>
    </row>
    <row r="1190" spans="3:21" s="7" customFormat="1" ht="18" customHeight="1">
      <c r="C1190" s="6" t="s">
        <v>2777</v>
      </c>
      <c r="D1190" s="13" t="s">
        <v>2771</v>
      </c>
      <c r="E1190" s="18" t="s">
        <v>2772</v>
      </c>
      <c r="F1190" s="23"/>
      <c r="G1190" s="21"/>
      <c r="H1190" s="39"/>
      <c r="I1190" s="56"/>
      <c r="J1190" s="55"/>
      <c r="K1190" s="15" t="s">
        <v>8</v>
      </c>
      <c r="L1190" s="33"/>
      <c r="M1190" s="33"/>
      <c r="N1190" s="33">
        <v>44846</v>
      </c>
      <c r="O1190" s="32">
        <v>4634</v>
      </c>
      <c r="P1190" s="83"/>
      <c r="Q1190" s="83"/>
      <c r="S1190" s="7">
        <f t="shared" si="36"/>
        <v>0</v>
      </c>
      <c r="T1190" s="1318">
        <f t="shared" si="37"/>
        <v>0</v>
      </c>
      <c r="U1190" s="83">
        <v>125</v>
      </c>
    </row>
    <row r="1191" spans="3:21" s="7" customFormat="1" ht="18" customHeight="1">
      <c r="C1191" s="6" t="s">
        <v>2777</v>
      </c>
      <c r="D1191" s="13" t="s">
        <v>2771</v>
      </c>
      <c r="E1191" s="740" t="s">
        <v>2773</v>
      </c>
      <c r="F1191" s="23" t="s">
        <v>2491</v>
      </c>
      <c r="G1191" s="21" t="s">
        <v>2774</v>
      </c>
      <c r="H1191" s="93">
        <v>45</v>
      </c>
      <c r="I1191" s="94">
        <v>1</v>
      </c>
      <c r="J1191" s="55">
        <f>H1191*I1191</f>
        <v>45</v>
      </c>
      <c r="K1191" s="597">
        <v>16.8</v>
      </c>
      <c r="L1191" s="598">
        <f>K1191*J1191</f>
        <v>756</v>
      </c>
      <c r="M1191" s="97" t="s">
        <v>224</v>
      </c>
      <c r="N1191" s="33">
        <v>44846</v>
      </c>
      <c r="O1191" s="32">
        <v>4634</v>
      </c>
      <c r="P1191" s="83">
        <f>1680</f>
        <v>1680</v>
      </c>
      <c r="Q1191" s="83">
        <f>P1191*J1191</f>
        <v>75600</v>
      </c>
      <c r="R1191" s="7" t="s">
        <v>2775</v>
      </c>
      <c r="S1191" s="7">
        <f t="shared" si="36"/>
        <v>1680</v>
      </c>
      <c r="T1191" s="1318">
        <f t="shared" si="37"/>
        <v>75600</v>
      </c>
      <c r="U1191" s="83">
        <v>125</v>
      </c>
    </row>
    <row r="1192" spans="3:21" ht="18" customHeight="1">
      <c r="C1192" s="6" t="s">
        <v>2777</v>
      </c>
      <c r="D1192" s="13" t="s">
        <v>2771</v>
      </c>
      <c r="E1192" s="48"/>
      <c r="F1192" s="38"/>
      <c r="G1192" s="38" t="s">
        <v>218</v>
      </c>
      <c r="H1192" s="39"/>
      <c r="I1192" s="94"/>
      <c r="J1192" s="39">
        <v>1</v>
      </c>
      <c r="K1192" s="611">
        <v>12</v>
      </c>
      <c r="L1192" s="598">
        <f>K1192*J1192</f>
        <v>12</v>
      </c>
      <c r="M1192" s="898"/>
      <c r="N1192" s="33">
        <v>44846</v>
      </c>
      <c r="O1192" s="32">
        <v>4634</v>
      </c>
      <c r="P1192" s="83">
        <v>0</v>
      </c>
      <c r="Q1192" s="83">
        <f>P1192*J1192</f>
        <v>0</v>
      </c>
      <c r="S1192" s="7">
        <f t="shared" si="36"/>
        <v>0</v>
      </c>
      <c r="T1192" s="1318">
        <f t="shared" si="37"/>
        <v>0</v>
      </c>
      <c r="U1192" s="83">
        <v>125</v>
      </c>
    </row>
    <row r="1193" spans="3:21" s="159" customFormat="1" ht="18" customHeight="1">
      <c r="C1193" s="149" t="s">
        <v>2777</v>
      </c>
      <c r="D1193" s="150" t="s">
        <v>2771</v>
      </c>
      <c r="E1193" s="151"/>
      <c r="F1193" s="152"/>
      <c r="G1193" s="152" t="s">
        <v>168</v>
      </c>
      <c r="H1193" s="918" t="s">
        <v>2776</v>
      </c>
      <c r="I1193" s="155"/>
      <c r="J1193" s="153"/>
      <c r="K1193" s="600">
        <v>0</v>
      </c>
      <c r="L1193" s="601"/>
      <c r="M1193" s="601"/>
      <c r="N1193" s="157">
        <v>44846</v>
      </c>
      <c r="O1193" s="156">
        <v>4634</v>
      </c>
      <c r="P1193" s="164">
        <v>0</v>
      </c>
      <c r="Q1193" s="165">
        <v>0</v>
      </c>
      <c r="S1193" s="7">
        <f t="shared" si="36"/>
        <v>0</v>
      </c>
      <c r="T1193" s="1318">
        <f t="shared" si="37"/>
        <v>0</v>
      </c>
      <c r="U1193" s="83">
        <v>125</v>
      </c>
    </row>
    <row r="1194" spans="3:21" s="7" customFormat="1" ht="18" customHeight="1">
      <c r="C1194" s="6" t="s">
        <v>2778</v>
      </c>
      <c r="D1194" s="13" t="s">
        <v>2771</v>
      </c>
      <c r="E1194" s="18" t="s">
        <v>2772</v>
      </c>
      <c r="F1194" s="23"/>
      <c r="G1194" s="21"/>
      <c r="H1194" s="39"/>
      <c r="I1194" s="56"/>
      <c r="J1194" s="55"/>
      <c r="K1194" s="15" t="s">
        <v>8</v>
      </c>
      <c r="L1194" s="33"/>
      <c r="M1194" s="33"/>
      <c r="N1194" s="33">
        <v>44883</v>
      </c>
      <c r="O1194" s="32">
        <v>4762</v>
      </c>
      <c r="P1194" s="83"/>
      <c r="Q1194" s="83"/>
      <c r="S1194" s="7">
        <f t="shared" si="36"/>
        <v>0</v>
      </c>
      <c r="T1194" s="1318">
        <f t="shared" si="37"/>
        <v>0</v>
      </c>
      <c r="U1194" s="83">
        <v>125</v>
      </c>
    </row>
    <row r="1195" spans="3:21" s="7" customFormat="1" ht="18" customHeight="1">
      <c r="C1195" s="6" t="s">
        <v>2778</v>
      </c>
      <c r="D1195" s="13" t="s">
        <v>2771</v>
      </c>
      <c r="E1195" s="740" t="s">
        <v>2773</v>
      </c>
      <c r="F1195" s="23" t="s">
        <v>2491</v>
      </c>
      <c r="G1195" s="21" t="s">
        <v>2779</v>
      </c>
      <c r="H1195" s="919">
        <v>41.7</v>
      </c>
      <c r="I1195" s="94">
        <v>1</v>
      </c>
      <c r="J1195" s="17">
        <f>H1195*I1195</f>
        <v>41.7</v>
      </c>
      <c r="K1195" s="597">
        <v>19.8</v>
      </c>
      <c r="L1195" s="598">
        <f>K1195*J1195</f>
        <v>825.66000000000008</v>
      </c>
      <c r="M1195" s="97" t="s">
        <v>224</v>
      </c>
      <c r="N1195" s="33">
        <v>44883</v>
      </c>
      <c r="O1195" s="32">
        <v>4762</v>
      </c>
      <c r="P1195" s="83">
        <f>1680+300</f>
        <v>1980</v>
      </c>
      <c r="Q1195" s="83">
        <f>P1195*J1195</f>
        <v>82566</v>
      </c>
      <c r="R1195" s="7" t="s">
        <v>2775</v>
      </c>
      <c r="S1195" s="7">
        <f t="shared" si="36"/>
        <v>1980</v>
      </c>
      <c r="T1195" s="1318">
        <f t="shared" si="37"/>
        <v>82566</v>
      </c>
      <c r="U1195" s="83">
        <v>125</v>
      </c>
    </row>
    <row r="1196" spans="3:21" s="7" customFormat="1" ht="18" customHeight="1">
      <c r="C1196" s="6" t="s">
        <v>2778</v>
      </c>
      <c r="D1196" s="13" t="s">
        <v>2771</v>
      </c>
      <c r="E1196" s="740" t="s">
        <v>2773</v>
      </c>
      <c r="F1196" s="23" t="s">
        <v>2491</v>
      </c>
      <c r="G1196" s="21" t="s">
        <v>2780</v>
      </c>
      <c r="H1196" s="919">
        <v>41.6</v>
      </c>
      <c r="I1196" s="94">
        <v>1</v>
      </c>
      <c r="J1196" s="17">
        <f>H1196*I1196</f>
        <v>41.6</v>
      </c>
      <c r="K1196" s="597">
        <v>19.8</v>
      </c>
      <c r="L1196" s="598">
        <f>K1196*J1196</f>
        <v>823.68000000000006</v>
      </c>
      <c r="M1196" s="97" t="s">
        <v>224</v>
      </c>
      <c r="N1196" s="33">
        <v>44883</v>
      </c>
      <c r="O1196" s="32">
        <v>4762</v>
      </c>
      <c r="P1196" s="83">
        <f>1680+300</f>
        <v>1980</v>
      </c>
      <c r="Q1196" s="83">
        <f>P1196*J1196</f>
        <v>82368</v>
      </c>
      <c r="R1196" s="7" t="s">
        <v>2775</v>
      </c>
      <c r="S1196" s="7">
        <f t="shared" si="36"/>
        <v>1980</v>
      </c>
      <c r="T1196" s="1318">
        <f t="shared" si="37"/>
        <v>82368</v>
      </c>
      <c r="U1196" s="83">
        <v>125</v>
      </c>
    </row>
    <row r="1197" spans="3:21" s="7" customFormat="1" ht="18" customHeight="1">
      <c r="C1197" s="6" t="s">
        <v>2778</v>
      </c>
      <c r="D1197" s="13" t="s">
        <v>2771</v>
      </c>
      <c r="E1197" s="740" t="s">
        <v>2773</v>
      </c>
      <c r="F1197" s="23" t="s">
        <v>2491</v>
      </c>
      <c r="G1197" s="21" t="s">
        <v>2780</v>
      </c>
      <c r="H1197" s="919">
        <v>42.9</v>
      </c>
      <c r="I1197" s="94">
        <v>1</v>
      </c>
      <c r="J1197" s="17">
        <f>H1197*I1197</f>
        <v>42.9</v>
      </c>
      <c r="K1197" s="597">
        <v>19.8</v>
      </c>
      <c r="L1197" s="598">
        <f>K1197*J1197</f>
        <v>849.42</v>
      </c>
      <c r="M1197" s="97" t="s">
        <v>224</v>
      </c>
      <c r="N1197" s="33">
        <v>44883</v>
      </c>
      <c r="O1197" s="32">
        <v>4762</v>
      </c>
      <c r="P1197" s="83">
        <f>1680+300</f>
        <v>1980</v>
      </c>
      <c r="Q1197" s="83">
        <f>P1197*J1197</f>
        <v>84942</v>
      </c>
      <c r="R1197" s="7" t="s">
        <v>2775</v>
      </c>
      <c r="S1197" s="7">
        <f t="shared" si="36"/>
        <v>1980</v>
      </c>
      <c r="T1197" s="1318">
        <f t="shared" si="37"/>
        <v>84942</v>
      </c>
      <c r="U1197" s="83">
        <v>125</v>
      </c>
    </row>
    <row r="1198" spans="3:21" s="159" customFormat="1" ht="18" customHeight="1">
      <c r="C1198" s="149" t="s">
        <v>2778</v>
      </c>
      <c r="D1198" s="150" t="s">
        <v>2771</v>
      </c>
      <c r="E1198" s="151"/>
      <c r="F1198" s="152"/>
      <c r="G1198" s="152" t="s">
        <v>168</v>
      </c>
      <c r="H1198" s="918" t="s">
        <v>2776</v>
      </c>
      <c r="I1198" s="155"/>
      <c r="J1198" s="153"/>
      <c r="K1198" s="600">
        <v>0</v>
      </c>
      <c r="L1198" s="601"/>
      <c r="M1198" s="601"/>
      <c r="N1198" s="157">
        <v>44883</v>
      </c>
      <c r="O1198" s="156">
        <v>4762</v>
      </c>
      <c r="P1198" s="164">
        <v>0</v>
      </c>
      <c r="Q1198" s="165">
        <v>0</v>
      </c>
      <c r="S1198" s="7">
        <f t="shared" si="36"/>
        <v>0</v>
      </c>
      <c r="T1198" s="1318">
        <f t="shared" si="37"/>
        <v>0</v>
      </c>
      <c r="U1198" s="83">
        <v>125</v>
      </c>
    </row>
    <row r="1199" spans="3:21" s="177" customFormat="1" ht="18" customHeight="1">
      <c r="C1199" s="167" t="s">
        <v>2781</v>
      </c>
      <c r="D1199" s="169" t="s">
        <v>2627</v>
      </c>
      <c r="E1199" s="169" t="s">
        <v>2630</v>
      </c>
      <c r="F1199" s="170"/>
      <c r="G1199" s="171" t="s">
        <v>2782</v>
      </c>
      <c r="H1199" s="173"/>
      <c r="I1199" s="174"/>
      <c r="J1199" s="172">
        <v>1</v>
      </c>
      <c r="K1199" s="917">
        <v>28</v>
      </c>
      <c r="L1199" s="920">
        <f>K1199*J1199</f>
        <v>28</v>
      </c>
      <c r="M1199" s="909"/>
      <c r="N1199" s="235">
        <v>44846</v>
      </c>
      <c r="O1199" s="175">
        <v>4645</v>
      </c>
      <c r="P1199" s="897">
        <v>3442</v>
      </c>
      <c r="Q1199" s="897">
        <v>3442</v>
      </c>
      <c r="S1199" s="7">
        <f t="shared" si="36"/>
        <v>3442</v>
      </c>
      <c r="T1199" s="1318">
        <f t="shared" si="37"/>
        <v>3442</v>
      </c>
      <c r="U1199" s="83">
        <v>125</v>
      </c>
    </row>
    <row r="1200" spans="3:21" s="177" customFormat="1" ht="18" customHeight="1">
      <c r="C1200" s="167" t="s">
        <v>2783</v>
      </c>
      <c r="D1200" s="169" t="s">
        <v>2784</v>
      </c>
      <c r="E1200" s="169" t="s">
        <v>2630</v>
      </c>
      <c r="F1200" s="170"/>
      <c r="G1200" s="171" t="s">
        <v>2782</v>
      </c>
      <c r="H1200" s="173"/>
      <c r="I1200" s="174"/>
      <c r="J1200" s="172">
        <v>1</v>
      </c>
      <c r="K1200" s="917">
        <v>28</v>
      </c>
      <c r="L1200" s="920">
        <f>K1200*J1200</f>
        <v>28</v>
      </c>
      <c r="M1200" s="909"/>
      <c r="N1200" s="235">
        <v>44853</v>
      </c>
      <c r="O1200" s="175">
        <v>4682</v>
      </c>
      <c r="P1200" s="897">
        <v>3442</v>
      </c>
      <c r="Q1200" s="897">
        <v>3442</v>
      </c>
      <c r="S1200" s="7">
        <f t="shared" si="36"/>
        <v>3442</v>
      </c>
      <c r="T1200" s="1318">
        <f t="shared" si="37"/>
        <v>3442</v>
      </c>
      <c r="U1200" s="83">
        <v>125</v>
      </c>
    </row>
    <row r="1201" spans="3:21" s="7" customFormat="1" ht="18" customHeight="1">
      <c r="C1201" s="6" t="s">
        <v>2785</v>
      </c>
      <c r="D1201" s="13" t="s">
        <v>2627</v>
      </c>
      <c r="E1201" s="18" t="s">
        <v>2786</v>
      </c>
      <c r="F1201" s="23"/>
      <c r="G1201" s="21"/>
      <c r="H1201" s="39"/>
      <c r="I1201" s="56"/>
      <c r="J1201" s="55"/>
      <c r="K1201" s="15" t="s">
        <v>8</v>
      </c>
      <c r="L1201" s="33"/>
      <c r="M1201" s="33"/>
      <c r="N1201" s="33">
        <v>44859</v>
      </c>
      <c r="O1201" s="32">
        <v>4665</v>
      </c>
      <c r="P1201" s="83"/>
      <c r="Q1201" s="83"/>
      <c r="S1201" s="7">
        <f t="shared" si="36"/>
        <v>0</v>
      </c>
      <c r="T1201" s="1318">
        <f t="shared" si="37"/>
        <v>0</v>
      </c>
      <c r="U1201" s="83">
        <v>125</v>
      </c>
    </row>
    <row r="1202" spans="3:21" s="7" customFormat="1" ht="18" customHeight="1">
      <c r="C1202" s="6" t="s">
        <v>2785</v>
      </c>
      <c r="D1202" s="13" t="s">
        <v>2627</v>
      </c>
      <c r="E1202" s="203" t="s">
        <v>2787</v>
      </c>
      <c r="F1202" s="203" t="s">
        <v>2788</v>
      </c>
      <c r="G1202" s="21" t="s">
        <v>2789</v>
      </c>
      <c r="H1202" s="919"/>
      <c r="I1202" s="94"/>
      <c r="J1202" s="55">
        <v>5</v>
      </c>
      <c r="K1202" s="597">
        <v>9.9</v>
      </c>
      <c r="L1202" s="598">
        <f>K1202*J1202</f>
        <v>49.5</v>
      </c>
      <c r="M1202" s="97" t="s">
        <v>224</v>
      </c>
      <c r="N1202" s="33">
        <v>44859</v>
      </c>
      <c r="O1202" s="32">
        <v>4665</v>
      </c>
      <c r="P1202" s="897">
        <v>970</v>
      </c>
      <c r="Q1202" s="83">
        <f>P1202*J1202</f>
        <v>4850</v>
      </c>
      <c r="S1202" s="7">
        <f t="shared" si="36"/>
        <v>970</v>
      </c>
      <c r="T1202" s="1318">
        <f t="shared" si="37"/>
        <v>4850</v>
      </c>
      <c r="U1202" s="83">
        <v>125</v>
      </c>
    </row>
    <row r="1203" spans="3:21" ht="18" customHeight="1">
      <c r="C1203" s="6" t="s">
        <v>2785</v>
      </c>
      <c r="D1203" s="13" t="s">
        <v>2627</v>
      </c>
      <c r="E1203" s="48"/>
      <c r="F1203" s="38"/>
      <c r="G1203" s="38" t="s">
        <v>218</v>
      </c>
      <c r="H1203" s="39"/>
      <c r="I1203" s="94"/>
      <c r="J1203" s="39">
        <v>1</v>
      </c>
      <c r="K1203" s="611">
        <v>15</v>
      </c>
      <c r="L1203" s="598">
        <f>K1203*J1203</f>
        <v>15</v>
      </c>
      <c r="M1203" s="898"/>
      <c r="N1203" s="33">
        <v>44859</v>
      </c>
      <c r="O1203" s="32">
        <v>4665</v>
      </c>
      <c r="P1203" s="83">
        <f>400*5</f>
        <v>2000</v>
      </c>
      <c r="Q1203" s="83">
        <f>400*5</f>
        <v>2000</v>
      </c>
      <c r="S1203" s="7">
        <f t="shared" si="36"/>
        <v>2000</v>
      </c>
      <c r="T1203" s="1318">
        <f t="shared" si="37"/>
        <v>2000</v>
      </c>
      <c r="U1203" s="83">
        <v>125</v>
      </c>
    </row>
    <row r="1204" spans="3:21" s="159" customFormat="1" ht="18" customHeight="1">
      <c r="C1204" s="149" t="s">
        <v>2785</v>
      </c>
      <c r="D1204" s="150" t="s">
        <v>2627</v>
      </c>
      <c r="E1204" s="151"/>
      <c r="F1204" s="152"/>
      <c r="G1204" s="152" t="s">
        <v>168</v>
      </c>
      <c r="H1204" s="154" t="s">
        <v>170</v>
      </c>
      <c r="I1204" s="155"/>
      <c r="J1204" s="153"/>
      <c r="K1204" s="921">
        <v>55</v>
      </c>
      <c r="L1204" s="921">
        <v>55</v>
      </c>
      <c r="M1204" s="157"/>
      <c r="N1204" s="157">
        <v>44859</v>
      </c>
      <c r="O1204" s="156">
        <v>4665</v>
      </c>
      <c r="P1204" s="897">
        <v>6773</v>
      </c>
      <c r="Q1204" s="256">
        <v>6773</v>
      </c>
      <c r="R1204" s="257"/>
      <c r="S1204" s="7">
        <f t="shared" si="36"/>
        <v>6773</v>
      </c>
      <c r="T1204" s="1318">
        <f t="shared" si="37"/>
        <v>6773</v>
      </c>
      <c r="U1204" s="83">
        <v>125</v>
      </c>
    </row>
    <row r="1205" spans="3:21" s="7" customFormat="1" ht="18" customHeight="1">
      <c r="C1205" s="6" t="s">
        <v>2790</v>
      </c>
      <c r="D1205" s="13" t="s">
        <v>2277</v>
      </c>
      <c r="E1205" s="18" t="s">
        <v>19</v>
      </c>
      <c r="F1205" s="23"/>
      <c r="G1205" s="21"/>
      <c r="H1205" s="55"/>
      <c r="I1205" s="56"/>
      <c r="J1205" s="55"/>
      <c r="K1205" s="15" t="s">
        <v>8</v>
      </c>
      <c r="L1205" s="688"/>
      <c r="M1205" s="688"/>
      <c r="N1205" s="33">
        <v>44876</v>
      </c>
      <c r="O1205" s="32">
        <v>4742</v>
      </c>
      <c r="P1205" s="83"/>
      <c r="Q1205" s="83"/>
      <c r="S1205" s="7">
        <f t="shared" si="36"/>
        <v>0</v>
      </c>
      <c r="T1205" s="1318">
        <f t="shared" si="37"/>
        <v>0</v>
      </c>
      <c r="U1205" s="83">
        <v>125</v>
      </c>
    </row>
    <row r="1206" spans="3:21" s="7" customFormat="1" ht="18" customHeight="1">
      <c r="C1206" s="6" t="s">
        <v>2790</v>
      </c>
      <c r="D1206" s="13" t="s">
        <v>2277</v>
      </c>
      <c r="E1206" s="740" t="s">
        <v>2761</v>
      </c>
      <c r="F1206" s="23"/>
      <c r="G1206" s="21" t="s">
        <v>25</v>
      </c>
      <c r="H1206" s="93">
        <v>13.4</v>
      </c>
      <c r="I1206" s="94">
        <v>1</v>
      </c>
      <c r="J1206" s="108">
        <f>H1206*I1206</f>
        <v>13.4</v>
      </c>
      <c r="K1206" s="597">
        <v>9.82</v>
      </c>
      <c r="L1206" s="598">
        <f>K1206*J1206</f>
        <v>131.58799999999999</v>
      </c>
      <c r="M1206" s="97" t="s">
        <v>224</v>
      </c>
      <c r="N1206" s="33">
        <v>44876</v>
      </c>
      <c r="O1206" s="32">
        <v>4742</v>
      </c>
      <c r="P1206" s="83">
        <v>810</v>
      </c>
      <c r="Q1206" s="83">
        <f>P1206*J1206</f>
        <v>10854</v>
      </c>
      <c r="R1206" s="7" t="s">
        <v>2762</v>
      </c>
      <c r="S1206" s="7">
        <f t="shared" si="36"/>
        <v>810</v>
      </c>
      <c r="T1206" s="1318">
        <f t="shared" si="37"/>
        <v>10854</v>
      </c>
      <c r="U1206" s="83">
        <v>125</v>
      </c>
    </row>
    <row r="1207" spans="3:21" s="7" customFormat="1" ht="18" customHeight="1">
      <c r="C1207" s="6" t="s">
        <v>2790</v>
      </c>
      <c r="D1207" s="13" t="s">
        <v>2277</v>
      </c>
      <c r="E1207" s="740" t="s">
        <v>2761</v>
      </c>
      <c r="F1207" s="23"/>
      <c r="G1207" s="21" t="s">
        <v>25</v>
      </c>
      <c r="H1207" s="93">
        <v>13.7</v>
      </c>
      <c r="I1207" s="94">
        <v>3</v>
      </c>
      <c r="J1207" s="108">
        <f>H1207*I1207</f>
        <v>41.099999999999994</v>
      </c>
      <c r="K1207" s="597">
        <v>9.82</v>
      </c>
      <c r="L1207" s="598">
        <f>K1207*J1207</f>
        <v>403.60199999999998</v>
      </c>
      <c r="M1207" s="97" t="s">
        <v>224</v>
      </c>
      <c r="N1207" s="33">
        <v>44949</v>
      </c>
      <c r="O1207" s="32">
        <v>4912</v>
      </c>
      <c r="P1207" s="83">
        <v>810</v>
      </c>
      <c r="Q1207" s="83">
        <f>P1207*J1207</f>
        <v>33290.999999999993</v>
      </c>
      <c r="R1207" s="7" t="s">
        <v>2762</v>
      </c>
      <c r="S1207" s="7">
        <f t="shared" si="36"/>
        <v>810</v>
      </c>
      <c r="T1207" s="1318">
        <f t="shared" si="37"/>
        <v>33290.999999999993</v>
      </c>
      <c r="U1207" s="83">
        <v>125</v>
      </c>
    </row>
    <row r="1208" spans="3:21" ht="18" customHeight="1">
      <c r="C1208" s="6" t="s">
        <v>2790</v>
      </c>
      <c r="D1208" s="13" t="s">
        <v>2277</v>
      </c>
      <c r="E1208" s="21"/>
      <c r="F1208" s="38"/>
      <c r="G1208" s="38" t="s">
        <v>218</v>
      </c>
      <c r="H1208" s="39"/>
      <c r="I1208" s="94"/>
      <c r="J1208" s="39">
        <v>1</v>
      </c>
      <c r="K1208" s="611">
        <v>12</v>
      </c>
      <c r="L1208" s="598">
        <f>K1208*J1208</f>
        <v>12</v>
      </c>
      <c r="M1208" s="898"/>
      <c r="N1208" s="33">
        <v>44949</v>
      </c>
      <c r="O1208" s="32">
        <v>4912</v>
      </c>
      <c r="P1208" s="83">
        <v>0</v>
      </c>
      <c r="Q1208" s="83">
        <f>P1208*J1208</f>
        <v>0</v>
      </c>
      <c r="S1208" s="7">
        <f t="shared" si="36"/>
        <v>0</v>
      </c>
      <c r="T1208" s="1318">
        <f t="shared" si="37"/>
        <v>0</v>
      </c>
      <c r="U1208" s="83">
        <v>125</v>
      </c>
    </row>
    <row r="1209" spans="3:21" s="159" customFormat="1" ht="18" customHeight="1">
      <c r="C1209" s="149" t="s">
        <v>2790</v>
      </c>
      <c r="D1209" s="150" t="s">
        <v>2277</v>
      </c>
      <c r="E1209" s="191"/>
      <c r="F1209" s="152"/>
      <c r="G1209" s="152" t="s">
        <v>168</v>
      </c>
      <c r="H1209" s="154" t="s">
        <v>169</v>
      </c>
      <c r="I1209" s="155"/>
      <c r="J1209" s="153"/>
      <c r="K1209" s="600">
        <v>0</v>
      </c>
      <c r="L1209" s="601"/>
      <c r="M1209" s="601"/>
      <c r="N1209" s="157">
        <v>44949</v>
      </c>
      <c r="O1209" s="156">
        <v>4912</v>
      </c>
      <c r="P1209" s="164">
        <v>0</v>
      </c>
      <c r="Q1209" s="165">
        <v>0</v>
      </c>
      <c r="S1209" s="7">
        <f t="shared" si="36"/>
        <v>0</v>
      </c>
      <c r="T1209" s="1318">
        <f t="shared" si="37"/>
        <v>0</v>
      </c>
      <c r="U1209" s="83">
        <v>125</v>
      </c>
    </row>
    <row r="1210" spans="3:21" s="7" customFormat="1" ht="18" customHeight="1">
      <c r="C1210" s="6" t="s">
        <v>2791</v>
      </c>
      <c r="D1210" s="13" t="s">
        <v>2277</v>
      </c>
      <c r="E1210" s="18" t="s">
        <v>19</v>
      </c>
      <c r="F1210" s="23"/>
      <c r="G1210" s="21"/>
      <c r="H1210" s="55"/>
      <c r="I1210" s="56"/>
      <c r="J1210" s="55"/>
      <c r="K1210" s="15" t="s">
        <v>8</v>
      </c>
      <c r="L1210" s="688"/>
      <c r="M1210" s="688"/>
      <c r="N1210" s="33">
        <v>44876</v>
      </c>
      <c r="O1210" s="32">
        <v>4742</v>
      </c>
      <c r="P1210" s="83"/>
      <c r="Q1210" s="83"/>
      <c r="S1210" s="7">
        <f t="shared" si="36"/>
        <v>0</v>
      </c>
      <c r="T1210" s="1318">
        <f t="shared" si="37"/>
        <v>0</v>
      </c>
      <c r="U1210" s="83">
        <v>125</v>
      </c>
    </row>
    <row r="1211" spans="3:21" s="7" customFormat="1" ht="18" customHeight="1">
      <c r="C1211" s="6" t="s">
        <v>2791</v>
      </c>
      <c r="D1211" s="13" t="s">
        <v>2277</v>
      </c>
      <c r="E1211" s="740" t="s">
        <v>2792</v>
      </c>
      <c r="F1211" s="23"/>
      <c r="G1211" s="21" t="s">
        <v>25</v>
      </c>
      <c r="H1211" s="93">
        <v>13.7</v>
      </c>
      <c r="I1211" s="94">
        <v>2</v>
      </c>
      <c r="J1211" s="108">
        <f>H1211*I1211</f>
        <v>27.4</v>
      </c>
      <c r="K1211" s="597">
        <v>7.19</v>
      </c>
      <c r="L1211" s="598">
        <f>K1211*J1211</f>
        <v>197.006</v>
      </c>
      <c r="M1211" s="97" t="s">
        <v>224</v>
      </c>
      <c r="N1211" s="33">
        <v>44876</v>
      </c>
      <c r="O1211" s="32">
        <v>4742</v>
      </c>
      <c r="P1211" s="83">
        <v>629</v>
      </c>
      <c r="Q1211" s="83">
        <f>P1211*J1211</f>
        <v>17234.599999999999</v>
      </c>
      <c r="S1211" s="7">
        <f t="shared" si="36"/>
        <v>629</v>
      </c>
      <c r="T1211" s="1318">
        <f t="shared" si="37"/>
        <v>17234.599999999999</v>
      </c>
      <c r="U1211" s="83">
        <v>125</v>
      </c>
    </row>
    <row r="1212" spans="3:21" s="7" customFormat="1" ht="18" customHeight="1">
      <c r="C1212" s="6" t="s">
        <v>2791</v>
      </c>
      <c r="D1212" s="13" t="s">
        <v>2277</v>
      </c>
      <c r="E1212" s="740" t="s">
        <v>2793</v>
      </c>
      <c r="F1212" s="23"/>
      <c r="G1212" s="21" t="s">
        <v>25</v>
      </c>
      <c r="H1212" s="93">
        <v>13.7</v>
      </c>
      <c r="I1212" s="94">
        <v>2</v>
      </c>
      <c r="J1212" s="108">
        <f>H1212*I1212</f>
        <v>27.4</v>
      </c>
      <c r="K1212" s="597">
        <v>3.78</v>
      </c>
      <c r="L1212" s="598">
        <f>K1212*J1212</f>
        <v>103.57199999999999</v>
      </c>
      <c r="M1212" s="97" t="s">
        <v>224</v>
      </c>
      <c r="N1212" s="33">
        <v>44876</v>
      </c>
      <c r="O1212" s="32">
        <v>4742</v>
      </c>
      <c r="P1212" s="83">
        <v>330</v>
      </c>
      <c r="Q1212" s="83">
        <f>P1212*J1212</f>
        <v>9042</v>
      </c>
      <c r="S1212" s="7">
        <f t="shared" si="36"/>
        <v>330</v>
      </c>
      <c r="T1212" s="1318">
        <f t="shared" si="37"/>
        <v>9042</v>
      </c>
      <c r="U1212" s="83">
        <v>125</v>
      </c>
    </row>
    <row r="1213" spans="3:21" ht="18" customHeight="1">
      <c r="C1213" s="6" t="s">
        <v>2791</v>
      </c>
      <c r="D1213" s="13" t="s">
        <v>2277</v>
      </c>
      <c r="E1213" s="21"/>
      <c r="F1213" s="38"/>
      <c r="G1213" s="38" t="s">
        <v>218</v>
      </c>
      <c r="H1213" s="39"/>
      <c r="I1213" s="94"/>
      <c r="J1213" s="39">
        <v>1</v>
      </c>
      <c r="K1213" s="611">
        <v>12</v>
      </c>
      <c r="L1213" s="598">
        <f>K1213*J1213</f>
        <v>12</v>
      </c>
      <c r="M1213" s="898"/>
      <c r="N1213" s="33">
        <v>44876</v>
      </c>
      <c r="O1213" s="32">
        <v>4742</v>
      </c>
      <c r="P1213" s="83">
        <v>0</v>
      </c>
      <c r="Q1213" s="83">
        <f>P1213*J1213</f>
        <v>0</v>
      </c>
      <c r="S1213" s="7">
        <f t="shared" si="36"/>
        <v>0</v>
      </c>
      <c r="T1213" s="1318">
        <f t="shared" si="37"/>
        <v>0</v>
      </c>
      <c r="U1213" s="83">
        <v>125</v>
      </c>
    </row>
    <row r="1214" spans="3:21" s="159" customFormat="1" ht="18" customHeight="1">
      <c r="C1214" s="149" t="s">
        <v>2791</v>
      </c>
      <c r="D1214" s="150" t="s">
        <v>2277</v>
      </c>
      <c r="E1214" s="191"/>
      <c r="F1214" s="152"/>
      <c r="G1214" s="152" t="s">
        <v>168</v>
      </c>
      <c r="H1214" s="154" t="s">
        <v>169</v>
      </c>
      <c r="I1214" s="155"/>
      <c r="J1214" s="153"/>
      <c r="K1214" s="600">
        <v>0</v>
      </c>
      <c r="L1214" s="601"/>
      <c r="M1214" s="601"/>
      <c r="N1214" s="157">
        <v>44876</v>
      </c>
      <c r="O1214" s="156">
        <v>4742</v>
      </c>
      <c r="P1214" s="164">
        <v>0</v>
      </c>
      <c r="Q1214" s="165">
        <v>0</v>
      </c>
      <c r="S1214" s="7">
        <f t="shared" si="36"/>
        <v>0</v>
      </c>
      <c r="T1214" s="1318">
        <f t="shared" si="37"/>
        <v>0</v>
      </c>
      <c r="U1214" s="83">
        <v>125</v>
      </c>
    </row>
    <row r="1215" spans="3:21" s="7" customFormat="1" ht="18" customHeight="1">
      <c r="C1215" s="6" t="s">
        <v>2794</v>
      </c>
      <c r="D1215" s="13" t="s">
        <v>2539</v>
      </c>
      <c r="E1215" s="18" t="s">
        <v>262</v>
      </c>
      <c r="F1215" s="92"/>
      <c r="G1215" s="21"/>
      <c r="H1215" s="93"/>
      <c r="I1215" s="94"/>
      <c r="J1215" s="93"/>
      <c r="K1215" s="28" t="s">
        <v>8</v>
      </c>
      <c r="L1215" s="33"/>
      <c r="M1215" s="33"/>
      <c r="N1215" s="33">
        <v>44874</v>
      </c>
      <c r="O1215" s="32">
        <v>4729</v>
      </c>
      <c r="P1215" s="83"/>
      <c r="Q1215" s="83"/>
      <c r="S1215" s="7">
        <f t="shared" si="36"/>
        <v>0</v>
      </c>
      <c r="T1215" s="1318">
        <f t="shared" si="37"/>
        <v>0</v>
      </c>
      <c r="U1215" s="13">
        <v>120</v>
      </c>
    </row>
    <row r="1216" spans="3:21" s="7" customFormat="1" ht="18" customHeight="1">
      <c r="C1216" s="6" t="s">
        <v>2794</v>
      </c>
      <c r="D1216" s="13" t="s">
        <v>2539</v>
      </c>
      <c r="E1216" s="21" t="s">
        <v>2557</v>
      </c>
      <c r="F1216" s="92">
        <v>148</v>
      </c>
      <c r="G1216" s="21" t="s">
        <v>2612</v>
      </c>
      <c r="H1216" s="919">
        <v>30</v>
      </c>
      <c r="I1216" s="94">
        <v>1</v>
      </c>
      <c r="J1216" s="55">
        <f>H1216*I1216</f>
        <v>30</v>
      </c>
      <c r="K1216" s="275">
        <v>5.84</v>
      </c>
      <c r="L1216" s="40">
        <f>K1216*J1216</f>
        <v>175.2</v>
      </c>
      <c r="M1216" s="97" t="s">
        <v>224</v>
      </c>
      <c r="N1216" s="33">
        <v>44874</v>
      </c>
      <c r="O1216" s="32">
        <v>4729</v>
      </c>
      <c r="P1216" s="83">
        <v>450</v>
      </c>
      <c r="Q1216" s="83">
        <f>P1216*J1216</f>
        <v>13500</v>
      </c>
      <c r="S1216" s="7">
        <f t="shared" si="36"/>
        <v>450</v>
      </c>
      <c r="T1216" s="1318">
        <f t="shared" si="37"/>
        <v>13500</v>
      </c>
      <c r="U1216" s="13">
        <v>120</v>
      </c>
    </row>
    <row r="1217" spans="3:26" ht="18" customHeight="1">
      <c r="C1217" s="6" t="s">
        <v>2794</v>
      </c>
      <c r="D1217" s="13" t="s">
        <v>2539</v>
      </c>
      <c r="E1217" s="21"/>
      <c r="F1217" s="38"/>
      <c r="G1217" s="38" t="s">
        <v>2795</v>
      </c>
      <c r="H1217" s="39"/>
      <c r="I1217" s="94"/>
      <c r="J1217" s="39">
        <v>1</v>
      </c>
      <c r="K1217" s="275">
        <v>12</v>
      </c>
      <c r="L1217" s="40">
        <f>K1217*J1217</f>
        <v>12</v>
      </c>
      <c r="M1217" s="898"/>
      <c r="N1217" s="33">
        <v>44874</v>
      </c>
      <c r="O1217" s="32">
        <v>4729</v>
      </c>
      <c r="P1217" s="83">
        <v>1000</v>
      </c>
      <c r="Q1217" s="83">
        <f>P1217*J1217</f>
        <v>1000</v>
      </c>
      <c r="S1217" s="7">
        <f t="shared" si="36"/>
        <v>1000</v>
      </c>
      <c r="T1217" s="1318">
        <f t="shared" si="37"/>
        <v>1000</v>
      </c>
      <c r="U1217" s="13">
        <v>120</v>
      </c>
    </row>
    <row r="1218" spans="3:26" ht="18" customHeight="1">
      <c r="C1218" s="6" t="s">
        <v>2794</v>
      </c>
      <c r="D1218" s="13" t="s">
        <v>2539</v>
      </c>
      <c r="E1218" s="21"/>
      <c r="F1218" s="38"/>
      <c r="G1218" s="38" t="s">
        <v>218</v>
      </c>
      <c r="H1218" s="39"/>
      <c r="I1218" s="94"/>
      <c r="J1218" s="39">
        <v>1</v>
      </c>
      <c r="K1218" s="275">
        <v>20</v>
      </c>
      <c r="L1218" s="40">
        <f>K1218*J1218</f>
        <v>20</v>
      </c>
      <c r="M1218" s="898"/>
      <c r="N1218" s="33">
        <v>44874</v>
      </c>
      <c r="O1218" s="32">
        <v>4729</v>
      </c>
      <c r="P1218" s="83">
        <v>1000</v>
      </c>
      <c r="Q1218" s="83">
        <f>P1218*J1218</f>
        <v>1000</v>
      </c>
      <c r="S1218" s="7">
        <f t="shared" si="36"/>
        <v>1000</v>
      </c>
      <c r="T1218" s="1318">
        <f t="shared" si="37"/>
        <v>1000</v>
      </c>
      <c r="U1218" s="13">
        <v>120</v>
      </c>
    </row>
    <row r="1219" spans="3:26" s="159" customFormat="1" ht="18" customHeight="1">
      <c r="C1219" s="149" t="s">
        <v>2794</v>
      </c>
      <c r="D1219" s="150" t="s">
        <v>2539</v>
      </c>
      <c r="E1219" s="191"/>
      <c r="F1219" s="152"/>
      <c r="G1219" s="152" t="s">
        <v>168</v>
      </c>
      <c r="H1219" s="154" t="s">
        <v>294</v>
      </c>
      <c r="I1219" s="155"/>
      <c r="J1219" s="153"/>
      <c r="K1219" s="922">
        <v>58</v>
      </c>
      <c r="L1219" s="922">
        <v>58</v>
      </c>
      <c r="M1219" s="601"/>
      <c r="N1219" s="157">
        <v>44874</v>
      </c>
      <c r="O1219" s="156">
        <v>4729</v>
      </c>
      <c r="P1219" s="164">
        <v>6883</v>
      </c>
      <c r="Q1219" s="165">
        <v>6883</v>
      </c>
      <c r="S1219" s="7">
        <f t="shared" si="36"/>
        <v>6883</v>
      </c>
      <c r="T1219" s="1318">
        <f t="shared" si="37"/>
        <v>6883</v>
      </c>
      <c r="U1219" s="83">
        <v>120</v>
      </c>
    </row>
    <row r="1220" spans="3:26" ht="18" customHeight="1">
      <c r="C1220" s="6" t="s">
        <v>2796</v>
      </c>
      <c r="D1220" s="13" t="s">
        <v>1812</v>
      </c>
      <c r="E1220" s="16" t="s">
        <v>84</v>
      </c>
      <c r="F1220" s="253"/>
      <c r="G1220" s="237"/>
      <c r="H1220" s="238" t="s">
        <v>265</v>
      </c>
      <c r="I1220" s="254"/>
      <c r="J1220" s="255"/>
      <c r="K1220" s="95" t="s">
        <v>47</v>
      </c>
      <c r="L1220" s="115"/>
      <c r="M1220" s="33"/>
      <c r="N1220" s="33">
        <v>44883</v>
      </c>
      <c r="O1220" s="32">
        <v>4760</v>
      </c>
      <c r="P1220" s="83"/>
      <c r="Q1220" s="83"/>
      <c r="R1220" s="7"/>
      <c r="S1220" s="7">
        <f t="shared" si="36"/>
        <v>0</v>
      </c>
      <c r="T1220" s="1318">
        <f t="shared" si="37"/>
        <v>0</v>
      </c>
      <c r="U1220" s="83">
        <v>125</v>
      </c>
      <c r="V1220" s="7"/>
      <c r="W1220" s="7"/>
      <c r="X1220" s="7"/>
      <c r="Y1220" s="7"/>
      <c r="Z1220" s="7"/>
    </row>
    <row r="1221" spans="3:26" ht="18" customHeight="1">
      <c r="C1221" s="6" t="s">
        <v>2796</v>
      </c>
      <c r="D1221" s="13" t="s">
        <v>1812</v>
      </c>
      <c r="E1221" s="21">
        <v>14552</v>
      </c>
      <c r="F1221" s="23">
        <v>25</v>
      </c>
      <c r="G1221" s="203" t="s">
        <v>2797</v>
      </c>
      <c r="H1221" s="93">
        <v>30</v>
      </c>
      <c r="I1221" s="94">
        <v>4</v>
      </c>
      <c r="J1221" s="8">
        <f>H1221*I1221</f>
        <v>120</v>
      </c>
      <c r="K1221" s="597">
        <v>0.99</v>
      </c>
      <c r="L1221" s="598">
        <f>K1221*J1221</f>
        <v>118.8</v>
      </c>
      <c r="M1221" s="97" t="s">
        <v>257</v>
      </c>
      <c r="N1221" s="33">
        <v>44883</v>
      </c>
      <c r="O1221" s="32">
        <v>4760</v>
      </c>
      <c r="P1221" s="83">
        <v>65</v>
      </c>
      <c r="Q1221" s="83">
        <f>P1221*J1221</f>
        <v>7800</v>
      </c>
      <c r="S1221" s="7">
        <f t="shared" si="36"/>
        <v>65</v>
      </c>
      <c r="T1221" s="1318">
        <f t="shared" si="37"/>
        <v>7800</v>
      </c>
      <c r="U1221" s="83">
        <v>125</v>
      </c>
    </row>
    <row r="1222" spans="3:26" s="7" customFormat="1" ht="18" customHeight="1">
      <c r="C1222" s="6" t="s">
        <v>2796</v>
      </c>
      <c r="D1222" s="13" t="s">
        <v>1812</v>
      </c>
      <c r="E1222" s="18" t="s">
        <v>79</v>
      </c>
      <c r="F1222" s="92"/>
      <c r="G1222" s="21"/>
      <c r="H1222" s="93"/>
      <c r="I1222" s="94"/>
      <c r="J1222" s="93"/>
      <c r="K1222" s="95" t="s">
        <v>8</v>
      </c>
      <c r="L1222" s="33"/>
      <c r="M1222" s="33"/>
      <c r="N1222" s="33">
        <v>44883</v>
      </c>
      <c r="O1222" s="32">
        <v>4760</v>
      </c>
      <c r="P1222" s="83"/>
      <c r="Q1222" s="83"/>
      <c r="S1222" s="7">
        <f t="shared" si="36"/>
        <v>0</v>
      </c>
      <c r="T1222" s="1318">
        <f t="shared" si="37"/>
        <v>0</v>
      </c>
      <c r="U1222" s="83">
        <v>125</v>
      </c>
    </row>
    <row r="1223" spans="3:26" s="7" customFormat="1" ht="18" customHeight="1">
      <c r="C1223" s="6" t="s">
        <v>2796</v>
      </c>
      <c r="D1223" s="13" t="s">
        <v>1812</v>
      </c>
      <c r="E1223" s="21">
        <v>4141</v>
      </c>
      <c r="F1223" s="596">
        <v>9</v>
      </c>
      <c r="G1223" s="21" t="s">
        <v>2798</v>
      </c>
      <c r="H1223" s="93">
        <v>20</v>
      </c>
      <c r="I1223" s="94">
        <v>15</v>
      </c>
      <c r="J1223" s="55">
        <f t="shared" ref="J1223:J1229" si="38">H1223*I1223</f>
        <v>300</v>
      </c>
      <c r="K1223" s="597">
        <v>1.33</v>
      </c>
      <c r="L1223" s="598">
        <f t="shared" ref="L1223:L1229" si="39">K1223*J1223</f>
        <v>399</v>
      </c>
      <c r="M1223" s="97" t="s">
        <v>224</v>
      </c>
      <c r="N1223" s="33">
        <v>44883</v>
      </c>
      <c r="O1223" s="32">
        <v>4760</v>
      </c>
      <c r="P1223" s="83">
        <v>88</v>
      </c>
      <c r="Q1223" s="83">
        <f t="shared" ref="Q1223:Q1229" si="40">P1223*J1223</f>
        <v>26400</v>
      </c>
      <c r="S1223" s="7">
        <f t="shared" si="36"/>
        <v>88</v>
      </c>
      <c r="T1223" s="1318">
        <f t="shared" si="37"/>
        <v>26400</v>
      </c>
      <c r="U1223" s="83">
        <v>125</v>
      </c>
    </row>
    <row r="1224" spans="3:26" s="7" customFormat="1" ht="18" customHeight="1">
      <c r="C1224" s="6" t="s">
        <v>2796</v>
      </c>
      <c r="D1224" s="13" t="s">
        <v>1812</v>
      </c>
      <c r="E1224" s="21">
        <v>4141</v>
      </c>
      <c r="F1224" s="596">
        <v>9</v>
      </c>
      <c r="G1224" s="21" t="s">
        <v>1817</v>
      </c>
      <c r="H1224" s="93">
        <v>20</v>
      </c>
      <c r="I1224" s="94">
        <v>25</v>
      </c>
      <c r="J1224" s="55">
        <f t="shared" si="38"/>
        <v>500</v>
      </c>
      <c r="K1224" s="597">
        <v>1.33</v>
      </c>
      <c r="L1224" s="598">
        <f t="shared" si="39"/>
        <v>665</v>
      </c>
      <c r="M1224" s="97" t="s">
        <v>224</v>
      </c>
      <c r="N1224" s="33">
        <v>44883</v>
      </c>
      <c r="O1224" s="32">
        <v>4760</v>
      </c>
      <c r="P1224" s="83">
        <v>88</v>
      </c>
      <c r="Q1224" s="83">
        <f t="shared" si="40"/>
        <v>44000</v>
      </c>
      <c r="S1224" s="7">
        <f t="shared" si="36"/>
        <v>88</v>
      </c>
      <c r="T1224" s="1318">
        <f t="shared" si="37"/>
        <v>44000</v>
      </c>
      <c r="U1224" s="83">
        <v>125</v>
      </c>
    </row>
    <row r="1225" spans="3:26" s="7" customFormat="1" ht="18" customHeight="1">
      <c r="C1225" s="6" t="s">
        <v>2796</v>
      </c>
      <c r="D1225" s="13" t="s">
        <v>1812</v>
      </c>
      <c r="E1225" s="21">
        <v>4141</v>
      </c>
      <c r="F1225" s="596">
        <v>9</v>
      </c>
      <c r="G1225" s="21" t="s">
        <v>1816</v>
      </c>
      <c r="H1225" s="93">
        <v>20</v>
      </c>
      <c r="I1225" s="94">
        <v>10</v>
      </c>
      <c r="J1225" s="55">
        <f t="shared" si="38"/>
        <v>200</v>
      </c>
      <c r="K1225" s="597">
        <v>1.33</v>
      </c>
      <c r="L1225" s="598">
        <f>K1225*J1225</f>
        <v>266</v>
      </c>
      <c r="M1225" s="97" t="s">
        <v>224</v>
      </c>
      <c r="N1225" s="33">
        <v>44883</v>
      </c>
      <c r="O1225" s="32">
        <v>4760</v>
      </c>
      <c r="P1225" s="83">
        <v>88</v>
      </c>
      <c r="Q1225" s="83">
        <f t="shared" si="40"/>
        <v>17600</v>
      </c>
      <c r="S1225" s="7">
        <f t="shared" si="36"/>
        <v>88</v>
      </c>
      <c r="T1225" s="1318">
        <f t="shared" si="37"/>
        <v>17600</v>
      </c>
      <c r="U1225" s="83">
        <v>125</v>
      </c>
    </row>
    <row r="1226" spans="3:26" s="7" customFormat="1" ht="18" customHeight="1">
      <c r="C1226" s="6" t="s">
        <v>2796</v>
      </c>
      <c r="D1226" s="13" t="s">
        <v>1812</v>
      </c>
      <c r="E1226" s="21">
        <v>4141</v>
      </c>
      <c r="F1226" s="596">
        <v>9</v>
      </c>
      <c r="G1226" s="21" t="s">
        <v>1819</v>
      </c>
      <c r="H1226" s="93">
        <v>20</v>
      </c>
      <c r="I1226" s="94">
        <v>5</v>
      </c>
      <c r="J1226" s="55">
        <f t="shared" si="38"/>
        <v>100</v>
      </c>
      <c r="K1226" s="597">
        <v>1.33</v>
      </c>
      <c r="L1226" s="598">
        <f t="shared" si="39"/>
        <v>133</v>
      </c>
      <c r="M1226" s="97" t="s">
        <v>224</v>
      </c>
      <c r="N1226" s="33">
        <v>44883</v>
      </c>
      <c r="O1226" s="32">
        <v>4760</v>
      </c>
      <c r="P1226" s="83">
        <v>88</v>
      </c>
      <c r="Q1226" s="83">
        <f t="shared" si="40"/>
        <v>8800</v>
      </c>
      <c r="S1226" s="7">
        <f t="shared" si="36"/>
        <v>88</v>
      </c>
      <c r="T1226" s="1318">
        <f t="shared" si="37"/>
        <v>8800</v>
      </c>
      <c r="U1226" s="83">
        <v>125</v>
      </c>
    </row>
    <row r="1227" spans="3:26" s="7" customFormat="1" ht="18" customHeight="1">
      <c r="C1227" s="6" t="s">
        <v>2796</v>
      </c>
      <c r="D1227" s="13" t="s">
        <v>1812</v>
      </c>
      <c r="E1227" s="21">
        <v>4141</v>
      </c>
      <c r="F1227" s="596">
        <v>9</v>
      </c>
      <c r="G1227" s="21" t="s">
        <v>1814</v>
      </c>
      <c r="H1227" s="93">
        <v>20</v>
      </c>
      <c r="I1227" s="94">
        <v>30</v>
      </c>
      <c r="J1227" s="55">
        <f t="shared" si="38"/>
        <v>600</v>
      </c>
      <c r="K1227" s="597">
        <v>1.33</v>
      </c>
      <c r="L1227" s="598">
        <f t="shared" si="39"/>
        <v>798</v>
      </c>
      <c r="M1227" s="97" t="s">
        <v>224</v>
      </c>
      <c r="N1227" s="346">
        <v>44901</v>
      </c>
      <c r="O1227" s="32">
        <v>4814</v>
      </c>
      <c r="P1227" s="83">
        <v>88</v>
      </c>
      <c r="Q1227" s="83">
        <f t="shared" si="40"/>
        <v>52800</v>
      </c>
      <c r="S1227" s="7">
        <f t="shared" si="36"/>
        <v>88</v>
      </c>
      <c r="T1227" s="1318">
        <f t="shared" si="37"/>
        <v>52800</v>
      </c>
      <c r="U1227" s="83">
        <v>125</v>
      </c>
    </row>
    <row r="1228" spans="3:26" s="7" customFormat="1" ht="18" customHeight="1">
      <c r="C1228" s="6" t="s">
        <v>2796</v>
      </c>
      <c r="D1228" s="13" t="s">
        <v>1812</v>
      </c>
      <c r="E1228" s="21">
        <v>4141</v>
      </c>
      <c r="F1228" s="596">
        <v>9</v>
      </c>
      <c r="G1228" s="21" t="s">
        <v>1821</v>
      </c>
      <c r="H1228" s="93">
        <v>20</v>
      </c>
      <c r="I1228" s="94">
        <v>3</v>
      </c>
      <c r="J1228" s="55">
        <f t="shared" si="38"/>
        <v>60</v>
      </c>
      <c r="K1228" s="597">
        <v>1.33</v>
      </c>
      <c r="L1228" s="598">
        <f t="shared" si="39"/>
        <v>79.800000000000011</v>
      </c>
      <c r="M1228" s="97" t="s">
        <v>224</v>
      </c>
      <c r="N1228" s="33">
        <v>44883</v>
      </c>
      <c r="O1228" s="32">
        <v>4760</v>
      </c>
      <c r="P1228" s="83">
        <v>88</v>
      </c>
      <c r="Q1228" s="83">
        <f t="shared" si="40"/>
        <v>5280</v>
      </c>
      <c r="S1228" s="7">
        <f t="shared" si="36"/>
        <v>88</v>
      </c>
      <c r="T1228" s="1318">
        <f t="shared" si="37"/>
        <v>5280</v>
      </c>
      <c r="U1228" s="83">
        <v>125</v>
      </c>
    </row>
    <row r="1229" spans="3:26" s="7" customFormat="1" ht="18" customHeight="1">
      <c r="C1229" s="6" t="s">
        <v>2796</v>
      </c>
      <c r="D1229" s="13" t="s">
        <v>1812</v>
      </c>
      <c r="E1229" s="21">
        <v>4141</v>
      </c>
      <c r="F1229" s="596">
        <v>9</v>
      </c>
      <c r="G1229" s="21" t="s">
        <v>277</v>
      </c>
      <c r="H1229" s="93">
        <v>20</v>
      </c>
      <c r="I1229" s="94">
        <v>150</v>
      </c>
      <c r="J1229" s="55">
        <f t="shared" si="38"/>
        <v>3000</v>
      </c>
      <c r="K1229" s="597">
        <v>1.33</v>
      </c>
      <c r="L1229" s="598">
        <f t="shared" si="39"/>
        <v>3990</v>
      </c>
      <c r="M1229" s="97" t="s">
        <v>224</v>
      </c>
      <c r="N1229" s="33">
        <v>44883</v>
      </c>
      <c r="O1229" s="32">
        <v>4760</v>
      </c>
      <c r="P1229" s="83">
        <v>88</v>
      </c>
      <c r="Q1229" s="83">
        <f t="shared" si="40"/>
        <v>264000</v>
      </c>
      <c r="S1229" s="7">
        <f t="shared" si="36"/>
        <v>88</v>
      </c>
      <c r="T1229" s="1318">
        <f t="shared" si="37"/>
        <v>264000</v>
      </c>
      <c r="U1229" s="83">
        <v>125</v>
      </c>
    </row>
    <row r="1230" spans="3:26" s="7" customFormat="1" ht="18" customHeight="1">
      <c r="C1230" s="6" t="s">
        <v>2796</v>
      </c>
      <c r="D1230" s="13" t="s">
        <v>1812</v>
      </c>
      <c r="E1230" s="18" t="s">
        <v>156</v>
      </c>
      <c r="F1230" s="23"/>
      <c r="G1230" s="21"/>
      <c r="H1230" s="39"/>
      <c r="I1230" s="56"/>
      <c r="J1230" s="55"/>
      <c r="K1230" s="15" t="s">
        <v>8</v>
      </c>
      <c r="L1230" s="33"/>
      <c r="M1230" s="33"/>
      <c r="N1230" s="33">
        <v>44883</v>
      </c>
      <c r="O1230" s="32">
        <v>4760</v>
      </c>
      <c r="P1230" s="83"/>
      <c r="Q1230" s="83"/>
      <c r="S1230" s="7">
        <f t="shared" si="36"/>
        <v>0</v>
      </c>
      <c r="T1230" s="1318">
        <f t="shared" si="37"/>
        <v>0</v>
      </c>
      <c r="U1230" s="83">
        <v>125</v>
      </c>
    </row>
    <row r="1231" spans="3:26" ht="18" customHeight="1">
      <c r="C1231" s="6" t="s">
        <v>2796</v>
      </c>
      <c r="D1231" s="13" t="s">
        <v>1812</v>
      </c>
      <c r="E1231" s="21">
        <v>3717</v>
      </c>
      <c r="F1231" s="23">
        <v>25</v>
      </c>
      <c r="G1231" s="21" t="s">
        <v>2799</v>
      </c>
      <c r="H1231" s="93">
        <v>30</v>
      </c>
      <c r="I1231" s="94">
        <v>2</v>
      </c>
      <c r="J1231" s="55">
        <f>H1231*I1231</f>
        <v>60</v>
      </c>
      <c r="K1231" s="597">
        <v>0.5</v>
      </c>
      <c r="L1231" s="598">
        <f>K1231*J1231</f>
        <v>30</v>
      </c>
      <c r="M1231" s="97" t="s">
        <v>224</v>
      </c>
      <c r="N1231" s="33">
        <v>44883</v>
      </c>
      <c r="O1231" s="32">
        <v>4760</v>
      </c>
      <c r="P1231" s="83">
        <v>33</v>
      </c>
      <c r="Q1231" s="83">
        <f>P1231*J1231</f>
        <v>1980</v>
      </c>
      <c r="R1231" s="700"/>
      <c r="S1231" s="7">
        <f t="shared" si="36"/>
        <v>33</v>
      </c>
      <c r="T1231" s="1318">
        <f t="shared" si="37"/>
        <v>1980</v>
      </c>
      <c r="U1231" s="83">
        <v>125</v>
      </c>
    </row>
    <row r="1232" spans="3:26" ht="18" customHeight="1">
      <c r="C1232" s="6" t="s">
        <v>2796</v>
      </c>
      <c r="D1232" s="13" t="s">
        <v>1812</v>
      </c>
      <c r="E1232" s="21">
        <v>3717</v>
      </c>
      <c r="F1232" s="23">
        <v>25</v>
      </c>
      <c r="G1232" s="21" t="s">
        <v>2798</v>
      </c>
      <c r="H1232" s="93">
        <v>30</v>
      </c>
      <c r="I1232" s="94">
        <v>2</v>
      </c>
      <c r="J1232" s="55">
        <f>H1232*I1232</f>
        <v>60</v>
      </c>
      <c r="K1232" s="597">
        <v>0.5</v>
      </c>
      <c r="L1232" s="598">
        <f>K1232*J1232</f>
        <v>30</v>
      </c>
      <c r="M1232" s="97" t="s">
        <v>224</v>
      </c>
      <c r="N1232" s="33">
        <v>44883</v>
      </c>
      <c r="O1232" s="32">
        <v>4760</v>
      </c>
      <c r="P1232" s="83">
        <v>33</v>
      </c>
      <c r="Q1232" s="83">
        <f>P1232*J1232</f>
        <v>1980</v>
      </c>
      <c r="R1232" s="700"/>
      <c r="S1232" s="7">
        <f t="shared" si="36"/>
        <v>33</v>
      </c>
      <c r="T1232" s="1318">
        <f t="shared" si="37"/>
        <v>1980</v>
      </c>
      <c r="U1232" s="83">
        <v>125</v>
      </c>
    </row>
    <row r="1233" spans="3:21" s="159" customFormat="1" ht="18" customHeight="1">
      <c r="C1233" s="149" t="s">
        <v>2796</v>
      </c>
      <c r="D1233" s="150" t="s">
        <v>1812</v>
      </c>
      <c r="E1233" s="191"/>
      <c r="F1233" s="152"/>
      <c r="G1233" s="152" t="s">
        <v>168</v>
      </c>
      <c r="H1233" s="154" t="s">
        <v>169</v>
      </c>
      <c r="I1233" s="155"/>
      <c r="J1233" s="153"/>
      <c r="K1233" s="600">
        <v>0</v>
      </c>
      <c r="L1233" s="601"/>
      <c r="M1233" s="601"/>
      <c r="N1233" s="157">
        <v>44883</v>
      </c>
      <c r="O1233" s="156">
        <v>4760</v>
      </c>
      <c r="P1233" s="164">
        <v>0</v>
      </c>
      <c r="Q1233" s="165">
        <v>0</v>
      </c>
      <c r="S1233" s="7">
        <f t="shared" si="36"/>
        <v>0</v>
      </c>
      <c r="T1233" s="1318">
        <f t="shared" si="37"/>
        <v>0</v>
      </c>
      <c r="U1233" s="83">
        <v>125</v>
      </c>
    </row>
    <row r="1234" spans="3:21" s="7" customFormat="1" ht="18" customHeight="1">
      <c r="C1234" s="6" t="s">
        <v>2282</v>
      </c>
      <c r="D1234" s="13" t="s">
        <v>2539</v>
      </c>
      <c r="E1234" s="18" t="s">
        <v>2800</v>
      </c>
      <c r="F1234" s="92"/>
      <c r="G1234" s="21"/>
      <c r="H1234" s="93"/>
      <c r="I1234" s="94"/>
      <c r="J1234" s="93"/>
      <c r="K1234" s="28" t="s">
        <v>8</v>
      </c>
      <c r="L1234" s="33"/>
      <c r="M1234" s="33"/>
      <c r="N1234" s="33">
        <v>44895</v>
      </c>
      <c r="O1234" s="32">
        <v>4793</v>
      </c>
      <c r="P1234" s="83"/>
      <c r="Q1234" s="83"/>
      <c r="S1234" s="7">
        <f t="shared" si="36"/>
        <v>0</v>
      </c>
      <c r="T1234" s="1318">
        <f t="shared" si="37"/>
        <v>0</v>
      </c>
      <c r="U1234" s="13">
        <v>120</v>
      </c>
    </row>
    <row r="1235" spans="3:21" s="7" customFormat="1" ht="18" customHeight="1">
      <c r="C1235" s="6" t="s">
        <v>2282</v>
      </c>
      <c r="D1235" s="13" t="s">
        <v>2539</v>
      </c>
      <c r="E1235" s="21" t="s">
        <v>2801</v>
      </c>
      <c r="F1235" s="92">
        <v>148</v>
      </c>
      <c r="G1235" s="21" t="s">
        <v>2802</v>
      </c>
      <c r="H1235" s="39"/>
      <c r="I1235" s="94"/>
      <c r="J1235" s="39">
        <v>1</v>
      </c>
      <c r="K1235" s="275">
        <v>105</v>
      </c>
      <c r="L1235" s="40">
        <f>K1235*J1235</f>
        <v>105</v>
      </c>
      <c r="M1235" s="97" t="s">
        <v>224</v>
      </c>
      <c r="N1235" s="33">
        <v>44895</v>
      </c>
      <c r="O1235" s="32">
        <v>4793</v>
      </c>
      <c r="P1235" s="83">
        <f>5000+5000</f>
        <v>10000</v>
      </c>
      <c r="Q1235" s="83">
        <f>P1235*J1235</f>
        <v>10000</v>
      </c>
      <c r="S1235" s="7">
        <f t="shared" ref="S1235:S1256" si="41">P1235</f>
        <v>10000</v>
      </c>
      <c r="T1235" s="1318">
        <f t="shared" si="37"/>
        <v>10000</v>
      </c>
      <c r="U1235" s="13">
        <v>120</v>
      </c>
    </row>
    <row r="1236" spans="3:21" s="7" customFormat="1" ht="18" customHeight="1">
      <c r="C1236" s="6" t="s">
        <v>2282</v>
      </c>
      <c r="D1236" s="13" t="s">
        <v>2539</v>
      </c>
      <c r="E1236" s="21" t="s">
        <v>2801</v>
      </c>
      <c r="F1236" s="92">
        <v>148</v>
      </c>
      <c r="G1236" s="21" t="s">
        <v>2803</v>
      </c>
      <c r="H1236" s="39"/>
      <c r="I1236" s="94"/>
      <c r="J1236" s="39">
        <v>1</v>
      </c>
      <c r="K1236" s="275">
        <v>105</v>
      </c>
      <c r="L1236" s="40">
        <f>K1236*J1236</f>
        <v>105</v>
      </c>
      <c r="M1236" s="97" t="s">
        <v>224</v>
      </c>
      <c r="N1236" s="33">
        <v>44895</v>
      </c>
      <c r="O1236" s="32">
        <v>4793</v>
      </c>
      <c r="P1236" s="83">
        <f>5000+5000</f>
        <v>10000</v>
      </c>
      <c r="Q1236" s="83">
        <f>P1236*J1236</f>
        <v>10000</v>
      </c>
      <c r="S1236" s="7">
        <f t="shared" si="41"/>
        <v>10000</v>
      </c>
      <c r="T1236" s="1318">
        <f t="shared" ref="T1236:T1256" si="42">Q1236</f>
        <v>10000</v>
      </c>
      <c r="U1236" s="13">
        <v>120</v>
      </c>
    </row>
    <row r="1237" spans="3:21" ht="18" customHeight="1">
      <c r="C1237" s="6" t="s">
        <v>2282</v>
      </c>
      <c r="D1237" s="13" t="s">
        <v>2539</v>
      </c>
      <c r="E1237" s="21"/>
      <c r="F1237" s="38"/>
      <c r="G1237" s="38" t="s">
        <v>218</v>
      </c>
      <c r="H1237" s="39"/>
      <c r="I1237" s="94"/>
      <c r="J1237" s="39">
        <v>1</v>
      </c>
      <c r="K1237" s="275">
        <v>12</v>
      </c>
      <c r="L1237" s="40">
        <f>K1237*J1237</f>
        <v>12</v>
      </c>
      <c r="M1237" s="898"/>
      <c r="N1237" s="33">
        <v>44895</v>
      </c>
      <c r="O1237" s="32">
        <v>4793</v>
      </c>
      <c r="P1237" s="358">
        <v>1000</v>
      </c>
      <c r="Q1237" s="358">
        <f>P1237*J1237</f>
        <v>1000</v>
      </c>
      <c r="S1237" s="7">
        <f t="shared" si="41"/>
        <v>1000</v>
      </c>
      <c r="T1237" s="1318">
        <f t="shared" si="42"/>
        <v>1000</v>
      </c>
      <c r="U1237" s="13">
        <v>120</v>
      </c>
    </row>
    <row r="1238" spans="3:21" s="159" customFormat="1" ht="18" customHeight="1">
      <c r="C1238" s="149" t="s">
        <v>2282</v>
      </c>
      <c r="D1238" s="150" t="s">
        <v>2539</v>
      </c>
      <c r="E1238" s="191"/>
      <c r="F1238" s="152"/>
      <c r="G1238" s="152" t="s">
        <v>168</v>
      </c>
      <c r="H1238" s="154" t="s">
        <v>294</v>
      </c>
      <c r="I1238" s="155"/>
      <c r="J1238" s="153"/>
      <c r="K1238" s="922"/>
      <c r="L1238" s="922"/>
      <c r="M1238" s="601"/>
      <c r="N1238" s="157">
        <v>44895</v>
      </c>
      <c r="O1238" s="156">
        <v>4793</v>
      </c>
      <c r="P1238" s="164"/>
      <c r="Q1238" s="165"/>
      <c r="S1238" s="7">
        <f t="shared" si="41"/>
        <v>0</v>
      </c>
      <c r="T1238" s="1318">
        <f t="shared" si="42"/>
        <v>0</v>
      </c>
      <c r="U1238" s="83">
        <v>120</v>
      </c>
    </row>
    <row r="1239" spans="3:21" s="7" customFormat="1" ht="18" customHeight="1">
      <c r="C1239" s="6" t="s">
        <v>2804</v>
      </c>
      <c r="D1239" s="13" t="s">
        <v>2539</v>
      </c>
      <c r="E1239" s="18" t="s">
        <v>262</v>
      </c>
      <c r="F1239" s="92"/>
      <c r="G1239" s="21"/>
      <c r="H1239" s="93"/>
      <c r="I1239" s="94"/>
      <c r="J1239" s="93"/>
      <c r="K1239" s="28" t="s">
        <v>8</v>
      </c>
      <c r="L1239" s="33"/>
      <c r="M1239" s="33"/>
      <c r="N1239" s="33">
        <v>44893</v>
      </c>
      <c r="O1239" s="32">
        <v>4786</v>
      </c>
      <c r="P1239" s="83"/>
      <c r="Q1239" s="83"/>
      <c r="S1239" s="7">
        <f t="shared" si="41"/>
        <v>0</v>
      </c>
      <c r="T1239" s="1318">
        <f t="shared" si="42"/>
        <v>0</v>
      </c>
      <c r="U1239" s="13">
        <v>120</v>
      </c>
    </row>
    <row r="1240" spans="3:21" s="7" customFormat="1" ht="18" customHeight="1">
      <c r="C1240" s="6" t="s">
        <v>2804</v>
      </c>
      <c r="D1240" s="13" t="s">
        <v>2539</v>
      </c>
      <c r="E1240" s="21" t="s">
        <v>2557</v>
      </c>
      <c r="F1240" s="92">
        <v>148</v>
      </c>
      <c r="G1240" s="21" t="s">
        <v>2612</v>
      </c>
      <c r="H1240" s="919">
        <v>20</v>
      </c>
      <c r="I1240" s="94">
        <v>1</v>
      </c>
      <c r="J1240" s="55">
        <f>H1240*I1240</f>
        <v>20</v>
      </c>
      <c r="K1240" s="275">
        <v>5.84</v>
      </c>
      <c r="L1240" s="40">
        <f>K1240*J1240</f>
        <v>116.8</v>
      </c>
      <c r="M1240" s="97" t="s">
        <v>224</v>
      </c>
      <c r="N1240" s="33">
        <v>44893</v>
      </c>
      <c r="O1240" s="32">
        <v>4786</v>
      </c>
      <c r="P1240" s="83">
        <v>450</v>
      </c>
      <c r="Q1240" s="83">
        <f>P1240*J1240</f>
        <v>9000</v>
      </c>
      <c r="S1240" s="7">
        <f t="shared" si="41"/>
        <v>450</v>
      </c>
      <c r="T1240" s="1318">
        <f t="shared" si="42"/>
        <v>9000</v>
      </c>
      <c r="U1240" s="13">
        <v>120</v>
      </c>
    </row>
    <row r="1241" spans="3:21" ht="18" customHeight="1">
      <c r="C1241" s="6" t="s">
        <v>2804</v>
      </c>
      <c r="D1241" s="13" t="s">
        <v>2539</v>
      </c>
      <c r="E1241" s="21"/>
      <c r="F1241" s="38"/>
      <c r="G1241" s="38" t="s">
        <v>2795</v>
      </c>
      <c r="H1241" s="39"/>
      <c r="I1241" s="94"/>
      <c r="J1241" s="39">
        <v>1</v>
      </c>
      <c r="K1241" s="275">
        <v>12</v>
      </c>
      <c r="L1241" s="40">
        <f>K1241*J1241</f>
        <v>12</v>
      </c>
      <c r="M1241" s="898"/>
      <c r="N1241" s="33">
        <v>44893</v>
      </c>
      <c r="O1241" s="32">
        <v>4786</v>
      </c>
      <c r="P1241" s="83">
        <v>1000</v>
      </c>
      <c r="Q1241" s="83">
        <f>P1241*J1241</f>
        <v>1000</v>
      </c>
      <c r="S1241" s="7">
        <f t="shared" si="41"/>
        <v>1000</v>
      </c>
      <c r="T1241" s="1318">
        <f t="shared" si="42"/>
        <v>1000</v>
      </c>
      <c r="U1241" s="13">
        <v>120</v>
      </c>
    </row>
    <row r="1242" spans="3:21" ht="18" customHeight="1">
      <c r="C1242" s="6" t="s">
        <v>2804</v>
      </c>
      <c r="D1242" s="13" t="s">
        <v>2539</v>
      </c>
      <c r="E1242" s="21"/>
      <c r="F1242" s="38"/>
      <c r="G1242" s="38" t="s">
        <v>218</v>
      </c>
      <c r="H1242" s="39"/>
      <c r="I1242" s="94"/>
      <c r="J1242" s="39">
        <v>1</v>
      </c>
      <c r="K1242" s="275">
        <v>20</v>
      </c>
      <c r="L1242" s="40">
        <f>K1242*J1242</f>
        <v>20</v>
      </c>
      <c r="M1242" s="898"/>
      <c r="N1242" s="33">
        <v>44893</v>
      </c>
      <c r="O1242" s="32">
        <v>4786</v>
      </c>
      <c r="P1242" s="83">
        <v>1000</v>
      </c>
      <c r="Q1242" s="83">
        <f>P1242*J1242</f>
        <v>1000</v>
      </c>
      <c r="S1242" s="7">
        <f t="shared" si="41"/>
        <v>1000</v>
      </c>
      <c r="T1242" s="1318">
        <f t="shared" si="42"/>
        <v>1000</v>
      </c>
      <c r="U1242" s="13">
        <v>120</v>
      </c>
    </row>
    <row r="1243" spans="3:21" s="159" customFormat="1" ht="18" customHeight="1">
      <c r="C1243" s="149" t="s">
        <v>2804</v>
      </c>
      <c r="D1243" s="150" t="s">
        <v>2539</v>
      </c>
      <c r="E1243" s="191"/>
      <c r="F1243" s="152"/>
      <c r="G1243" s="152" t="s">
        <v>168</v>
      </c>
      <c r="H1243" s="154" t="s">
        <v>169</v>
      </c>
      <c r="I1243" s="155"/>
      <c r="J1243" s="153"/>
      <c r="K1243" s="922">
        <v>0</v>
      </c>
      <c r="L1243" s="601"/>
      <c r="M1243" s="601"/>
      <c r="N1243" s="157">
        <v>44893</v>
      </c>
      <c r="O1243" s="156">
        <v>4786</v>
      </c>
      <c r="P1243" s="164">
        <v>0</v>
      </c>
      <c r="Q1243" s="165">
        <v>0</v>
      </c>
      <c r="S1243" s="7">
        <f t="shared" si="41"/>
        <v>0</v>
      </c>
      <c r="T1243" s="1318">
        <f t="shared" si="42"/>
        <v>0</v>
      </c>
      <c r="U1243" s="83">
        <v>125</v>
      </c>
    </row>
    <row r="1244" spans="3:21" s="7" customFormat="1" ht="18" customHeight="1">
      <c r="C1244" s="6" t="s">
        <v>2805</v>
      </c>
      <c r="D1244" s="13" t="s">
        <v>2771</v>
      </c>
      <c r="E1244" s="18" t="s">
        <v>2772</v>
      </c>
      <c r="F1244" s="23"/>
      <c r="G1244" s="21"/>
      <c r="H1244" s="39"/>
      <c r="I1244" s="56"/>
      <c r="J1244" s="55"/>
      <c r="K1244" s="15" t="s">
        <v>8</v>
      </c>
      <c r="L1244" s="33"/>
      <c r="M1244" s="33"/>
      <c r="N1244" s="33">
        <v>44894</v>
      </c>
      <c r="O1244" s="32">
        <v>4787</v>
      </c>
      <c r="P1244" s="83"/>
      <c r="Q1244" s="83"/>
      <c r="S1244" s="7">
        <f t="shared" si="41"/>
        <v>0</v>
      </c>
      <c r="T1244" s="1318">
        <f t="shared" si="42"/>
        <v>0</v>
      </c>
      <c r="U1244" s="83">
        <v>125</v>
      </c>
    </row>
    <row r="1245" spans="3:21" s="7" customFormat="1" ht="18" customHeight="1">
      <c r="C1245" s="6" t="s">
        <v>2805</v>
      </c>
      <c r="D1245" s="13" t="s">
        <v>2771</v>
      </c>
      <c r="E1245" s="740" t="s">
        <v>2773</v>
      </c>
      <c r="F1245" s="23" t="s">
        <v>2491</v>
      </c>
      <c r="G1245" s="21" t="s">
        <v>2774</v>
      </c>
      <c r="H1245" s="93">
        <v>43.4</v>
      </c>
      <c r="I1245" s="94">
        <v>1</v>
      </c>
      <c r="J1245" s="17">
        <f>H1245*I1245</f>
        <v>43.4</v>
      </c>
      <c r="K1245" s="597">
        <v>16.8</v>
      </c>
      <c r="L1245" s="598">
        <f>K1245*J1245</f>
        <v>729.12</v>
      </c>
      <c r="M1245" s="97" t="s">
        <v>224</v>
      </c>
      <c r="N1245" s="33">
        <v>44894</v>
      </c>
      <c r="O1245" s="32">
        <v>4787</v>
      </c>
      <c r="P1245" s="83">
        <f>1680</f>
        <v>1680</v>
      </c>
      <c r="Q1245" s="83">
        <f>P1245*J1245</f>
        <v>72912</v>
      </c>
      <c r="R1245" s="7" t="s">
        <v>2775</v>
      </c>
      <c r="S1245" s="7">
        <f t="shared" si="41"/>
        <v>1680</v>
      </c>
      <c r="T1245" s="1318">
        <f t="shared" si="42"/>
        <v>72912</v>
      </c>
      <c r="U1245" s="83">
        <v>125</v>
      </c>
    </row>
    <row r="1246" spans="3:21" ht="18" customHeight="1">
      <c r="C1246" s="6" t="s">
        <v>2805</v>
      </c>
      <c r="D1246" s="13" t="s">
        <v>2771</v>
      </c>
      <c r="E1246" s="48"/>
      <c r="F1246" s="38"/>
      <c r="G1246" s="38" t="s">
        <v>218</v>
      </c>
      <c r="H1246" s="39"/>
      <c r="I1246" s="94"/>
      <c r="J1246" s="39">
        <v>1</v>
      </c>
      <c r="K1246" s="611">
        <v>12</v>
      </c>
      <c r="L1246" s="598">
        <f>K1246*J1246</f>
        <v>12</v>
      </c>
      <c r="M1246" s="898"/>
      <c r="N1246" s="33">
        <v>44894</v>
      </c>
      <c r="O1246" s="32">
        <v>4787</v>
      </c>
      <c r="P1246" s="83">
        <v>0</v>
      </c>
      <c r="Q1246" s="83">
        <f>P1246*J1246</f>
        <v>0</v>
      </c>
      <c r="S1246" s="7">
        <f t="shared" si="41"/>
        <v>0</v>
      </c>
      <c r="T1246" s="1318">
        <f t="shared" si="42"/>
        <v>0</v>
      </c>
      <c r="U1246" s="83">
        <v>125</v>
      </c>
    </row>
    <row r="1247" spans="3:21" s="159" customFormat="1" ht="18" customHeight="1">
      <c r="C1247" s="149" t="s">
        <v>2805</v>
      </c>
      <c r="D1247" s="150" t="s">
        <v>2771</v>
      </c>
      <c r="E1247" s="151"/>
      <c r="F1247" s="152"/>
      <c r="G1247" s="152" t="s">
        <v>168</v>
      </c>
      <c r="H1247" s="918" t="s">
        <v>2776</v>
      </c>
      <c r="I1247" s="155"/>
      <c r="J1247" s="153"/>
      <c r="K1247" s="600">
        <v>0</v>
      </c>
      <c r="L1247" s="601"/>
      <c r="M1247" s="601"/>
      <c r="N1247" s="157">
        <v>44894</v>
      </c>
      <c r="O1247" s="156">
        <v>4787</v>
      </c>
      <c r="P1247" s="164">
        <v>0</v>
      </c>
      <c r="Q1247" s="165">
        <v>0</v>
      </c>
      <c r="S1247" s="7">
        <f t="shared" si="41"/>
        <v>0</v>
      </c>
      <c r="T1247" s="1318">
        <f t="shared" si="42"/>
        <v>0</v>
      </c>
      <c r="U1247" s="83">
        <v>125</v>
      </c>
    </row>
    <row r="1248" spans="3:21" s="7" customFormat="1" ht="18" customHeight="1">
      <c r="C1248" s="6" t="s">
        <v>2806</v>
      </c>
      <c r="D1248" s="13" t="s">
        <v>2277</v>
      </c>
      <c r="E1248" s="18" t="s">
        <v>19</v>
      </c>
      <c r="F1248" s="23"/>
      <c r="G1248" s="21"/>
      <c r="H1248" s="55"/>
      <c r="I1248" s="56"/>
      <c r="J1248" s="55"/>
      <c r="K1248" s="15" t="s">
        <v>8</v>
      </c>
      <c r="L1248" s="688"/>
      <c r="M1248" s="688"/>
      <c r="N1248" s="33">
        <v>44949</v>
      </c>
      <c r="O1248" s="32">
        <v>4912</v>
      </c>
      <c r="P1248" s="83"/>
      <c r="Q1248" s="83"/>
      <c r="S1248" s="7">
        <f t="shared" si="41"/>
        <v>0</v>
      </c>
      <c r="T1248" s="1318">
        <f t="shared" si="42"/>
        <v>0</v>
      </c>
      <c r="U1248" s="83">
        <v>125</v>
      </c>
    </row>
    <row r="1249" spans="3:21" s="7" customFormat="1" ht="18" customHeight="1">
      <c r="C1249" s="6" t="s">
        <v>2806</v>
      </c>
      <c r="D1249" s="13" t="s">
        <v>2277</v>
      </c>
      <c r="E1249" s="739" t="s">
        <v>2765</v>
      </c>
      <c r="F1249" s="23"/>
      <c r="G1249" s="21" t="s">
        <v>25</v>
      </c>
      <c r="H1249" s="93">
        <v>13.7</v>
      </c>
      <c r="I1249" s="94">
        <v>30</v>
      </c>
      <c r="J1249" s="107">
        <f>H1249*I1249</f>
        <v>411</v>
      </c>
      <c r="K1249" s="597">
        <v>2.4</v>
      </c>
      <c r="L1249" s="598">
        <f>K1249*J1249</f>
        <v>986.4</v>
      </c>
      <c r="M1249" s="97" t="s">
        <v>224</v>
      </c>
      <c r="N1249" s="33">
        <v>44949</v>
      </c>
      <c r="O1249" s="32">
        <v>4912</v>
      </c>
      <c r="P1249" s="83">
        <v>198</v>
      </c>
      <c r="Q1249" s="83">
        <f>P1249*J1249</f>
        <v>81378</v>
      </c>
      <c r="S1249" s="7">
        <f t="shared" si="41"/>
        <v>198</v>
      </c>
      <c r="T1249" s="1318">
        <f t="shared" si="42"/>
        <v>81378</v>
      </c>
      <c r="U1249" s="83">
        <v>125</v>
      </c>
    </row>
    <row r="1250" spans="3:21" s="7" customFormat="1" ht="18" customHeight="1">
      <c r="C1250" s="6" t="s">
        <v>2806</v>
      </c>
      <c r="D1250" s="13" t="s">
        <v>2277</v>
      </c>
      <c r="E1250" s="740" t="s">
        <v>2280</v>
      </c>
      <c r="F1250" s="23"/>
      <c r="G1250" s="21" t="s">
        <v>25</v>
      </c>
      <c r="H1250" s="93">
        <v>13.7</v>
      </c>
      <c r="I1250" s="94">
        <v>22</v>
      </c>
      <c r="J1250" s="108">
        <f>H1250*I1250</f>
        <v>301.39999999999998</v>
      </c>
      <c r="K1250" s="597">
        <v>5.94</v>
      </c>
      <c r="L1250" s="598">
        <f>K1250*J1250</f>
        <v>1790.316</v>
      </c>
      <c r="M1250" s="97" t="s">
        <v>224</v>
      </c>
      <c r="N1250" s="33">
        <v>44949</v>
      </c>
      <c r="O1250" s="32">
        <v>4912</v>
      </c>
      <c r="P1250" s="83">
        <v>490</v>
      </c>
      <c r="Q1250" s="83">
        <f>P1250*J1250</f>
        <v>147686</v>
      </c>
      <c r="S1250" s="7">
        <f t="shared" si="41"/>
        <v>490</v>
      </c>
      <c r="T1250" s="1318">
        <f t="shared" si="42"/>
        <v>147686</v>
      </c>
      <c r="U1250" s="83">
        <v>125</v>
      </c>
    </row>
    <row r="1251" spans="3:21" s="159" customFormat="1" ht="18" customHeight="1">
      <c r="C1251" s="149" t="s">
        <v>2806</v>
      </c>
      <c r="D1251" s="150" t="s">
        <v>2277</v>
      </c>
      <c r="E1251" s="151"/>
      <c r="F1251" s="152"/>
      <c r="G1251" s="152" t="s">
        <v>168</v>
      </c>
      <c r="H1251" s="154" t="s">
        <v>169</v>
      </c>
      <c r="I1251" s="155"/>
      <c r="J1251" s="153"/>
      <c r="K1251" s="600">
        <v>0</v>
      </c>
      <c r="L1251" s="601"/>
      <c r="M1251" s="601"/>
      <c r="N1251" s="157">
        <v>44949</v>
      </c>
      <c r="O1251" s="156">
        <v>4912</v>
      </c>
      <c r="P1251" s="164">
        <v>0</v>
      </c>
      <c r="Q1251" s="165">
        <v>0</v>
      </c>
      <c r="S1251" s="7">
        <f t="shared" si="41"/>
        <v>0</v>
      </c>
      <c r="T1251" s="1318">
        <f t="shared" si="42"/>
        <v>0</v>
      </c>
      <c r="U1251" s="83">
        <v>125</v>
      </c>
    </row>
    <row r="1252" spans="3:21" s="7" customFormat="1" ht="18" customHeight="1">
      <c r="C1252" s="6" t="s">
        <v>3613</v>
      </c>
      <c r="D1252" s="13" t="s">
        <v>2771</v>
      </c>
      <c r="E1252" s="18" t="s">
        <v>2772</v>
      </c>
      <c r="F1252" s="23"/>
      <c r="G1252" s="21"/>
      <c r="H1252" s="39"/>
      <c r="I1252" s="56"/>
      <c r="J1252" s="55"/>
      <c r="K1252" s="15" t="s">
        <v>8</v>
      </c>
      <c r="L1252" s="33"/>
      <c r="M1252" s="33"/>
      <c r="N1252" s="33">
        <v>44981</v>
      </c>
      <c r="O1252" s="32">
        <v>5016</v>
      </c>
      <c r="P1252" s="83"/>
      <c r="Q1252" s="83"/>
      <c r="S1252" s="7">
        <f t="shared" si="41"/>
        <v>0</v>
      </c>
      <c r="T1252" s="1318">
        <f t="shared" si="42"/>
        <v>0</v>
      </c>
      <c r="U1252" s="83">
        <v>125</v>
      </c>
    </row>
    <row r="1253" spans="3:21" s="7" customFormat="1" ht="18" customHeight="1">
      <c r="C1253" s="6" t="s">
        <v>3613</v>
      </c>
      <c r="D1253" s="13" t="s">
        <v>2771</v>
      </c>
      <c r="E1253" s="886" t="s">
        <v>3529</v>
      </c>
      <c r="F1253" s="23" t="s">
        <v>2491</v>
      </c>
      <c r="G1253" s="21" t="s">
        <v>2774</v>
      </c>
      <c r="H1253" s="93">
        <v>45.1</v>
      </c>
      <c r="I1253" s="94">
        <v>1</v>
      </c>
      <c r="J1253" s="17">
        <f>H1253*I1253</f>
        <v>45.1</v>
      </c>
      <c r="K1253" s="597">
        <v>16.5</v>
      </c>
      <c r="L1253" s="598">
        <f>K1253*J1253</f>
        <v>744.15</v>
      </c>
      <c r="M1253" s="97" t="s">
        <v>224</v>
      </c>
      <c r="N1253" s="33">
        <v>44981</v>
      </c>
      <c r="O1253" s="32">
        <v>5016</v>
      </c>
      <c r="P1253" s="83">
        <v>1650</v>
      </c>
      <c r="Q1253" s="83">
        <f>P1253*J1253</f>
        <v>74415</v>
      </c>
      <c r="R1253" s="7" t="s">
        <v>2775</v>
      </c>
      <c r="S1253" s="7">
        <f t="shared" si="41"/>
        <v>1650</v>
      </c>
      <c r="T1253" s="1318">
        <f t="shared" si="42"/>
        <v>74415</v>
      </c>
      <c r="U1253" s="83">
        <v>125</v>
      </c>
    </row>
    <row r="1254" spans="3:21" s="159" customFormat="1" ht="18" customHeight="1">
      <c r="C1254" s="149" t="s">
        <v>3613</v>
      </c>
      <c r="D1254" s="150" t="s">
        <v>2771</v>
      </c>
      <c r="E1254" s="151"/>
      <c r="F1254" s="152"/>
      <c r="G1254" s="152" t="s">
        <v>168</v>
      </c>
      <c r="H1254" s="918" t="s">
        <v>2776</v>
      </c>
      <c r="I1254" s="155"/>
      <c r="J1254" s="153"/>
      <c r="K1254" s="600">
        <v>0</v>
      </c>
      <c r="L1254" s="601"/>
      <c r="M1254" s="601"/>
      <c r="N1254" s="157">
        <v>44981</v>
      </c>
      <c r="O1254" s="156">
        <v>5016</v>
      </c>
      <c r="P1254" s="164">
        <v>0</v>
      </c>
      <c r="Q1254" s="165">
        <v>0</v>
      </c>
      <c r="S1254" s="7">
        <f t="shared" si="41"/>
        <v>0</v>
      </c>
      <c r="T1254" s="1318">
        <f t="shared" si="42"/>
        <v>0</v>
      </c>
      <c r="U1254" s="83">
        <v>125</v>
      </c>
    </row>
    <row r="1255" spans="3:21" s="7" customFormat="1" ht="18" customHeight="1">
      <c r="C1255" s="6" t="s">
        <v>2807</v>
      </c>
      <c r="D1255" s="13" t="s">
        <v>2771</v>
      </c>
      <c r="E1255" s="18" t="s">
        <v>2772</v>
      </c>
      <c r="F1255" s="23"/>
      <c r="G1255" s="21"/>
      <c r="H1255" s="39"/>
      <c r="I1255" s="56"/>
      <c r="J1255" s="55"/>
      <c r="K1255" s="15" t="s">
        <v>8</v>
      </c>
      <c r="L1255" s="33"/>
      <c r="M1255" s="33"/>
      <c r="N1255" s="33">
        <v>44992</v>
      </c>
      <c r="O1255" s="32">
        <v>5042</v>
      </c>
      <c r="P1255" s="83"/>
      <c r="Q1255" s="83"/>
      <c r="S1255" s="7">
        <f t="shared" si="41"/>
        <v>0</v>
      </c>
      <c r="T1255" s="1318">
        <f t="shared" si="42"/>
        <v>0</v>
      </c>
      <c r="U1255" s="83">
        <v>125</v>
      </c>
    </row>
    <row r="1256" spans="3:21" s="7" customFormat="1" ht="18" customHeight="1">
      <c r="C1256" s="6" t="s">
        <v>2807</v>
      </c>
      <c r="D1256" s="13" t="s">
        <v>2771</v>
      </c>
      <c r="E1256" s="886" t="s">
        <v>3529</v>
      </c>
      <c r="F1256" s="23" t="s">
        <v>2491</v>
      </c>
      <c r="G1256" s="21" t="s">
        <v>2774</v>
      </c>
      <c r="H1256" s="93"/>
      <c r="I1256" s="94"/>
      <c r="J1256" s="17">
        <v>1089.2</v>
      </c>
      <c r="K1256" s="597">
        <v>16.5</v>
      </c>
      <c r="L1256" s="598">
        <f>K1256*J1256</f>
        <v>17971.8</v>
      </c>
      <c r="M1256" s="97" t="s">
        <v>224</v>
      </c>
      <c r="N1256" s="33">
        <v>44992</v>
      </c>
      <c r="O1256" s="32">
        <v>5042</v>
      </c>
      <c r="P1256" s="83">
        <v>1650</v>
      </c>
      <c r="Q1256" s="83">
        <f>P1256*J1256</f>
        <v>1797180</v>
      </c>
      <c r="R1256" s="7" t="s">
        <v>2775</v>
      </c>
      <c r="S1256" s="7">
        <f t="shared" si="41"/>
        <v>1650</v>
      </c>
      <c r="T1256" s="1318">
        <f t="shared" si="42"/>
        <v>1797180</v>
      </c>
      <c r="U1256" s="83">
        <v>125</v>
      </c>
    </row>
    <row r="1257" spans="3:21" s="7" customFormat="1" ht="18" customHeight="1">
      <c r="C1257" s="6" t="s">
        <v>2807</v>
      </c>
      <c r="D1257" s="13" t="s">
        <v>2771</v>
      </c>
      <c r="E1257" s="886" t="s">
        <v>3529</v>
      </c>
      <c r="F1257" s="23" t="s">
        <v>2491</v>
      </c>
      <c r="G1257" s="21" t="s">
        <v>2774</v>
      </c>
      <c r="H1257" s="17">
        <v>44.8</v>
      </c>
      <c r="I1257" s="94">
        <v>1</v>
      </c>
      <c r="J1257" s="17">
        <f>H1257*I1257</f>
        <v>44.8</v>
      </c>
      <c r="K1257" s="597">
        <v>16.5</v>
      </c>
      <c r="L1257" s="1464" t="s">
        <v>3669</v>
      </c>
      <c r="M1257" s="97" t="s">
        <v>224</v>
      </c>
      <c r="N1257" s="33">
        <v>44992</v>
      </c>
      <c r="O1257" s="32">
        <v>5042</v>
      </c>
      <c r="P1257" s="83"/>
      <c r="Q1257" s="83"/>
      <c r="T1257" s="1318"/>
      <c r="U1257" s="83">
        <v>125</v>
      </c>
    </row>
    <row r="1258" spans="3:21" s="7" customFormat="1" ht="18" customHeight="1">
      <c r="C1258" s="6" t="s">
        <v>2807</v>
      </c>
      <c r="D1258" s="13" t="s">
        <v>2771</v>
      </c>
      <c r="E1258" s="886" t="s">
        <v>3529</v>
      </c>
      <c r="F1258" s="23" t="s">
        <v>2491</v>
      </c>
      <c r="G1258" s="21" t="s">
        <v>2774</v>
      </c>
      <c r="H1258" s="17">
        <v>42.2</v>
      </c>
      <c r="I1258" s="94">
        <v>1</v>
      </c>
      <c r="J1258" s="17">
        <f>H1258*I1258</f>
        <v>42.2</v>
      </c>
      <c r="K1258" s="597">
        <v>16.5</v>
      </c>
      <c r="L1258" s="1464" t="s">
        <v>3669</v>
      </c>
      <c r="M1258" s="97" t="s">
        <v>224</v>
      </c>
      <c r="N1258" s="33">
        <v>44992</v>
      </c>
      <c r="O1258" s="32">
        <v>5042</v>
      </c>
      <c r="P1258" s="83"/>
      <c r="Q1258" s="83"/>
      <c r="T1258" s="1318"/>
      <c r="U1258" s="83">
        <v>125</v>
      </c>
    </row>
    <row r="1259" spans="3:21" s="7" customFormat="1" ht="18" customHeight="1">
      <c r="C1259" s="6" t="s">
        <v>2807</v>
      </c>
      <c r="D1259" s="13" t="s">
        <v>2771</v>
      </c>
      <c r="E1259" s="886" t="s">
        <v>3529</v>
      </c>
      <c r="F1259" s="23" t="s">
        <v>2491</v>
      </c>
      <c r="G1259" s="21" t="s">
        <v>2774</v>
      </c>
      <c r="H1259" s="17">
        <v>43.7</v>
      </c>
      <c r="I1259" s="94">
        <v>1</v>
      </c>
      <c r="J1259" s="17">
        <f t="shared" ref="J1259:J1281" si="43">H1259*I1259</f>
        <v>43.7</v>
      </c>
      <c r="K1259" s="597">
        <v>16.5</v>
      </c>
      <c r="L1259" s="1464" t="s">
        <v>3669</v>
      </c>
      <c r="M1259" s="97" t="s">
        <v>224</v>
      </c>
      <c r="N1259" s="33">
        <v>44992</v>
      </c>
      <c r="O1259" s="32">
        <v>5042</v>
      </c>
      <c r="P1259" s="83"/>
      <c r="Q1259" s="83"/>
      <c r="T1259" s="1318"/>
      <c r="U1259" s="83">
        <v>125</v>
      </c>
    </row>
    <row r="1260" spans="3:21" s="7" customFormat="1" ht="18" customHeight="1">
      <c r="C1260" s="6" t="s">
        <v>2807</v>
      </c>
      <c r="D1260" s="13" t="s">
        <v>2771</v>
      </c>
      <c r="E1260" s="886" t="s">
        <v>3529</v>
      </c>
      <c r="F1260" s="23" t="s">
        <v>2491</v>
      </c>
      <c r="G1260" s="21" t="s">
        <v>2774</v>
      </c>
      <c r="H1260" s="17">
        <v>42.7</v>
      </c>
      <c r="I1260" s="94">
        <v>1</v>
      </c>
      <c r="J1260" s="17">
        <f t="shared" si="43"/>
        <v>42.7</v>
      </c>
      <c r="K1260" s="597">
        <v>16.5</v>
      </c>
      <c r="L1260" s="1464" t="s">
        <v>3669</v>
      </c>
      <c r="M1260" s="97" t="s">
        <v>224</v>
      </c>
      <c r="N1260" s="33">
        <v>44992</v>
      </c>
      <c r="O1260" s="32">
        <v>5042</v>
      </c>
      <c r="P1260" s="83"/>
      <c r="Q1260" s="83"/>
      <c r="T1260" s="1318"/>
      <c r="U1260" s="83">
        <v>125</v>
      </c>
    </row>
    <row r="1261" spans="3:21" s="7" customFormat="1" ht="18" customHeight="1">
      <c r="C1261" s="6" t="s">
        <v>2807</v>
      </c>
      <c r="D1261" s="13" t="s">
        <v>2771</v>
      </c>
      <c r="E1261" s="886" t="s">
        <v>3529</v>
      </c>
      <c r="F1261" s="23" t="s">
        <v>2491</v>
      </c>
      <c r="G1261" s="21" t="s">
        <v>2774</v>
      </c>
      <c r="H1261" s="17">
        <v>43.9</v>
      </c>
      <c r="I1261" s="94">
        <v>1</v>
      </c>
      <c r="J1261" s="17">
        <f t="shared" si="43"/>
        <v>43.9</v>
      </c>
      <c r="K1261" s="597">
        <v>16.5</v>
      </c>
      <c r="L1261" s="1464" t="s">
        <v>3669</v>
      </c>
      <c r="M1261" s="97" t="s">
        <v>224</v>
      </c>
      <c r="N1261" s="33">
        <v>44992</v>
      </c>
      <c r="O1261" s="32">
        <v>5042</v>
      </c>
      <c r="P1261" s="83"/>
      <c r="Q1261" s="83"/>
      <c r="T1261" s="1318"/>
      <c r="U1261" s="83">
        <v>125</v>
      </c>
    </row>
    <row r="1262" spans="3:21" s="7" customFormat="1" ht="18" customHeight="1">
      <c r="C1262" s="6" t="s">
        <v>2807</v>
      </c>
      <c r="D1262" s="13" t="s">
        <v>2771</v>
      </c>
      <c r="E1262" s="886" t="s">
        <v>3529</v>
      </c>
      <c r="F1262" s="23" t="s">
        <v>2491</v>
      </c>
      <c r="G1262" s="21" t="s">
        <v>2774</v>
      </c>
      <c r="H1262" s="17">
        <v>43.6</v>
      </c>
      <c r="I1262" s="94">
        <v>1</v>
      </c>
      <c r="J1262" s="17">
        <f t="shared" si="43"/>
        <v>43.6</v>
      </c>
      <c r="K1262" s="597">
        <v>16.5</v>
      </c>
      <c r="L1262" s="1464" t="s">
        <v>3669</v>
      </c>
      <c r="M1262" s="97" t="s">
        <v>224</v>
      </c>
      <c r="N1262" s="33">
        <v>44992</v>
      </c>
      <c r="O1262" s="32">
        <v>5042</v>
      </c>
      <c r="P1262" s="83"/>
      <c r="Q1262" s="83"/>
      <c r="T1262" s="1318"/>
      <c r="U1262" s="83">
        <v>125</v>
      </c>
    </row>
    <row r="1263" spans="3:21" s="7" customFormat="1" ht="18" customHeight="1">
      <c r="C1263" s="6" t="s">
        <v>2807</v>
      </c>
      <c r="D1263" s="13" t="s">
        <v>2771</v>
      </c>
      <c r="E1263" s="886" t="s">
        <v>3529</v>
      </c>
      <c r="F1263" s="23" t="s">
        <v>2491</v>
      </c>
      <c r="G1263" s="21" t="s">
        <v>2774</v>
      </c>
      <c r="H1263" s="17">
        <v>44.9</v>
      </c>
      <c r="I1263" s="94">
        <v>1</v>
      </c>
      <c r="J1263" s="17">
        <f t="shared" si="43"/>
        <v>44.9</v>
      </c>
      <c r="K1263" s="597">
        <v>16.5</v>
      </c>
      <c r="L1263" s="1464" t="s">
        <v>3669</v>
      </c>
      <c r="M1263" s="97" t="s">
        <v>224</v>
      </c>
      <c r="N1263" s="33">
        <v>44992</v>
      </c>
      <c r="O1263" s="32">
        <v>5042</v>
      </c>
      <c r="P1263" s="83"/>
      <c r="Q1263" s="83"/>
      <c r="T1263" s="1318"/>
      <c r="U1263" s="83">
        <v>125</v>
      </c>
    </row>
    <row r="1264" spans="3:21" s="7" customFormat="1" ht="18" customHeight="1">
      <c r="C1264" s="6" t="s">
        <v>2807</v>
      </c>
      <c r="D1264" s="13" t="s">
        <v>2771</v>
      </c>
      <c r="E1264" s="886" t="s">
        <v>3529</v>
      </c>
      <c r="F1264" s="23" t="s">
        <v>2491</v>
      </c>
      <c r="G1264" s="21" t="s">
        <v>2774</v>
      </c>
      <c r="H1264" s="17">
        <v>44.2</v>
      </c>
      <c r="I1264" s="94">
        <v>1</v>
      </c>
      <c r="J1264" s="17">
        <f t="shared" si="43"/>
        <v>44.2</v>
      </c>
      <c r="K1264" s="597">
        <v>16.5</v>
      </c>
      <c r="L1264" s="1464" t="s">
        <v>3669</v>
      </c>
      <c r="M1264" s="97" t="s">
        <v>224</v>
      </c>
      <c r="N1264" s="33">
        <v>44992</v>
      </c>
      <c r="O1264" s="32">
        <v>5042</v>
      </c>
      <c r="P1264" s="83"/>
      <c r="Q1264" s="83"/>
      <c r="T1264" s="1318"/>
      <c r="U1264" s="83">
        <v>125</v>
      </c>
    </row>
    <row r="1265" spans="3:21" s="7" customFormat="1" ht="18" customHeight="1">
      <c r="C1265" s="6" t="s">
        <v>2807</v>
      </c>
      <c r="D1265" s="13" t="s">
        <v>2771</v>
      </c>
      <c r="E1265" s="886" t="s">
        <v>3529</v>
      </c>
      <c r="F1265" s="23" t="s">
        <v>2491</v>
      </c>
      <c r="G1265" s="21" t="s">
        <v>2774</v>
      </c>
      <c r="H1265" s="17">
        <v>44.3</v>
      </c>
      <c r="I1265" s="94">
        <v>1</v>
      </c>
      <c r="J1265" s="17">
        <f t="shared" si="43"/>
        <v>44.3</v>
      </c>
      <c r="K1265" s="597">
        <v>16.5</v>
      </c>
      <c r="L1265" s="1464" t="s">
        <v>3669</v>
      </c>
      <c r="M1265" s="97" t="s">
        <v>224</v>
      </c>
      <c r="N1265" s="33">
        <v>44992</v>
      </c>
      <c r="O1265" s="32">
        <v>5042</v>
      </c>
      <c r="P1265" s="83"/>
      <c r="Q1265" s="83"/>
      <c r="T1265" s="1318"/>
      <c r="U1265" s="83">
        <v>125</v>
      </c>
    </row>
    <row r="1266" spans="3:21" s="7" customFormat="1" ht="18" customHeight="1">
      <c r="C1266" s="6" t="s">
        <v>2807</v>
      </c>
      <c r="D1266" s="13" t="s">
        <v>2771</v>
      </c>
      <c r="E1266" s="886" t="s">
        <v>3529</v>
      </c>
      <c r="F1266" s="23" t="s">
        <v>2491</v>
      </c>
      <c r="G1266" s="21" t="s">
        <v>2774</v>
      </c>
      <c r="H1266" s="17">
        <v>44.2</v>
      </c>
      <c r="I1266" s="94">
        <v>1</v>
      </c>
      <c r="J1266" s="17">
        <f t="shared" si="43"/>
        <v>44.2</v>
      </c>
      <c r="K1266" s="597">
        <v>16.5</v>
      </c>
      <c r="L1266" s="1464" t="s">
        <v>3669</v>
      </c>
      <c r="M1266" s="97" t="s">
        <v>224</v>
      </c>
      <c r="N1266" s="33">
        <v>44992</v>
      </c>
      <c r="O1266" s="32">
        <v>5042</v>
      </c>
      <c r="P1266" s="83"/>
      <c r="Q1266" s="83"/>
      <c r="T1266" s="1318"/>
      <c r="U1266" s="83">
        <v>125</v>
      </c>
    </row>
    <row r="1267" spans="3:21" s="7" customFormat="1" ht="18" customHeight="1">
      <c r="C1267" s="6" t="s">
        <v>2807</v>
      </c>
      <c r="D1267" s="13" t="s">
        <v>2771</v>
      </c>
      <c r="E1267" s="886" t="s">
        <v>3529</v>
      </c>
      <c r="F1267" s="23" t="s">
        <v>2491</v>
      </c>
      <c r="G1267" s="21" t="s">
        <v>2774</v>
      </c>
      <c r="H1267" s="17">
        <v>41.5</v>
      </c>
      <c r="I1267" s="94">
        <v>1</v>
      </c>
      <c r="J1267" s="17">
        <f t="shared" si="43"/>
        <v>41.5</v>
      </c>
      <c r="K1267" s="597">
        <v>16.5</v>
      </c>
      <c r="L1267" s="1464" t="s">
        <v>3669</v>
      </c>
      <c r="M1267" s="97" t="s">
        <v>224</v>
      </c>
      <c r="N1267" s="33">
        <v>44992</v>
      </c>
      <c r="O1267" s="32">
        <v>5042</v>
      </c>
      <c r="P1267" s="83"/>
      <c r="Q1267" s="83"/>
      <c r="T1267" s="1318"/>
      <c r="U1267" s="83">
        <v>125</v>
      </c>
    </row>
    <row r="1268" spans="3:21" s="7" customFormat="1" ht="18" customHeight="1">
      <c r="C1268" s="6" t="s">
        <v>2807</v>
      </c>
      <c r="D1268" s="13" t="s">
        <v>2771</v>
      </c>
      <c r="E1268" s="886" t="s">
        <v>3529</v>
      </c>
      <c r="F1268" s="23" t="s">
        <v>2491</v>
      </c>
      <c r="G1268" s="21" t="s">
        <v>2774</v>
      </c>
      <c r="H1268" s="17">
        <v>43.6</v>
      </c>
      <c r="I1268" s="94">
        <v>1</v>
      </c>
      <c r="J1268" s="17">
        <f t="shared" si="43"/>
        <v>43.6</v>
      </c>
      <c r="K1268" s="597">
        <v>16.5</v>
      </c>
      <c r="L1268" s="1464" t="s">
        <v>3669</v>
      </c>
      <c r="M1268" s="97" t="s">
        <v>224</v>
      </c>
      <c r="N1268" s="33">
        <v>44992</v>
      </c>
      <c r="O1268" s="32">
        <v>5042</v>
      </c>
      <c r="P1268" s="83"/>
      <c r="Q1268" s="83"/>
      <c r="T1268" s="1318"/>
      <c r="U1268" s="83">
        <v>125</v>
      </c>
    </row>
    <row r="1269" spans="3:21" s="7" customFormat="1" ht="18" customHeight="1">
      <c r="C1269" s="6" t="s">
        <v>2807</v>
      </c>
      <c r="D1269" s="13" t="s">
        <v>2771</v>
      </c>
      <c r="E1269" s="886" t="s">
        <v>3529</v>
      </c>
      <c r="F1269" s="23" t="s">
        <v>2491</v>
      </c>
      <c r="G1269" s="21" t="s">
        <v>2774</v>
      </c>
      <c r="H1269" s="17">
        <v>43.4</v>
      </c>
      <c r="I1269" s="94">
        <v>1</v>
      </c>
      <c r="J1269" s="17">
        <f t="shared" si="43"/>
        <v>43.4</v>
      </c>
      <c r="K1269" s="597">
        <v>16.5</v>
      </c>
      <c r="L1269" s="1464" t="s">
        <v>3669</v>
      </c>
      <c r="M1269" s="97" t="s">
        <v>224</v>
      </c>
      <c r="N1269" s="33">
        <v>44992</v>
      </c>
      <c r="O1269" s="32">
        <v>5042</v>
      </c>
      <c r="P1269" s="83"/>
      <c r="Q1269" s="83"/>
      <c r="T1269" s="1318"/>
      <c r="U1269" s="83">
        <v>125</v>
      </c>
    </row>
    <row r="1270" spans="3:21" s="7" customFormat="1" ht="18" customHeight="1">
      <c r="C1270" s="6" t="s">
        <v>2807</v>
      </c>
      <c r="D1270" s="13" t="s">
        <v>2771</v>
      </c>
      <c r="E1270" s="886" t="s">
        <v>3529</v>
      </c>
      <c r="F1270" s="23" t="s">
        <v>2491</v>
      </c>
      <c r="G1270" s="21" t="s">
        <v>2774</v>
      </c>
      <c r="H1270" s="17">
        <v>45</v>
      </c>
      <c r="I1270" s="94">
        <v>1</v>
      </c>
      <c r="J1270" s="17">
        <f t="shared" si="43"/>
        <v>45</v>
      </c>
      <c r="K1270" s="597">
        <v>16.5</v>
      </c>
      <c r="L1270" s="1464" t="s">
        <v>3669</v>
      </c>
      <c r="M1270" s="97" t="s">
        <v>224</v>
      </c>
      <c r="N1270" s="33">
        <v>44992</v>
      </c>
      <c r="O1270" s="32">
        <v>5042</v>
      </c>
      <c r="P1270" s="83"/>
      <c r="Q1270" s="83"/>
      <c r="T1270" s="1318"/>
      <c r="U1270" s="83">
        <v>125</v>
      </c>
    </row>
    <row r="1271" spans="3:21" s="7" customFormat="1" ht="18" customHeight="1">
      <c r="C1271" s="6" t="s">
        <v>2807</v>
      </c>
      <c r="D1271" s="13" t="s">
        <v>2771</v>
      </c>
      <c r="E1271" s="886" t="s">
        <v>3529</v>
      </c>
      <c r="F1271" s="23" t="s">
        <v>2491</v>
      </c>
      <c r="G1271" s="21" t="s">
        <v>2774</v>
      </c>
      <c r="H1271" s="17">
        <v>43.5</v>
      </c>
      <c r="I1271" s="94">
        <v>1</v>
      </c>
      <c r="J1271" s="17">
        <f t="shared" si="43"/>
        <v>43.5</v>
      </c>
      <c r="K1271" s="597">
        <v>16.5</v>
      </c>
      <c r="L1271" s="1464" t="s">
        <v>3669</v>
      </c>
      <c r="M1271" s="97" t="s">
        <v>224</v>
      </c>
      <c r="N1271" s="33">
        <v>44992</v>
      </c>
      <c r="O1271" s="32">
        <v>5042</v>
      </c>
      <c r="P1271" s="83"/>
      <c r="Q1271" s="83"/>
      <c r="T1271" s="1318"/>
      <c r="U1271" s="83">
        <v>125</v>
      </c>
    </row>
    <row r="1272" spans="3:21" s="7" customFormat="1" ht="18" customHeight="1">
      <c r="C1272" s="6" t="s">
        <v>2807</v>
      </c>
      <c r="D1272" s="13" t="s">
        <v>2771</v>
      </c>
      <c r="E1272" s="886" t="s">
        <v>3529</v>
      </c>
      <c r="F1272" s="23" t="s">
        <v>2491</v>
      </c>
      <c r="G1272" s="21" t="s">
        <v>2774</v>
      </c>
      <c r="H1272" s="17">
        <v>43.5</v>
      </c>
      <c r="I1272" s="94">
        <v>1</v>
      </c>
      <c r="J1272" s="17">
        <f t="shared" si="43"/>
        <v>43.5</v>
      </c>
      <c r="K1272" s="597">
        <v>16.5</v>
      </c>
      <c r="L1272" s="1464" t="s">
        <v>3669</v>
      </c>
      <c r="M1272" s="97" t="s">
        <v>224</v>
      </c>
      <c r="N1272" s="33">
        <v>44992</v>
      </c>
      <c r="O1272" s="32">
        <v>5042</v>
      </c>
      <c r="P1272" s="83"/>
      <c r="Q1272" s="83"/>
      <c r="T1272" s="1318"/>
      <c r="U1272" s="83">
        <v>125</v>
      </c>
    </row>
    <row r="1273" spans="3:21" s="7" customFormat="1" ht="18" customHeight="1">
      <c r="C1273" s="6" t="s">
        <v>2807</v>
      </c>
      <c r="D1273" s="13" t="s">
        <v>2771</v>
      </c>
      <c r="E1273" s="886" t="s">
        <v>3529</v>
      </c>
      <c r="F1273" s="23" t="s">
        <v>2491</v>
      </c>
      <c r="G1273" s="21" t="s">
        <v>2774</v>
      </c>
      <c r="H1273" s="17">
        <v>39.4</v>
      </c>
      <c r="I1273" s="94">
        <v>1</v>
      </c>
      <c r="J1273" s="17">
        <f t="shared" si="43"/>
        <v>39.4</v>
      </c>
      <c r="K1273" s="597">
        <v>16.5</v>
      </c>
      <c r="L1273" s="1464" t="s">
        <v>3669</v>
      </c>
      <c r="M1273" s="97" t="s">
        <v>224</v>
      </c>
      <c r="N1273" s="33">
        <v>44992</v>
      </c>
      <c r="O1273" s="32">
        <v>5042</v>
      </c>
      <c r="P1273" s="83"/>
      <c r="Q1273" s="83"/>
      <c r="T1273" s="1318"/>
      <c r="U1273" s="83">
        <v>125</v>
      </c>
    </row>
    <row r="1274" spans="3:21" s="7" customFormat="1" ht="18" customHeight="1">
      <c r="C1274" s="6" t="s">
        <v>2807</v>
      </c>
      <c r="D1274" s="13" t="s">
        <v>2771</v>
      </c>
      <c r="E1274" s="886" t="s">
        <v>3529</v>
      </c>
      <c r="F1274" s="23" t="s">
        <v>2491</v>
      </c>
      <c r="G1274" s="21" t="s">
        <v>2774</v>
      </c>
      <c r="H1274" s="17">
        <v>44.5</v>
      </c>
      <c r="I1274" s="94">
        <v>1</v>
      </c>
      <c r="J1274" s="17">
        <f t="shared" si="43"/>
        <v>44.5</v>
      </c>
      <c r="K1274" s="597">
        <v>16.5</v>
      </c>
      <c r="L1274" s="1464" t="s">
        <v>3669</v>
      </c>
      <c r="M1274" s="97" t="s">
        <v>224</v>
      </c>
      <c r="N1274" s="33">
        <v>44992</v>
      </c>
      <c r="O1274" s="32">
        <v>5042</v>
      </c>
      <c r="P1274" s="83"/>
      <c r="Q1274" s="83"/>
      <c r="T1274" s="1318"/>
      <c r="U1274" s="83">
        <v>125</v>
      </c>
    </row>
    <row r="1275" spans="3:21" s="7" customFormat="1" ht="18" customHeight="1">
      <c r="C1275" s="6" t="s">
        <v>2807</v>
      </c>
      <c r="D1275" s="13" t="s">
        <v>2771</v>
      </c>
      <c r="E1275" s="886" t="s">
        <v>3529</v>
      </c>
      <c r="F1275" s="23" t="s">
        <v>2491</v>
      </c>
      <c r="G1275" s="21" t="s">
        <v>2774</v>
      </c>
      <c r="H1275" s="17">
        <v>44.5</v>
      </c>
      <c r="I1275" s="94">
        <v>1</v>
      </c>
      <c r="J1275" s="17">
        <f t="shared" si="43"/>
        <v>44.5</v>
      </c>
      <c r="K1275" s="597">
        <v>16.5</v>
      </c>
      <c r="L1275" s="1464" t="s">
        <v>3669</v>
      </c>
      <c r="M1275" s="97" t="s">
        <v>224</v>
      </c>
      <c r="N1275" s="33">
        <v>44992</v>
      </c>
      <c r="O1275" s="32">
        <v>5042</v>
      </c>
      <c r="P1275" s="83"/>
      <c r="Q1275" s="83"/>
      <c r="T1275" s="1318"/>
      <c r="U1275" s="83">
        <v>125</v>
      </c>
    </row>
    <row r="1276" spans="3:21" s="7" customFormat="1" ht="18" customHeight="1">
      <c r="C1276" s="6" t="s">
        <v>2807</v>
      </c>
      <c r="D1276" s="13" t="s">
        <v>2771</v>
      </c>
      <c r="E1276" s="886" t="s">
        <v>3529</v>
      </c>
      <c r="F1276" s="23" t="s">
        <v>2491</v>
      </c>
      <c r="G1276" s="21" t="s">
        <v>2774</v>
      </c>
      <c r="H1276" s="17">
        <v>42.1</v>
      </c>
      <c r="I1276" s="94">
        <v>1</v>
      </c>
      <c r="J1276" s="17">
        <f t="shared" si="43"/>
        <v>42.1</v>
      </c>
      <c r="K1276" s="597">
        <v>16.5</v>
      </c>
      <c r="L1276" s="1464" t="s">
        <v>3669</v>
      </c>
      <c r="M1276" s="97" t="s">
        <v>224</v>
      </c>
      <c r="N1276" s="33">
        <v>44992</v>
      </c>
      <c r="O1276" s="32">
        <v>5042</v>
      </c>
      <c r="P1276" s="83"/>
      <c r="Q1276" s="83"/>
      <c r="T1276" s="1318"/>
      <c r="U1276" s="83">
        <v>125</v>
      </c>
    </row>
    <row r="1277" spans="3:21" s="7" customFormat="1" ht="18" customHeight="1">
      <c r="C1277" s="6" t="s">
        <v>2807</v>
      </c>
      <c r="D1277" s="13" t="s">
        <v>2771</v>
      </c>
      <c r="E1277" s="886" t="s">
        <v>3529</v>
      </c>
      <c r="F1277" s="23" t="s">
        <v>2491</v>
      </c>
      <c r="G1277" s="21" t="s">
        <v>2774</v>
      </c>
      <c r="H1277" s="17">
        <v>43.6</v>
      </c>
      <c r="I1277" s="94">
        <v>1</v>
      </c>
      <c r="J1277" s="17">
        <f t="shared" si="43"/>
        <v>43.6</v>
      </c>
      <c r="K1277" s="597">
        <v>16.5</v>
      </c>
      <c r="L1277" s="1464" t="s">
        <v>3669</v>
      </c>
      <c r="M1277" s="97" t="s">
        <v>224</v>
      </c>
      <c r="N1277" s="33">
        <v>44992</v>
      </c>
      <c r="O1277" s="32">
        <v>5042</v>
      </c>
      <c r="P1277" s="83"/>
      <c r="Q1277" s="83"/>
      <c r="T1277" s="1318"/>
      <c r="U1277" s="83">
        <v>125</v>
      </c>
    </row>
    <row r="1278" spans="3:21" s="7" customFormat="1" ht="18" customHeight="1">
      <c r="C1278" s="6" t="s">
        <v>2807</v>
      </c>
      <c r="D1278" s="13" t="s">
        <v>2771</v>
      </c>
      <c r="E1278" s="886" t="s">
        <v>3529</v>
      </c>
      <c r="F1278" s="23" t="s">
        <v>2491</v>
      </c>
      <c r="G1278" s="21" t="s">
        <v>2774</v>
      </c>
      <c r="H1278" s="17">
        <v>44.4</v>
      </c>
      <c r="I1278" s="94">
        <v>1</v>
      </c>
      <c r="J1278" s="17">
        <f t="shared" si="43"/>
        <v>44.4</v>
      </c>
      <c r="K1278" s="597">
        <v>16.5</v>
      </c>
      <c r="L1278" s="1464" t="s">
        <v>3669</v>
      </c>
      <c r="M1278" s="97" t="s">
        <v>224</v>
      </c>
      <c r="N1278" s="33">
        <v>44992</v>
      </c>
      <c r="O1278" s="32">
        <v>5042</v>
      </c>
      <c r="P1278" s="83"/>
      <c r="Q1278" s="83"/>
      <c r="T1278" s="1318"/>
      <c r="U1278" s="83">
        <v>125</v>
      </c>
    </row>
    <row r="1279" spans="3:21" s="7" customFormat="1" ht="18" customHeight="1">
      <c r="C1279" s="6" t="s">
        <v>2807</v>
      </c>
      <c r="D1279" s="13" t="s">
        <v>2771</v>
      </c>
      <c r="E1279" s="886" t="s">
        <v>3529</v>
      </c>
      <c r="F1279" s="23" t="s">
        <v>2491</v>
      </c>
      <c r="G1279" s="21" t="s">
        <v>2774</v>
      </c>
      <c r="H1279" s="17">
        <v>44</v>
      </c>
      <c r="I1279" s="94">
        <v>1</v>
      </c>
      <c r="J1279" s="17">
        <f t="shared" si="43"/>
        <v>44</v>
      </c>
      <c r="K1279" s="597">
        <v>16.5</v>
      </c>
      <c r="L1279" s="1464" t="s">
        <v>3669</v>
      </c>
      <c r="M1279" s="97" t="s">
        <v>224</v>
      </c>
      <c r="N1279" s="33">
        <v>44992</v>
      </c>
      <c r="O1279" s="32">
        <v>5042</v>
      </c>
      <c r="P1279" s="83"/>
      <c r="Q1279" s="83"/>
      <c r="T1279" s="1318"/>
      <c r="U1279" s="83">
        <v>125</v>
      </c>
    </row>
    <row r="1280" spans="3:21" s="7" customFormat="1" ht="18" customHeight="1">
      <c r="C1280" s="6" t="s">
        <v>2807</v>
      </c>
      <c r="D1280" s="13" t="s">
        <v>2771</v>
      </c>
      <c r="E1280" s="886" t="s">
        <v>3529</v>
      </c>
      <c r="F1280" s="23" t="s">
        <v>2491</v>
      </c>
      <c r="G1280" s="21" t="s">
        <v>2774</v>
      </c>
      <c r="H1280" s="17">
        <v>43.2</v>
      </c>
      <c r="I1280" s="94">
        <v>1</v>
      </c>
      <c r="J1280" s="17">
        <f t="shared" si="43"/>
        <v>43.2</v>
      </c>
      <c r="K1280" s="597">
        <v>16.5</v>
      </c>
      <c r="L1280" s="1464" t="s">
        <v>3669</v>
      </c>
      <c r="M1280" s="97" t="s">
        <v>224</v>
      </c>
      <c r="N1280" s="33">
        <v>44992</v>
      </c>
      <c r="O1280" s="32">
        <v>5042</v>
      </c>
      <c r="P1280" s="83"/>
      <c r="Q1280" s="83"/>
      <c r="T1280" s="1318"/>
      <c r="U1280" s="83">
        <v>125</v>
      </c>
    </row>
    <row r="1281" spans="3:21" s="7" customFormat="1" ht="18" customHeight="1">
      <c r="C1281" s="6" t="s">
        <v>2807</v>
      </c>
      <c r="D1281" s="13" t="s">
        <v>2771</v>
      </c>
      <c r="E1281" s="886" t="s">
        <v>3529</v>
      </c>
      <c r="F1281" s="23" t="s">
        <v>2491</v>
      </c>
      <c r="G1281" s="21" t="s">
        <v>2774</v>
      </c>
      <c r="H1281" s="17">
        <v>44.5</v>
      </c>
      <c r="I1281" s="94">
        <v>1</v>
      </c>
      <c r="J1281" s="17">
        <f t="shared" si="43"/>
        <v>44.5</v>
      </c>
      <c r="K1281" s="597">
        <v>16.5</v>
      </c>
      <c r="L1281" s="1464" t="s">
        <v>3669</v>
      </c>
      <c r="M1281" s="97" t="s">
        <v>224</v>
      </c>
      <c r="N1281" s="33">
        <v>44992</v>
      </c>
      <c r="O1281" s="32">
        <v>5042</v>
      </c>
      <c r="P1281" s="83"/>
      <c r="Q1281" s="83"/>
      <c r="T1281" s="1318"/>
      <c r="U1281" s="83">
        <v>125</v>
      </c>
    </row>
    <row r="1282" spans="3:21" s="159" customFormat="1" ht="18" customHeight="1">
      <c r="C1282" s="149" t="s">
        <v>2807</v>
      </c>
      <c r="D1282" s="150" t="s">
        <v>2771</v>
      </c>
      <c r="E1282" s="151"/>
      <c r="F1282" s="152"/>
      <c r="G1282" s="152" t="s">
        <v>168</v>
      </c>
      <c r="H1282" s="918" t="s">
        <v>2776</v>
      </c>
      <c r="I1282" s="155"/>
      <c r="J1282" s="153"/>
      <c r="K1282" s="600">
        <v>0</v>
      </c>
      <c r="L1282" s="601"/>
      <c r="M1282" s="601"/>
      <c r="N1282" s="157">
        <v>44992</v>
      </c>
      <c r="O1282" s="156">
        <v>5042</v>
      </c>
      <c r="P1282" s="164">
        <v>0</v>
      </c>
      <c r="Q1282" s="165">
        <v>0</v>
      </c>
      <c r="S1282" s="7">
        <f t="shared" ref="S1282:T1284" si="44">P1282</f>
        <v>0</v>
      </c>
      <c r="T1282" s="1318">
        <f t="shared" si="44"/>
        <v>0</v>
      </c>
      <c r="U1282" s="83">
        <v>125</v>
      </c>
    </row>
    <row r="1283" spans="3:21" s="7" customFormat="1" ht="18" customHeight="1">
      <c r="C1283" s="6" t="s">
        <v>3588</v>
      </c>
      <c r="D1283" s="13" t="s">
        <v>2771</v>
      </c>
      <c r="E1283" s="18" t="s">
        <v>2772</v>
      </c>
      <c r="F1283" s="23"/>
      <c r="G1283" s="21"/>
      <c r="H1283" s="39"/>
      <c r="I1283" s="56"/>
      <c r="J1283" s="55"/>
      <c r="K1283" s="15" t="s">
        <v>8</v>
      </c>
      <c r="L1283" s="33"/>
      <c r="M1283" s="33"/>
      <c r="N1283" s="33">
        <v>45016</v>
      </c>
      <c r="O1283" s="32">
        <v>5090</v>
      </c>
      <c r="P1283" s="83"/>
      <c r="Q1283" s="83"/>
      <c r="S1283" s="7">
        <f t="shared" si="44"/>
        <v>0</v>
      </c>
      <c r="T1283" s="1318">
        <f t="shared" si="44"/>
        <v>0</v>
      </c>
      <c r="U1283" s="83">
        <v>125</v>
      </c>
    </row>
    <row r="1284" spans="3:21" s="7" customFormat="1" ht="18" customHeight="1">
      <c r="C1284" s="6" t="s">
        <v>3588</v>
      </c>
      <c r="D1284" s="13" t="s">
        <v>2771</v>
      </c>
      <c r="E1284" s="886" t="s">
        <v>3529</v>
      </c>
      <c r="F1284" s="23" t="s">
        <v>2491</v>
      </c>
      <c r="G1284" s="21" t="s">
        <v>2774</v>
      </c>
      <c r="H1284" s="17"/>
      <c r="I1284" s="94"/>
      <c r="J1284" s="17">
        <v>653.4</v>
      </c>
      <c r="K1284" s="597">
        <v>16.5</v>
      </c>
      <c r="L1284" s="598">
        <f>K1284*J1284</f>
        <v>10781.1</v>
      </c>
      <c r="M1284" s="97" t="s">
        <v>224</v>
      </c>
      <c r="N1284" s="33">
        <v>45016</v>
      </c>
      <c r="O1284" s="32">
        <v>5090</v>
      </c>
      <c r="P1284" s="83">
        <v>1650</v>
      </c>
      <c r="Q1284" s="83">
        <f>P1284*J1284</f>
        <v>1078110</v>
      </c>
      <c r="R1284" s="7" t="s">
        <v>2775</v>
      </c>
      <c r="S1284" s="7">
        <f t="shared" si="44"/>
        <v>1650</v>
      </c>
      <c r="T1284" s="1318">
        <f t="shared" si="44"/>
        <v>1078110</v>
      </c>
      <c r="U1284" s="83">
        <v>125</v>
      </c>
    </row>
    <row r="1285" spans="3:21" s="7" customFormat="1" ht="18" customHeight="1">
      <c r="C1285" s="6" t="s">
        <v>3588</v>
      </c>
      <c r="D1285" s="13" t="s">
        <v>2771</v>
      </c>
      <c r="E1285" s="886" t="s">
        <v>3529</v>
      </c>
      <c r="F1285" s="23" t="s">
        <v>2491</v>
      </c>
      <c r="G1285" s="21" t="s">
        <v>2774</v>
      </c>
      <c r="H1285" s="17">
        <v>42.2</v>
      </c>
      <c r="I1285" s="94">
        <v>1</v>
      </c>
      <c r="J1285" s="17">
        <f t="shared" ref="J1285:J1299" si="45">H1285*I1285</f>
        <v>42.2</v>
      </c>
      <c r="K1285" s="597">
        <v>16.5</v>
      </c>
      <c r="L1285" s="1464" t="s">
        <v>3669</v>
      </c>
      <c r="M1285" s="97" t="s">
        <v>224</v>
      </c>
      <c r="N1285" s="33">
        <v>45016</v>
      </c>
      <c r="O1285" s="32">
        <v>5090</v>
      </c>
      <c r="P1285" s="83"/>
      <c r="Q1285" s="83"/>
      <c r="T1285" s="1318"/>
      <c r="U1285" s="83"/>
    </row>
    <row r="1286" spans="3:21" s="7" customFormat="1" ht="18" customHeight="1">
      <c r="C1286" s="6" t="s">
        <v>3588</v>
      </c>
      <c r="D1286" s="13" t="s">
        <v>2771</v>
      </c>
      <c r="E1286" s="886" t="s">
        <v>3529</v>
      </c>
      <c r="F1286" s="23" t="s">
        <v>2491</v>
      </c>
      <c r="G1286" s="21" t="s">
        <v>2774</v>
      </c>
      <c r="H1286" s="17">
        <v>42.5</v>
      </c>
      <c r="I1286" s="94">
        <v>1</v>
      </c>
      <c r="J1286" s="17">
        <f t="shared" si="45"/>
        <v>42.5</v>
      </c>
      <c r="K1286" s="597">
        <v>16.5</v>
      </c>
      <c r="L1286" s="1464" t="s">
        <v>3669</v>
      </c>
      <c r="M1286" s="97" t="s">
        <v>224</v>
      </c>
      <c r="N1286" s="33">
        <v>45016</v>
      </c>
      <c r="O1286" s="32">
        <v>5090</v>
      </c>
      <c r="P1286" s="83"/>
      <c r="Q1286" s="83"/>
      <c r="T1286" s="1318"/>
      <c r="U1286" s="83"/>
    </row>
    <row r="1287" spans="3:21" s="7" customFormat="1" ht="18" customHeight="1">
      <c r="C1287" s="6" t="s">
        <v>3588</v>
      </c>
      <c r="D1287" s="13" t="s">
        <v>2771</v>
      </c>
      <c r="E1287" s="886" t="s">
        <v>3529</v>
      </c>
      <c r="F1287" s="23" t="s">
        <v>2491</v>
      </c>
      <c r="G1287" s="21" t="s">
        <v>2774</v>
      </c>
      <c r="H1287" s="17">
        <v>43.6</v>
      </c>
      <c r="I1287" s="94">
        <v>1</v>
      </c>
      <c r="J1287" s="17">
        <f t="shared" si="45"/>
        <v>43.6</v>
      </c>
      <c r="K1287" s="597">
        <v>16.5</v>
      </c>
      <c r="L1287" s="1464" t="s">
        <v>3669</v>
      </c>
      <c r="M1287" s="97" t="s">
        <v>224</v>
      </c>
      <c r="N1287" s="33">
        <v>45016</v>
      </c>
      <c r="O1287" s="32">
        <v>5090</v>
      </c>
      <c r="P1287" s="83"/>
      <c r="Q1287" s="83"/>
      <c r="T1287" s="1318"/>
      <c r="U1287" s="83"/>
    </row>
    <row r="1288" spans="3:21" s="7" customFormat="1" ht="18" customHeight="1">
      <c r="C1288" s="6" t="s">
        <v>3588</v>
      </c>
      <c r="D1288" s="13" t="s">
        <v>2771</v>
      </c>
      <c r="E1288" s="886" t="s">
        <v>3529</v>
      </c>
      <c r="F1288" s="23" t="s">
        <v>2491</v>
      </c>
      <c r="G1288" s="21" t="s">
        <v>2774</v>
      </c>
      <c r="H1288" s="17">
        <v>44</v>
      </c>
      <c r="I1288" s="94">
        <v>1</v>
      </c>
      <c r="J1288" s="17">
        <f t="shared" si="45"/>
        <v>44</v>
      </c>
      <c r="K1288" s="597">
        <v>16.5</v>
      </c>
      <c r="L1288" s="1464" t="s">
        <v>3669</v>
      </c>
      <c r="M1288" s="97" t="s">
        <v>224</v>
      </c>
      <c r="N1288" s="33">
        <v>45016</v>
      </c>
      <c r="O1288" s="32">
        <v>5090</v>
      </c>
      <c r="P1288" s="83"/>
      <c r="Q1288" s="83"/>
      <c r="T1288" s="1318"/>
      <c r="U1288" s="83"/>
    </row>
    <row r="1289" spans="3:21" s="7" customFormat="1" ht="18" customHeight="1">
      <c r="C1289" s="6" t="s">
        <v>3588</v>
      </c>
      <c r="D1289" s="13" t="s">
        <v>2771</v>
      </c>
      <c r="E1289" s="886" t="s">
        <v>3529</v>
      </c>
      <c r="F1289" s="23" t="s">
        <v>2491</v>
      </c>
      <c r="G1289" s="21" t="s">
        <v>2774</v>
      </c>
      <c r="H1289" s="17">
        <v>44.5</v>
      </c>
      <c r="I1289" s="94">
        <v>1</v>
      </c>
      <c r="J1289" s="17">
        <f t="shared" si="45"/>
        <v>44.5</v>
      </c>
      <c r="K1289" s="597">
        <v>16.5</v>
      </c>
      <c r="L1289" s="1464" t="s">
        <v>3669</v>
      </c>
      <c r="M1289" s="97" t="s">
        <v>224</v>
      </c>
      <c r="N1289" s="33">
        <v>45016</v>
      </c>
      <c r="O1289" s="32">
        <v>5090</v>
      </c>
      <c r="P1289" s="83"/>
      <c r="Q1289" s="83"/>
      <c r="T1289" s="1318"/>
      <c r="U1289" s="83"/>
    </row>
    <row r="1290" spans="3:21" s="7" customFormat="1" ht="18" customHeight="1">
      <c r="C1290" s="6" t="s">
        <v>3588</v>
      </c>
      <c r="D1290" s="13" t="s">
        <v>2771</v>
      </c>
      <c r="E1290" s="886" t="s">
        <v>3529</v>
      </c>
      <c r="F1290" s="23" t="s">
        <v>2491</v>
      </c>
      <c r="G1290" s="21" t="s">
        <v>2774</v>
      </c>
      <c r="H1290" s="17">
        <v>44.3</v>
      </c>
      <c r="I1290" s="94">
        <v>1</v>
      </c>
      <c r="J1290" s="17">
        <f t="shared" si="45"/>
        <v>44.3</v>
      </c>
      <c r="K1290" s="597">
        <v>16.5</v>
      </c>
      <c r="L1290" s="1464" t="s">
        <v>3669</v>
      </c>
      <c r="M1290" s="97" t="s">
        <v>224</v>
      </c>
      <c r="N1290" s="33">
        <v>45016</v>
      </c>
      <c r="O1290" s="32">
        <v>5090</v>
      </c>
      <c r="P1290" s="83"/>
      <c r="Q1290" s="83"/>
      <c r="T1290" s="1318"/>
      <c r="U1290" s="83"/>
    </row>
    <row r="1291" spans="3:21" s="7" customFormat="1" ht="18" customHeight="1">
      <c r="C1291" s="6" t="s">
        <v>3588</v>
      </c>
      <c r="D1291" s="13" t="s">
        <v>2771</v>
      </c>
      <c r="E1291" s="886" t="s">
        <v>3529</v>
      </c>
      <c r="F1291" s="23" t="s">
        <v>2491</v>
      </c>
      <c r="G1291" s="21" t="s">
        <v>2774</v>
      </c>
      <c r="H1291" s="17">
        <v>42.4</v>
      </c>
      <c r="I1291" s="94">
        <v>1</v>
      </c>
      <c r="J1291" s="17">
        <f t="shared" si="45"/>
        <v>42.4</v>
      </c>
      <c r="K1291" s="597">
        <v>16.5</v>
      </c>
      <c r="L1291" s="1464" t="s">
        <v>3669</v>
      </c>
      <c r="M1291" s="97" t="s">
        <v>224</v>
      </c>
      <c r="N1291" s="33">
        <v>45016</v>
      </c>
      <c r="O1291" s="32">
        <v>5090</v>
      </c>
      <c r="P1291" s="83"/>
      <c r="Q1291" s="83"/>
      <c r="T1291" s="1318"/>
      <c r="U1291" s="83"/>
    </row>
    <row r="1292" spans="3:21" s="7" customFormat="1" ht="18" customHeight="1">
      <c r="C1292" s="6" t="s">
        <v>3588</v>
      </c>
      <c r="D1292" s="13" t="s">
        <v>2771</v>
      </c>
      <c r="E1292" s="886" t="s">
        <v>3529</v>
      </c>
      <c r="F1292" s="23" t="s">
        <v>2491</v>
      </c>
      <c r="G1292" s="21" t="s">
        <v>2774</v>
      </c>
      <c r="H1292" s="17">
        <v>43.5</v>
      </c>
      <c r="I1292" s="94">
        <v>1</v>
      </c>
      <c r="J1292" s="17">
        <f t="shared" si="45"/>
        <v>43.5</v>
      </c>
      <c r="K1292" s="597">
        <v>16.5</v>
      </c>
      <c r="L1292" s="1464" t="s">
        <v>3669</v>
      </c>
      <c r="M1292" s="97" t="s">
        <v>224</v>
      </c>
      <c r="N1292" s="33">
        <v>45016</v>
      </c>
      <c r="O1292" s="32">
        <v>5090</v>
      </c>
      <c r="P1292" s="83"/>
      <c r="Q1292" s="83"/>
      <c r="T1292" s="1318"/>
      <c r="U1292" s="83"/>
    </row>
    <row r="1293" spans="3:21" s="7" customFormat="1" ht="18" customHeight="1">
      <c r="C1293" s="6" t="s">
        <v>3588</v>
      </c>
      <c r="D1293" s="13" t="s">
        <v>2771</v>
      </c>
      <c r="E1293" s="886" t="s">
        <v>3529</v>
      </c>
      <c r="F1293" s="23" t="s">
        <v>2491</v>
      </c>
      <c r="G1293" s="21" t="s">
        <v>2774</v>
      </c>
      <c r="H1293" s="17">
        <v>43.1</v>
      </c>
      <c r="I1293" s="94">
        <v>1</v>
      </c>
      <c r="J1293" s="17">
        <f t="shared" si="45"/>
        <v>43.1</v>
      </c>
      <c r="K1293" s="597">
        <v>16.5</v>
      </c>
      <c r="L1293" s="1464" t="s">
        <v>3669</v>
      </c>
      <c r="M1293" s="97" t="s">
        <v>224</v>
      </c>
      <c r="N1293" s="33">
        <v>45016</v>
      </c>
      <c r="O1293" s="32">
        <v>5090</v>
      </c>
      <c r="P1293" s="83"/>
      <c r="Q1293" s="83"/>
      <c r="T1293" s="1318"/>
      <c r="U1293" s="83"/>
    </row>
    <row r="1294" spans="3:21" s="7" customFormat="1" ht="18" customHeight="1">
      <c r="C1294" s="6" t="s">
        <v>3588</v>
      </c>
      <c r="D1294" s="13" t="s">
        <v>2771</v>
      </c>
      <c r="E1294" s="886" t="s">
        <v>3529</v>
      </c>
      <c r="F1294" s="23" t="s">
        <v>2491</v>
      </c>
      <c r="G1294" s="21" t="s">
        <v>2774</v>
      </c>
      <c r="H1294" s="17">
        <v>43.5</v>
      </c>
      <c r="I1294" s="94">
        <v>1</v>
      </c>
      <c r="J1294" s="17">
        <f t="shared" si="45"/>
        <v>43.5</v>
      </c>
      <c r="K1294" s="597">
        <v>16.5</v>
      </c>
      <c r="L1294" s="1464" t="s">
        <v>3669</v>
      </c>
      <c r="M1294" s="97" t="s">
        <v>224</v>
      </c>
      <c r="N1294" s="33">
        <v>45016</v>
      </c>
      <c r="O1294" s="32">
        <v>5090</v>
      </c>
      <c r="P1294" s="83"/>
      <c r="Q1294" s="83"/>
      <c r="T1294" s="1318"/>
      <c r="U1294" s="83"/>
    </row>
    <row r="1295" spans="3:21" s="7" customFormat="1" ht="18" customHeight="1">
      <c r="C1295" s="6" t="s">
        <v>3588</v>
      </c>
      <c r="D1295" s="13" t="s">
        <v>2771</v>
      </c>
      <c r="E1295" s="886" t="s">
        <v>3529</v>
      </c>
      <c r="F1295" s="23" t="s">
        <v>2491</v>
      </c>
      <c r="G1295" s="21" t="s">
        <v>2774</v>
      </c>
      <c r="H1295" s="17">
        <v>41.4</v>
      </c>
      <c r="I1295" s="94">
        <v>1</v>
      </c>
      <c r="J1295" s="17">
        <f t="shared" si="45"/>
        <v>41.4</v>
      </c>
      <c r="K1295" s="597">
        <v>16.5</v>
      </c>
      <c r="L1295" s="1464" t="s">
        <v>3669</v>
      </c>
      <c r="M1295" s="97" t="s">
        <v>224</v>
      </c>
      <c r="N1295" s="33">
        <v>45016</v>
      </c>
      <c r="O1295" s="32">
        <v>5090</v>
      </c>
      <c r="P1295" s="83"/>
      <c r="Q1295" s="83"/>
      <c r="T1295" s="1318"/>
      <c r="U1295" s="83"/>
    </row>
    <row r="1296" spans="3:21" s="7" customFormat="1" ht="18" customHeight="1">
      <c r="C1296" s="6" t="s">
        <v>3588</v>
      </c>
      <c r="D1296" s="13" t="s">
        <v>2771</v>
      </c>
      <c r="E1296" s="886" t="s">
        <v>3529</v>
      </c>
      <c r="F1296" s="23" t="s">
        <v>2491</v>
      </c>
      <c r="G1296" s="21" t="s">
        <v>2774</v>
      </c>
      <c r="H1296" s="17">
        <v>44.6</v>
      </c>
      <c r="I1296" s="94">
        <v>1</v>
      </c>
      <c r="J1296" s="17">
        <f t="shared" si="45"/>
        <v>44.6</v>
      </c>
      <c r="K1296" s="597">
        <v>16.5</v>
      </c>
      <c r="L1296" s="1464" t="s">
        <v>3669</v>
      </c>
      <c r="M1296" s="97" t="s">
        <v>224</v>
      </c>
      <c r="N1296" s="33">
        <v>45016</v>
      </c>
      <c r="O1296" s="32">
        <v>5090</v>
      </c>
      <c r="P1296" s="83"/>
      <c r="Q1296" s="83"/>
      <c r="T1296" s="1318"/>
      <c r="U1296" s="83"/>
    </row>
    <row r="1297" spans="3:21" s="7" customFormat="1" ht="18" customHeight="1">
      <c r="C1297" s="6" t="s">
        <v>3588</v>
      </c>
      <c r="D1297" s="13" t="s">
        <v>2771</v>
      </c>
      <c r="E1297" s="886" t="s">
        <v>3529</v>
      </c>
      <c r="F1297" s="23" t="s">
        <v>2491</v>
      </c>
      <c r="G1297" s="21" t="s">
        <v>2774</v>
      </c>
      <c r="H1297" s="17">
        <v>44.6</v>
      </c>
      <c r="I1297" s="94">
        <v>1</v>
      </c>
      <c r="J1297" s="17">
        <f t="shared" si="45"/>
        <v>44.6</v>
      </c>
      <c r="K1297" s="597">
        <v>16.5</v>
      </c>
      <c r="L1297" s="1464" t="s">
        <v>3669</v>
      </c>
      <c r="M1297" s="97" t="s">
        <v>224</v>
      </c>
      <c r="N1297" s="33">
        <v>45016</v>
      </c>
      <c r="O1297" s="32">
        <v>5090</v>
      </c>
      <c r="P1297" s="83"/>
      <c r="Q1297" s="83"/>
      <c r="T1297" s="1318"/>
      <c r="U1297" s="83"/>
    </row>
    <row r="1298" spans="3:21" s="7" customFormat="1" ht="18" customHeight="1">
      <c r="C1298" s="6" t="s">
        <v>3588</v>
      </c>
      <c r="D1298" s="13" t="s">
        <v>2771</v>
      </c>
      <c r="E1298" s="886" t="s">
        <v>3529</v>
      </c>
      <c r="F1298" s="23" t="s">
        <v>2491</v>
      </c>
      <c r="G1298" s="21" t="s">
        <v>2774</v>
      </c>
      <c r="H1298" s="17">
        <v>44.6</v>
      </c>
      <c r="I1298" s="94">
        <v>1</v>
      </c>
      <c r="J1298" s="17">
        <f t="shared" si="45"/>
        <v>44.6</v>
      </c>
      <c r="K1298" s="597">
        <v>16.5</v>
      </c>
      <c r="L1298" s="1464" t="s">
        <v>3669</v>
      </c>
      <c r="M1298" s="97" t="s">
        <v>224</v>
      </c>
      <c r="N1298" s="33">
        <v>45016</v>
      </c>
      <c r="O1298" s="32">
        <v>5090</v>
      </c>
      <c r="P1298" s="83"/>
      <c r="Q1298" s="83"/>
      <c r="T1298" s="1318"/>
      <c r="U1298" s="83"/>
    </row>
    <row r="1299" spans="3:21" s="7" customFormat="1" ht="18" customHeight="1">
      <c r="C1299" s="6" t="s">
        <v>3588</v>
      </c>
      <c r="D1299" s="13" t="s">
        <v>2771</v>
      </c>
      <c r="E1299" s="886" t="s">
        <v>3529</v>
      </c>
      <c r="F1299" s="23" t="s">
        <v>2491</v>
      </c>
      <c r="G1299" s="21" t="s">
        <v>2774</v>
      </c>
      <c r="H1299" s="17">
        <v>44.6</v>
      </c>
      <c r="I1299" s="94">
        <v>1</v>
      </c>
      <c r="J1299" s="17">
        <f t="shared" si="45"/>
        <v>44.6</v>
      </c>
      <c r="K1299" s="597">
        <v>16.5</v>
      </c>
      <c r="L1299" s="1464" t="s">
        <v>3669</v>
      </c>
      <c r="M1299" s="97" t="s">
        <v>224</v>
      </c>
      <c r="N1299" s="33">
        <v>45016</v>
      </c>
      <c r="O1299" s="32">
        <v>5090</v>
      </c>
      <c r="P1299" s="83"/>
      <c r="Q1299" s="83"/>
      <c r="T1299" s="1318"/>
      <c r="U1299" s="83"/>
    </row>
    <row r="1300" spans="3:21" s="159" customFormat="1" ht="18" customHeight="1">
      <c r="C1300" s="149" t="s">
        <v>3588</v>
      </c>
      <c r="D1300" s="150" t="s">
        <v>2771</v>
      </c>
      <c r="E1300" s="151"/>
      <c r="F1300" s="152"/>
      <c r="G1300" s="152" t="s">
        <v>168</v>
      </c>
      <c r="H1300" s="918" t="s">
        <v>2776</v>
      </c>
      <c r="I1300" s="155"/>
      <c r="J1300" s="153"/>
      <c r="K1300" s="600">
        <v>0</v>
      </c>
      <c r="L1300" s="601"/>
      <c r="M1300" s="601"/>
      <c r="N1300" s="157">
        <v>45016</v>
      </c>
      <c r="O1300" s="156">
        <v>5090</v>
      </c>
      <c r="P1300" s="164">
        <v>0</v>
      </c>
      <c r="Q1300" s="165">
        <v>0</v>
      </c>
      <c r="S1300" s="7">
        <f t="shared" ref="S1300:T1307" si="46">P1300</f>
        <v>0</v>
      </c>
      <c r="T1300" s="1318">
        <f t="shared" si="46"/>
        <v>0</v>
      </c>
      <c r="U1300" s="83">
        <v>125</v>
      </c>
    </row>
    <row r="1301" spans="3:21" s="7" customFormat="1" ht="18" customHeight="1">
      <c r="C1301" s="6" t="s">
        <v>2808</v>
      </c>
      <c r="D1301" s="13" t="s">
        <v>1812</v>
      </c>
      <c r="E1301" s="18" t="s">
        <v>79</v>
      </c>
      <c r="F1301" s="92"/>
      <c r="G1301" s="21"/>
      <c r="H1301" s="93"/>
      <c r="I1301" s="94"/>
      <c r="J1301" s="93"/>
      <c r="K1301" s="95" t="s">
        <v>8</v>
      </c>
      <c r="L1301" s="33"/>
      <c r="M1301" s="33"/>
      <c r="N1301" s="33">
        <v>44939</v>
      </c>
      <c r="O1301" s="32">
        <v>4904</v>
      </c>
      <c r="P1301" s="83"/>
      <c r="Q1301" s="83"/>
      <c r="S1301" s="7">
        <f t="shared" si="46"/>
        <v>0</v>
      </c>
      <c r="T1301" s="1318">
        <f t="shared" si="46"/>
        <v>0</v>
      </c>
      <c r="U1301" s="83">
        <v>125</v>
      </c>
    </row>
    <row r="1302" spans="3:21" s="7" customFormat="1" ht="18" customHeight="1">
      <c r="C1302" s="6" t="s">
        <v>2808</v>
      </c>
      <c r="D1302" s="13" t="s">
        <v>1812</v>
      </c>
      <c r="E1302" s="21">
        <v>4141</v>
      </c>
      <c r="F1302" s="596">
        <v>9</v>
      </c>
      <c r="G1302" s="21" t="s">
        <v>2809</v>
      </c>
      <c r="H1302" s="93">
        <v>20</v>
      </c>
      <c r="I1302" s="94">
        <v>10</v>
      </c>
      <c r="J1302" s="55">
        <f>H1302*I1302</f>
        <v>200</v>
      </c>
      <c r="K1302" s="597">
        <v>1.33</v>
      </c>
      <c r="L1302" s="598">
        <f>K1302*J1302</f>
        <v>266</v>
      </c>
      <c r="M1302" s="97" t="s">
        <v>224</v>
      </c>
      <c r="N1302" s="33">
        <v>44939</v>
      </c>
      <c r="O1302" s="32">
        <v>4904</v>
      </c>
      <c r="P1302" s="83">
        <v>88</v>
      </c>
      <c r="Q1302" s="83">
        <f>P1302*J1302</f>
        <v>17600</v>
      </c>
      <c r="S1302" s="7">
        <f t="shared" si="46"/>
        <v>88</v>
      </c>
      <c r="T1302" s="1318">
        <f t="shared" si="46"/>
        <v>17600</v>
      </c>
      <c r="U1302" s="83">
        <v>125</v>
      </c>
    </row>
    <row r="1303" spans="3:21" s="7" customFormat="1" ht="18" customHeight="1">
      <c r="C1303" s="6" t="s">
        <v>2808</v>
      </c>
      <c r="D1303" s="13" t="s">
        <v>1812</v>
      </c>
      <c r="E1303" s="21">
        <v>4141</v>
      </c>
      <c r="F1303" s="596">
        <v>9</v>
      </c>
      <c r="G1303" s="21" t="s">
        <v>2811</v>
      </c>
      <c r="H1303" s="93">
        <v>20</v>
      </c>
      <c r="I1303" s="94">
        <v>10</v>
      </c>
      <c r="J1303" s="55">
        <f>H1303*I1303</f>
        <v>200</v>
      </c>
      <c r="K1303" s="597">
        <v>1.33</v>
      </c>
      <c r="L1303" s="598">
        <f>K1303*J1303</f>
        <v>266</v>
      </c>
      <c r="M1303" s="97" t="s">
        <v>224</v>
      </c>
      <c r="N1303" s="33">
        <v>44939</v>
      </c>
      <c r="O1303" s="32">
        <v>4904</v>
      </c>
      <c r="P1303" s="83">
        <v>88</v>
      </c>
      <c r="Q1303" s="83">
        <f>P1303*J1303</f>
        <v>17600</v>
      </c>
      <c r="S1303" s="7">
        <f t="shared" si="46"/>
        <v>88</v>
      </c>
      <c r="T1303" s="1318">
        <f t="shared" si="46"/>
        <v>17600</v>
      </c>
      <c r="U1303" s="83">
        <v>125</v>
      </c>
    </row>
    <row r="1304" spans="3:21" s="7" customFormat="1" ht="18" customHeight="1">
      <c r="C1304" s="6" t="s">
        <v>2812</v>
      </c>
      <c r="D1304" s="13" t="s">
        <v>1812</v>
      </c>
      <c r="E1304" s="21">
        <v>4141</v>
      </c>
      <c r="F1304" s="596">
        <v>9</v>
      </c>
      <c r="G1304" s="21" t="s">
        <v>277</v>
      </c>
      <c r="H1304" s="93">
        <v>20</v>
      </c>
      <c r="I1304" s="94">
        <v>30</v>
      </c>
      <c r="J1304" s="55">
        <f>H1304*I1304</f>
        <v>600</v>
      </c>
      <c r="K1304" s="597">
        <v>1.33</v>
      </c>
      <c r="L1304" s="598">
        <f>K1304*J1304</f>
        <v>798</v>
      </c>
      <c r="M1304" s="97" t="s">
        <v>224</v>
      </c>
      <c r="N1304" s="33">
        <v>44939</v>
      </c>
      <c r="O1304" s="32">
        <v>4904</v>
      </c>
      <c r="P1304" s="83">
        <v>88</v>
      </c>
      <c r="Q1304" s="83">
        <f>P1304*J1304</f>
        <v>52800</v>
      </c>
      <c r="S1304" s="7">
        <f t="shared" si="46"/>
        <v>88</v>
      </c>
      <c r="T1304" s="1318">
        <f t="shared" si="46"/>
        <v>52800</v>
      </c>
      <c r="U1304" s="83">
        <v>125</v>
      </c>
    </row>
    <row r="1305" spans="3:21" s="7" customFormat="1" ht="18" customHeight="1">
      <c r="C1305" s="6" t="s">
        <v>2812</v>
      </c>
      <c r="D1305" s="13" t="s">
        <v>1812</v>
      </c>
      <c r="E1305" s="21">
        <v>4141</v>
      </c>
      <c r="F1305" s="596">
        <v>9</v>
      </c>
      <c r="G1305" s="21" t="s">
        <v>1817</v>
      </c>
      <c r="H1305" s="93">
        <v>20</v>
      </c>
      <c r="I1305" s="94">
        <v>15</v>
      </c>
      <c r="J1305" s="55">
        <f>H1305*I1305</f>
        <v>300</v>
      </c>
      <c r="K1305" s="597">
        <v>1.33</v>
      </c>
      <c r="L1305" s="598">
        <f>K1305*J1305</f>
        <v>399</v>
      </c>
      <c r="M1305" s="97" t="s">
        <v>224</v>
      </c>
      <c r="N1305" s="33">
        <v>44939</v>
      </c>
      <c r="O1305" s="32">
        <v>4904</v>
      </c>
      <c r="P1305" s="83">
        <v>88</v>
      </c>
      <c r="Q1305" s="83">
        <f>P1305*J1305</f>
        <v>26400</v>
      </c>
      <c r="S1305" s="7">
        <f t="shared" si="46"/>
        <v>88</v>
      </c>
      <c r="T1305" s="1318">
        <f t="shared" si="46"/>
        <v>26400</v>
      </c>
      <c r="U1305" s="83">
        <v>125</v>
      </c>
    </row>
    <row r="1306" spans="3:21" s="159" customFormat="1" ht="18" customHeight="1">
      <c r="C1306" s="149" t="s">
        <v>2812</v>
      </c>
      <c r="D1306" s="150" t="s">
        <v>1812</v>
      </c>
      <c r="E1306" s="191"/>
      <c r="F1306" s="152"/>
      <c r="G1306" s="152" t="s">
        <v>168</v>
      </c>
      <c r="H1306" s="154" t="s">
        <v>169</v>
      </c>
      <c r="I1306" s="155"/>
      <c r="J1306" s="153"/>
      <c r="K1306" s="600">
        <v>0</v>
      </c>
      <c r="L1306" s="601"/>
      <c r="M1306" s="601"/>
      <c r="N1306" s="157">
        <v>44939</v>
      </c>
      <c r="O1306" s="156">
        <v>4904</v>
      </c>
      <c r="P1306" s="164">
        <v>0</v>
      </c>
      <c r="Q1306" s="165">
        <v>0</v>
      </c>
      <c r="S1306" s="7">
        <f t="shared" si="46"/>
        <v>0</v>
      </c>
      <c r="T1306" s="1318">
        <f t="shared" si="46"/>
        <v>0</v>
      </c>
      <c r="U1306" s="83">
        <v>125</v>
      </c>
    </row>
    <row r="1307" spans="3:21" s="7" customFormat="1" ht="18" customHeight="1">
      <c r="C1307" s="6" t="s">
        <v>1811</v>
      </c>
      <c r="D1307" s="13" t="s">
        <v>1812</v>
      </c>
      <c r="E1307" s="18" t="s">
        <v>79</v>
      </c>
      <c r="F1307" s="92"/>
      <c r="G1307" s="21"/>
      <c r="H1307" s="93"/>
      <c r="I1307" s="94"/>
      <c r="J1307" s="93"/>
      <c r="K1307" s="95" t="s">
        <v>8</v>
      </c>
      <c r="L1307" s="33"/>
      <c r="M1307" s="33"/>
      <c r="N1307" s="33">
        <v>44939</v>
      </c>
      <c r="O1307" s="32">
        <v>4904</v>
      </c>
      <c r="P1307" s="83"/>
      <c r="Q1307" s="83"/>
      <c r="S1307" s="7">
        <f t="shared" si="46"/>
        <v>0</v>
      </c>
      <c r="T1307" s="1318">
        <f t="shared" si="46"/>
        <v>0</v>
      </c>
      <c r="U1307" s="83">
        <v>125</v>
      </c>
    </row>
    <row r="1308" spans="3:21" s="7" customFormat="1" ht="18" customHeight="1">
      <c r="C1308" s="6" t="s">
        <v>1811</v>
      </c>
      <c r="D1308" s="13" t="s">
        <v>1812</v>
      </c>
      <c r="E1308" s="21">
        <v>4141</v>
      </c>
      <c r="F1308" s="596">
        <v>9</v>
      </c>
      <c r="G1308" s="21" t="s">
        <v>277</v>
      </c>
      <c r="H1308" s="93">
        <v>20</v>
      </c>
      <c r="I1308" s="94">
        <v>200</v>
      </c>
      <c r="J1308" s="55">
        <f t="shared" ref="J1308:J1313" si="47">H1308*I1308</f>
        <v>4000</v>
      </c>
      <c r="K1308" s="597">
        <v>1.33</v>
      </c>
      <c r="L1308" s="598">
        <f t="shared" ref="L1308:L1313" si="48">K1308*J1308</f>
        <v>5320</v>
      </c>
      <c r="M1308" s="97" t="s">
        <v>224</v>
      </c>
      <c r="N1308" s="33">
        <v>44939</v>
      </c>
      <c r="O1308" s="32">
        <v>4904</v>
      </c>
      <c r="P1308" s="83">
        <v>88</v>
      </c>
      <c r="Q1308" s="83">
        <f t="shared" ref="Q1308:Q1313" si="49">P1308*J1308</f>
        <v>352000</v>
      </c>
      <c r="S1308" s="7">
        <f t="shared" ref="S1308:S1313" si="50">P1308</f>
        <v>88</v>
      </c>
      <c r="T1308" s="1318">
        <f t="shared" ref="T1308:T1313" si="51">Q1308</f>
        <v>352000</v>
      </c>
      <c r="U1308" s="83">
        <v>125</v>
      </c>
    </row>
    <row r="1309" spans="3:21" s="7" customFormat="1" ht="18" customHeight="1">
      <c r="C1309" s="6" t="s">
        <v>1811</v>
      </c>
      <c r="D1309" s="13" t="s">
        <v>1812</v>
      </c>
      <c r="E1309" s="21">
        <v>4141</v>
      </c>
      <c r="F1309" s="596">
        <v>9</v>
      </c>
      <c r="G1309" s="21" t="s">
        <v>1814</v>
      </c>
      <c r="H1309" s="93">
        <v>20</v>
      </c>
      <c r="I1309" s="94">
        <v>26</v>
      </c>
      <c r="J1309" s="55">
        <f t="shared" si="47"/>
        <v>520</v>
      </c>
      <c r="K1309" s="597">
        <v>1.33</v>
      </c>
      <c r="L1309" s="598">
        <f t="shared" si="48"/>
        <v>691.6</v>
      </c>
      <c r="M1309" s="97" t="s">
        <v>224</v>
      </c>
      <c r="N1309" s="33">
        <v>44939</v>
      </c>
      <c r="O1309" s="32">
        <v>4904</v>
      </c>
      <c r="P1309" s="83">
        <v>88</v>
      </c>
      <c r="Q1309" s="83">
        <f t="shared" si="49"/>
        <v>45760</v>
      </c>
      <c r="S1309" s="7">
        <f t="shared" si="50"/>
        <v>88</v>
      </c>
      <c r="T1309" s="1318">
        <f t="shared" si="51"/>
        <v>45760</v>
      </c>
      <c r="U1309" s="83">
        <v>125</v>
      </c>
    </row>
    <row r="1310" spans="3:21" s="7" customFormat="1" ht="18" customHeight="1">
      <c r="C1310" s="6" t="s">
        <v>1811</v>
      </c>
      <c r="D1310" s="13" t="s">
        <v>1812</v>
      </c>
      <c r="E1310" s="21">
        <v>4141</v>
      </c>
      <c r="F1310" s="596">
        <v>9</v>
      </c>
      <c r="G1310" s="21" t="s">
        <v>1816</v>
      </c>
      <c r="H1310" s="93">
        <v>20</v>
      </c>
      <c r="I1310" s="94">
        <v>10</v>
      </c>
      <c r="J1310" s="55">
        <f t="shared" si="47"/>
        <v>200</v>
      </c>
      <c r="K1310" s="597">
        <v>1.33</v>
      </c>
      <c r="L1310" s="598">
        <f t="shared" si="48"/>
        <v>266</v>
      </c>
      <c r="M1310" s="97" t="s">
        <v>224</v>
      </c>
      <c r="N1310" s="33">
        <v>44939</v>
      </c>
      <c r="O1310" s="32">
        <v>4904</v>
      </c>
      <c r="P1310" s="83">
        <v>88</v>
      </c>
      <c r="Q1310" s="83">
        <f t="shared" si="49"/>
        <v>17600</v>
      </c>
      <c r="S1310" s="7">
        <f t="shared" si="50"/>
        <v>88</v>
      </c>
      <c r="T1310" s="1318">
        <f t="shared" si="51"/>
        <v>17600</v>
      </c>
      <c r="U1310" s="83">
        <v>125</v>
      </c>
    </row>
    <row r="1311" spans="3:21" s="7" customFormat="1" ht="18" customHeight="1">
      <c r="C1311" s="6" t="s">
        <v>1811</v>
      </c>
      <c r="D1311" s="13" t="s">
        <v>1812</v>
      </c>
      <c r="E1311" s="21">
        <v>4141</v>
      </c>
      <c r="F1311" s="596">
        <v>9</v>
      </c>
      <c r="G1311" s="21" t="s">
        <v>1817</v>
      </c>
      <c r="H1311" s="93">
        <v>20</v>
      </c>
      <c r="I1311" s="94">
        <v>5</v>
      </c>
      <c r="J1311" s="55">
        <f t="shared" si="47"/>
        <v>100</v>
      </c>
      <c r="K1311" s="597">
        <v>1.33</v>
      </c>
      <c r="L1311" s="598">
        <f t="shared" si="48"/>
        <v>133</v>
      </c>
      <c r="M1311" s="97" t="s">
        <v>224</v>
      </c>
      <c r="N1311" s="33">
        <v>44939</v>
      </c>
      <c r="O1311" s="32">
        <v>4904</v>
      </c>
      <c r="P1311" s="83">
        <v>88</v>
      </c>
      <c r="Q1311" s="83">
        <f t="shared" si="49"/>
        <v>8800</v>
      </c>
      <c r="S1311" s="7">
        <f t="shared" si="50"/>
        <v>88</v>
      </c>
      <c r="T1311" s="1318">
        <f t="shared" si="51"/>
        <v>8800</v>
      </c>
      <c r="U1311" s="83">
        <v>125</v>
      </c>
    </row>
    <row r="1312" spans="3:21" s="7" customFormat="1" ht="18" customHeight="1">
      <c r="C1312" s="6" t="s">
        <v>1811</v>
      </c>
      <c r="D1312" s="13" t="s">
        <v>1812</v>
      </c>
      <c r="E1312" s="21">
        <v>4141</v>
      </c>
      <c r="F1312" s="596">
        <v>9</v>
      </c>
      <c r="G1312" s="21" t="s">
        <v>1819</v>
      </c>
      <c r="H1312" s="93">
        <v>20</v>
      </c>
      <c r="I1312" s="94">
        <v>3</v>
      </c>
      <c r="J1312" s="55">
        <f t="shared" si="47"/>
        <v>60</v>
      </c>
      <c r="K1312" s="597">
        <v>1.33</v>
      </c>
      <c r="L1312" s="598">
        <f t="shared" si="48"/>
        <v>79.800000000000011</v>
      </c>
      <c r="M1312" s="97" t="s">
        <v>224</v>
      </c>
      <c r="N1312" s="33">
        <v>44956</v>
      </c>
      <c r="O1312" s="32">
        <v>4940</v>
      </c>
      <c r="P1312" s="83">
        <v>88</v>
      </c>
      <c r="Q1312" s="83">
        <f t="shared" si="49"/>
        <v>5280</v>
      </c>
      <c r="S1312" s="7">
        <f t="shared" si="50"/>
        <v>88</v>
      </c>
      <c r="T1312" s="1318">
        <f t="shared" si="51"/>
        <v>5280</v>
      </c>
      <c r="U1312" s="83">
        <v>125</v>
      </c>
    </row>
    <row r="1313" spans="3:21" s="7" customFormat="1" ht="18" customHeight="1">
      <c r="C1313" s="6" t="s">
        <v>1811</v>
      </c>
      <c r="D1313" s="13" t="s">
        <v>1812</v>
      </c>
      <c r="E1313" s="21">
        <v>4141</v>
      </c>
      <c r="F1313" s="596">
        <v>9</v>
      </c>
      <c r="G1313" s="21" t="s">
        <v>1821</v>
      </c>
      <c r="H1313" s="93">
        <v>20</v>
      </c>
      <c r="I1313" s="94">
        <v>3</v>
      </c>
      <c r="J1313" s="55">
        <f t="shared" si="47"/>
        <v>60</v>
      </c>
      <c r="K1313" s="597">
        <v>1.33</v>
      </c>
      <c r="L1313" s="598">
        <f t="shared" si="48"/>
        <v>79.800000000000011</v>
      </c>
      <c r="M1313" s="97" t="s">
        <v>224</v>
      </c>
      <c r="N1313" s="33">
        <v>44939</v>
      </c>
      <c r="O1313" s="32">
        <v>4904</v>
      </c>
      <c r="P1313" s="83">
        <v>88</v>
      </c>
      <c r="Q1313" s="83">
        <f t="shared" si="49"/>
        <v>5280</v>
      </c>
      <c r="S1313" s="7">
        <f t="shared" si="50"/>
        <v>88</v>
      </c>
      <c r="T1313" s="1318">
        <f t="shared" si="51"/>
        <v>5280</v>
      </c>
      <c r="U1313" s="83">
        <v>125</v>
      </c>
    </row>
    <row r="1314" spans="3:21" s="159" customFormat="1" ht="18" customHeight="1">
      <c r="C1314" s="149" t="s">
        <v>1811</v>
      </c>
      <c r="D1314" s="150" t="s">
        <v>1812</v>
      </c>
      <c r="E1314" s="191"/>
      <c r="F1314" s="152"/>
      <c r="G1314" s="152" t="s">
        <v>168</v>
      </c>
      <c r="H1314" s="154" t="s">
        <v>169</v>
      </c>
      <c r="I1314" s="155"/>
      <c r="J1314" s="153"/>
      <c r="K1314" s="600">
        <v>0</v>
      </c>
      <c r="L1314" s="601"/>
      <c r="M1314" s="601"/>
      <c r="N1314" s="157">
        <v>44939</v>
      </c>
      <c r="O1314" s="156">
        <v>4904</v>
      </c>
      <c r="P1314" s="164">
        <v>0</v>
      </c>
      <c r="Q1314" s="165">
        <v>0</v>
      </c>
      <c r="T1314" s="1317"/>
      <c r="U1314" s="83">
        <v>125</v>
      </c>
    </row>
    <row r="1315" spans="3:21" s="7" customFormat="1" ht="18" customHeight="1">
      <c r="C1315" s="6" t="s">
        <v>3535</v>
      </c>
      <c r="D1315" s="13" t="s">
        <v>2771</v>
      </c>
      <c r="E1315" s="18" t="s">
        <v>2772</v>
      </c>
      <c r="F1315" s="23"/>
      <c r="G1315" s="21"/>
      <c r="H1315" s="39"/>
      <c r="I1315" s="56"/>
      <c r="J1315" s="55"/>
      <c r="K1315" s="15" t="s">
        <v>8</v>
      </c>
      <c r="L1315" s="33"/>
      <c r="M1315" s="33"/>
      <c r="N1315" s="33">
        <v>44945</v>
      </c>
      <c r="O1315" s="32">
        <v>4917</v>
      </c>
      <c r="P1315" s="83"/>
      <c r="Q1315" s="83"/>
      <c r="S1315" s="7">
        <f t="shared" ref="S1315:T1323" si="52">P1315</f>
        <v>0</v>
      </c>
      <c r="T1315" s="1318">
        <f t="shared" si="52"/>
        <v>0</v>
      </c>
      <c r="U1315" s="83">
        <v>125</v>
      </c>
    </row>
    <row r="1316" spans="3:21" s="7" customFormat="1" ht="18" customHeight="1">
      <c r="C1316" s="6" t="s">
        <v>3528</v>
      </c>
      <c r="D1316" s="13" t="s">
        <v>2771</v>
      </c>
      <c r="E1316" s="886" t="s">
        <v>3529</v>
      </c>
      <c r="F1316" s="23" t="s">
        <v>2491</v>
      </c>
      <c r="G1316" s="21" t="s">
        <v>2774</v>
      </c>
      <c r="H1316" s="93"/>
      <c r="I1316" s="94">
        <v>1</v>
      </c>
      <c r="J1316" s="107">
        <v>16.7</v>
      </c>
      <c r="K1316" s="597">
        <v>16.5</v>
      </c>
      <c r="L1316" s="598">
        <f>K1316*J1316</f>
        <v>275.55</v>
      </c>
      <c r="M1316" s="97" t="s">
        <v>224</v>
      </c>
      <c r="N1316" s="33">
        <v>44945</v>
      </c>
      <c r="O1316" s="32">
        <v>4917</v>
      </c>
      <c r="P1316" s="83">
        <v>1680</v>
      </c>
      <c r="Q1316" s="83">
        <f>P1316*J1316</f>
        <v>28056</v>
      </c>
      <c r="R1316" s="7" t="s">
        <v>2775</v>
      </c>
      <c r="S1316" s="7">
        <f t="shared" si="52"/>
        <v>1680</v>
      </c>
      <c r="T1316" s="1318">
        <f t="shared" si="52"/>
        <v>28056</v>
      </c>
      <c r="U1316" s="83">
        <v>125</v>
      </c>
    </row>
    <row r="1317" spans="3:21" s="7" customFormat="1" ht="18" customHeight="1">
      <c r="C1317" s="6" t="s">
        <v>3528</v>
      </c>
      <c r="D1317" s="13" t="s">
        <v>2771</v>
      </c>
      <c r="E1317" s="886" t="s">
        <v>3529</v>
      </c>
      <c r="F1317" s="23" t="s">
        <v>2491</v>
      </c>
      <c r="G1317" s="21" t="s">
        <v>2774</v>
      </c>
      <c r="H1317" s="93"/>
      <c r="I1317" s="94">
        <v>1</v>
      </c>
      <c r="J1317" s="107">
        <v>27.3</v>
      </c>
      <c r="K1317" s="597">
        <v>16.5</v>
      </c>
      <c r="L1317" s="598">
        <f>K1317*J1317</f>
        <v>450.45</v>
      </c>
      <c r="M1317" s="97" t="s">
        <v>224</v>
      </c>
      <c r="N1317" s="33">
        <v>44945</v>
      </c>
      <c r="O1317" s="32">
        <v>4917</v>
      </c>
      <c r="P1317" s="83">
        <v>1680</v>
      </c>
      <c r="Q1317" s="83">
        <f>P1317*J1317</f>
        <v>45864</v>
      </c>
      <c r="R1317" s="7" t="s">
        <v>2775</v>
      </c>
      <c r="S1317" s="7">
        <f t="shared" si="52"/>
        <v>1680</v>
      </c>
      <c r="T1317" s="1318">
        <f t="shared" si="52"/>
        <v>45864</v>
      </c>
      <c r="U1317" s="83">
        <v>125</v>
      </c>
    </row>
    <row r="1318" spans="3:21" ht="18" customHeight="1">
      <c r="C1318" s="6" t="s">
        <v>3528</v>
      </c>
      <c r="D1318" s="13" t="s">
        <v>2771</v>
      </c>
      <c r="E1318" s="48"/>
      <c r="F1318" s="38"/>
      <c r="G1318" s="38" t="s">
        <v>218</v>
      </c>
      <c r="H1318" s="39"/>
      <c r="I1318" s="94"/>
      <c r="J1318" s="39">
        <v>1</v>
      </c>
      <c r="K1318" s="611">
        <v>12</v>
      </c>
      <c r="L1318" s="598">
        <f>K1318*J1318</f>
        <v>12</v>
      </c>
      <c r="M1318" s="898"/>
      <c r="N1318" s="33">
        <v>44945</v>
      </c>
      <c r="O1318" s="32">
        <v>4917</v>
      </c>
      <c r="P1318" s="83">
        <v>0</v>
      </c>
      <c r="Q1318" s="83">
        <f>P1318*J1318</f>
        <v>0</v>
      </c>
      <c r="S1318" s="7">
        <f t="shared" si="52"/>
        <v>0</v>
      </c>
      <c r="T1318" s="1318">
        <f t="shared" si="52"/>
        <v>0</v>
      </c>
      <c r="U1318" s="83">
        <v>125</v>
      </c>
    </row>
    <row r="1319" spans="3:21" s="159" customFormat="1" ht="18" customHeight="1">
      <c r="C1319" s="149" t="s">
        <v>3527</v>
      </c>
      <c r="D1319" s="150" t="s">
        <v>2771</v>
      </c>
      <c r="E1319" s="151"/>
      <c r="F1319" s="152"/>
      <c r="G1319" s="152" t="s">
        <v>168</v>
      </c>
      <c r="H1319" s="918" t="s">
        <v>2776</v>
      </c>
      <c r="I1319" s="155"/>
      <c r="J1319" s="153"/>
      <c r="K1319" s="600">
        <v>0</v>
      </c>
      <c r="L1319" s="601"/>
      <c r="M1319" s="601"/>
      <c r="N1319" s="157">
        <v>44945</v>
      </c>
      <c r="O1319" s="156">
        <v>4917</v>
      </c>
      <c r="P1319" s="164">
        <v>0</v>
      </c>
      <c r="Q1319" s="165">
        <v>0</v>
      </c>
      <c r="S1319" s="7">
        <f t="shared" si="52"/>
        <v>0</v>
      </c>
      <c r="T1319" s="1318">
        <f t="shared" si="52"/>
        <v>0</v>
      </c>
      <c r="U1319" s="83">
        <v>125</v>
      </c>
    </row>
    <row r="1320" spans="3:21" s="7" customFormat="1" ht="18" customHeight="1">
      <c r="C1320" s="6" t="s">
        <v>3552</v>
      </c>
      <c r="D1320" s="13" t="s">
        <v>2277</v>
      </c>
      <c r="E1320" s="18" t="s">
        <v>19</v>
      </c>
      <c r="F1320" s="23"/>
      <c r="G1320" s="21"/>
      <c r="H1320" s="55"/>
      <c r="I1320" s="56"/>
      <c r="J1320" s="55"/>
      <c r="K1320" s="15" t="s">
        <v>8</v>
      </c>
      <c r="L1320" s="688"/>
      <c r="M1320" s="688"/>
      <c r="N1320" s="33">
        <v>44964</v>
      </c>
      <c r="O1320" s="32">
        <v>4964</v>
      </c>
      <c r="P1320" s="83"/>
      <c r="Q1320" s="83"/>
      <c r="S1320" s="7">
        <f t="shared" si="52"/>
        <v>0</v>
      </c>
      <c r="T1320" s="1318">
        <f t="shared" si="52"/>
        <v>0</v>
      </c>
      <c r="U1320" s="83">
        <v>125</v>
      </c>
    </row>
    <row r="1321" spans="3:21" s="7" customFormat="1" ht="18" customHeight="1">
      <c r="C1321" s="6" t="s">
        <v>3552</v>
      </c>
      <c r="D1321" s="13" t="s">
        <v>2277</v>
      </c>
      <c r="E1321" s="739" t="s">
        <v>3551</v>
      </c>
      <c r="F1321" s="23"/>
      <c r="G1321" s="21" t="s">
        <v>25</v>
      </c>
      <c r="H1321" s="93"/>
      <c r="I1321" s="94"/>
      <c r="J1321" s="8">
        <v>200</v>
      </c>
      <c r="K1321" s="597">
        <v>0.82</v>
      </c>
      <c r="L1321" s="598">
        <f>K1321*J1321</f>
        <v>164</v>
      </c>
      <c r="M1321" s="97" t="s">
        <v>224</v>
      </c>
      <c r="N1321" s="33">
        <v>44964</v>
      </c>
      <c r="O1321" s="32">
        <v>4964</v>
      </c>
      <c r="P1321" s="83">
        <v>54</v>
      </c>
      <c r="Q1321" s="83">
        <f>P1321*J1321</f>
        <v>10800</v>
      </c>
      <c r="S1321" s="7">
        <f t="shared" si="52"/>
        <v>54</v>
      </c>
      <c r="T1321" s="1318">
        <f t="shared" si="52"/>
        <v>10800</v>
      </c>
      <c r="U1321" s="83">
        <v>125</v>
      </c>
    </row>
    <row r="1322" spans="3:21" ht="18" customHeight="1">
      <c r="C1322" s="6" t="s">
        <v>3552</v>
      </c>
      <c r="D1322" s="13" t="s">
        <v>2277</v>
      </c>
      <c r="E1322" s="48"/>
      <c r="F1322" s="38"/>
      <c r="G1322" s="38" t="s">
        <v>218</v>
      </c>
      <c r="H1322" s="39"/>
      <c r="I1322" s="94"/>
      <c r="J1322" s="39">
        <v>1</v>
      </c>
      <c r="K1322" s="611">
        <v>12</v>
      </c>
      <c r="L1322" s="598">
        <f>K1322*J1322</f>
        <v>12</v>
      </c>
      <c r="M1322" s="898"/>
      <c r="N1322" s="33">
        <v>44964</v>
      </c>
      <c r="O1322" s="32">
        <v>4964</v>
      </c>
      <c r="P1322" s="83">
        <v>0</v>
      </c>
      <c r="Q1322" s="83">
        <f>P1322*J1322</f>
        <v>0</v>
      </c>
      <c r="S1322" s="7">
        <f t="shared" si="52"/>
        <v>0</v>
      </c>
      <c r="T1322" s="1318">
        <f t="shared" si="52"/>
        <v>0</v>
      </c>
      <c r="U1322" s="83">
        <v>125</v>
      </c>
    </row>
    <row r="1323" spans="3:21" s="159" customFormat="1" ht="18" customHeight="1">
      <c r="C1323" s="149" t="s">
        <v>3552</v>
      </c>
      <c r="D1323" s="150" t="s">
        <v>2277</v>
      </c>
      <c r="E1323" s="151"/>
      <c r="F1323" s="152"/>
      <c r="G1323" s="152" t="s">
        <v>168</v>
      </c>
      <c r="H1323" s="154" t="s">
        <v>169</v>
      </c>
      <c r="I1323" s="155"/>
      <c r="J1323" s="153"/>
      <c r="K1323" s="600">
        <v>0</v>
      </c>
      <c r="L1323" s="601"/>
      <c r="M1323" s="601"/>
      <c r="N1323" s="157">
        <v>44964</v>
      </c>
      <c r="O1323" s="156">
        <v>4964</v>
      </c>
      <c r="P1323" s="164">
        <v>0</v>
      </c>
      <c r="Q1323" s="165">
        <v>0</v>
      </c>
      <c r="S1323" s="7">
        <f t="shared" si="52"/>
        <v>0</v>
      </c>
      <c r="T1323" s="1318">
        <f t="shared" si="52"/>
        <v>0</v>
      </c>
      <c r="U1323" s="83">
        <v>125</v>
      </c>
    </row>
    <row r="1324" spans="3:21" s="7" customFormat="1" ht="18" customHeight="1">
      <c r="C1324" s="6" t="s">
        <v>3558</v>
      </c>
      <c r="D1324" s="13" t="s">
        <v>3559</v>
      </c>
      <c r="E1324" s="18" t="s">
        <v>264</v>
      </c>
      <c r="F1324" s="23"/>
      <c r="G1324" s="21"/>
      <c r="H1324" s="55"/>
      <c r="I1324" s="56"/>
      <c r="J1324" s="55"/>
      <c r="K1324" s="15" t="s">
        <v>8</v>
      </c>
      <c r="L1324" s="688"/>
      <c r="M1324" s="688"/>
      <c r="N1324" s="33">
        <v>44995</v>
      </c>
      <c r="O1324" s="32">
        <v>5020</v>
      </c>
      <c r="P1324" s="83"/>
      <c r="Q1324" s="83"/>
      <c r="S1324" s="7">
        <f t="shared" ref="S1324:S1339" si="53">P1324</f>
        <v>0</v>
      </c>
      <c r="T1324" s="1318">
        <f t="shared" ref="T1324:T1339" si="54">Q1324</f>
        <v>0</v>
      </c>
      <c r="U1324" s="83">
        <v>125</v>
      </c>
    </row>
    <row r="1325" spans="3:21" s="7" customFormat="1" ht="18" customHeight="1">
      <c r="C1325" s="6" t="s">
        <v>3558</v>
      </c>
      <c r="D1325" s="13" t="s">
        <v>3559</v>
      </c>
      <c r="E1325" s="21">
        <v>11700</v>
      </c>
      <c r="F1325" s="23">
        <v>24</v>
      </c>
      <c r="G1325" s="21" t="s">
        <v>2511</v>
      </c>
      <c r="H1325" s="93">
        <v>10</v>
      </c>
      <c r="I1325" s="94">
        <v>3</v>
      </c>
      <c r="J1325" s="55">
        <f t="shared" ref="J1325:J1334" si="55">H1325*I1325</f>
        <v>30</v>
      </c>
      <c r="K1325" s="597">
        <v>2.11</v>
      </c>
      <c r="L1325" s="598">
        <f t="shared" ref="L1325:L1334" si="56">K1325*J1325</f>
        <v>63.3</v>
      </c>
      <c r="M1325" s="97" t="s">
        <v>224</v>
      </c>
      <c r="N1325" s="33">
        <v>44995</v>
      </c>
      <c r="O1325" s="32">
        <v>5020</v>
      </c>
      <c r="P1325" s="83">
        <v>139.4</v>
      </c>
      <c r="Q1325" s="83">
        <f t="shared" ref="Q1325:Q1334" si="57">P1325*J1325</f>
        <v>4182</v>
      </c>
      <c r="S1325" s="7">
        <f t="shared" si="53"/>
        <v>139.4</v>
      </c>
      <c r="T1325" s="1318">
        <f t="shared" si="54"/>
        <v>4182</v>
      </c>
      <c r="U1325" s="83">
        <v>125</v>
      </c>
    </row>
    <row r="1326" spans="3:21" s="7" customFormat="1" ht="18" customHeight="1">
      <c r="C1326" s="6" t="s">
        <v>3558</v>
      </c>
      <c r="D1326" s="13" t="s">
        <v>3559</v>
      </c>
      <c r="E1326" s="21">
        <v>11700</v>
      </c>
      <c r="F1326" s="23">
        <v>36</v>
      </c>
      <c r="G1326" s="21" t="s">
        <v>2511</v>
      </c>
      <c r="H1326" s="93">
        <v>10</v>
      </c>
      <c r="I1326" s="94">
        <v>2</v>
      </c>
      <c r="J1326" s="55">
        <f t="shared" si="55"/>
        <v>20</v>
      </c>
      <c r="K1326" s="597">
        <v>3.51</v>
      </c>
      <c r="L1326" s="598">
        <f t="shared" si="56"/>
        <v>70.199999999999989</v>
      </c>
      <c r="M1326" s="97" t="s">
        <v>224</v>
      </c>
      <c r="N1326" s="33">
        <v>44995</v>
      </c>
      <c r="O1326" s="32">
        <v>5020</v>
      </c>
      <c r="P1326" s="83">
        <v>231.9</v>
      </c>
      <c r="Q1326" s="83">
        <f t="shared" si="57"/>
        <v>4638</v>
      </c>
      <c r="S1326" s="7">
        <f t="shared" si="53"/>
        <v>231.9</v>
      </c>
      <c r="T1326" s="1318">
        <f t="shared" si="54"/>
        <v>4638</v>
      </c>
      <c r="U1326" s="83">
        <v>125</v>
      </c>
    </row>
    <row r="1327" spans="3:21" s="7" customFormat="1" ht="18" customHeight="1">
      <c r="C1327" s="6" t="s">
        <v>3558</v>
      </c>
      <c r="D1327" s="13" t="s">
        <v>3559</v>
      </c>
      <c r="E1327" s="21">
        <v>11700</v>
      </c>
      <c r="F1327" s="23">
        <v>48</v>
      </c>
      <c r="G1327" s="21" t="s">
        <v>2511</v>
      </c>
      <c r="H1327" s="93">
        <v>10</v>
      </c>
      <c r="I1327" s="94">
        <v>1</v>
      </c>
      <c r="J1327" s="55">
        <f t="shared" si="55"/>
        <v>10</v>
      </c>
      <c r="K1327" s="597">
        <v>5.16</v>
      </c>
      <c r="L1327" s="598">
        <f t="shared" si="56"/>
        <v>51.6</v>
      </c>
      <c r="M1327" s="97" t="s">
        <v>224</v>
      </c>
      <c r="N1327" s="33">
        <v>44995</v>
      </c>
      <c r="O1327" s="32">
        <v>5020</v>
      </c>
      <c r="P1327" s="83">
        <v>341.8</v>
      </c>
      <c r="Q1327" s="83">
        <f t="shared" si="57"/>
        <v>3418</v>
      </c>
      <c r="S1327" s="7">
        <f t="shared" si="53"/>
        <v>341.8</v>
      </c>
      <c r="T1327" s="1318">
        <f t="shared" si="54"/>
        <v>3418</v>
      </c>
      <c r="U1327" s="83">
        <v>125</v>
      </c>
    </row>
    <row r="1328" spans="3:21" s="7" customFormat="1" ht="18" customHeight="1">
      <c r="C1328" s="6" t="s">
        <v>3558</v>
      </c>
      <c r="D1328" s="13" t="s">
        <v>3559</v>
      </c>
      <c r="E1328" s="21">
        <v>11700</v>
      </c>
      <c r="F1328" s="23">
        <v>24</v>
      </c>
      <c r="G1328" s="21" t="s">
        <v>3560</v>
      </c>
      <c r="H1328" s="93">
        <v>10</v>
      </c>
      <c r="I1328" s="94">
        <v>2</v>
      </c>
      <c r="J1328" s="55">
        <f t="shared" si="55"/>
        <v>20</v>
      </c>
      <c r="K1328" s="597">
        <v>2.11</v>
      </c>
      <c r="L1328" s="598">
        <f t="shared" si="56"/>
        <v>42.199999999999996</v>
      </c>
      <c r="M1328" s="97" t="s">
        <v>224</v>
      </c>
      <c r="N1328" s="33">
        <v>44995</v>
      </c>
      <c r="O1328" s="32">
        <v>5020</v>
      </c>
      <c r="P1328" s="83">
        <v>139.4</v>
      </c>
      <c r="Q1328" s="83">
        <f t="shared" si="57"/>
        <v>2788</v>
      </c>
      <c r="S1328" s="7">
        <f t="shared" si="53"/>
        <v>139.4</v>
      </c>
      <c r="T1328" s="1318">
        <f t="shared" si="54"/>
        <v>2788</v>
      </c>
      <c r="U1328" s="83">
        <v>125</v>
      </c>
    </row>
    <row r="1329" spans="3:21" s="7" customFormat="1" ht="18" customHeight="1">
      <c r="C1329" s="6" t="s">
        <v>3558</v>
      </c>
      <c r="D1329" s="13" t="s">
        <v>3559</v>
      </c>
      <c r="E1329" s="21">
        <v>11700</v>
      </c>
      <c r="F1329" s="23">
        <v>36</v>
      </c>
      <c r="G1329" s="21" t="s">
        <v>3560</v>
      </c>
      <c r="H1329" s="93">
        <v>10</v>
      </c>
      <c r="I1329" s="94">
        <v>1</v>
      </c>
      <c r="J1329" s="55">
        <f t="shared" si="55"/>
        <v>10</v>
      </c>
      <c r="K1329" s="597">
        <v>3.51</v>
      </c>
      <c r="L1329" s="598">
        <f t="shared" si="56"/>
        <v>35.099999999999994</v>
      </c>
      <c r="M1329" s="97" t="s">
        <v>224</v>
      </c>
      <c r="N1329" s="33">
        <v>44995</v>
      </c>
      <c r="O1329" s="32">
        <v>5020</v>
      </c>
      <c r="P1329" s="83">
        <v>231.9</v>
      </c>
      <c r="Q1329" s="83">
        <f t="shared" si="57"/>
        <v>2319</v>
      </c>
      <c r="S1329" s="7">
        <f t="shared" si="53"/>
        <v>231.9</v>
      </c>
      <c r="T1329" s="1318">
        <f t="shared" si="54"/>
        <v>2319</v>
      </c>
      <c r="U1329" s="83">
        <v>125</v>
      </c>
    </row>
    <row r="1330" spans="3:21" s="7" customFormat="1" ht="18" customHeight="1">
      <c r="C1330" s="6" t="s">
        <v>3558</v>
      </c>
      <c r="D1330" s="13" t="s">
        <v>3559</v>
      </c>
      <c r="E1330" s="21">
        <v>11700</v>
      </c>
      <c r="F1330" s="23">
        <v>24</v>
      </c>
      <c r="G1330" s="21" t="s">
        <v>3561</v>
      </c>
      <c r="H1330" s="93">
        <v>10</v>
      </c>
      <c r="I1330" s="94">
        <v>2</v>
      </c>
      <c r="J1330" s="55">
        <f t="shared" si="55"/>
        <v>20</v>
      </c>
      <c r="K1330" s="597">
        <v>2.11</v>
      </c>
      <c r="L1330" s="598">
        <f t="shared" si="56"/>
        <v>42.199999999999996</v>
      </c>
      <c r="M1330" s="97" t="s">
        <v>224</v>
      </c>
      <c r="N1330" s="33">
        <v>44995</v>
      </c>
      <c r="O1330" s="32">
        <v>5020</v>
      </c>
      <c r="P1330" s="83">
        <v>139.4</v>
      </c>
      <c r="Q1330" s="83">
        <f t="shared" si="57"/>
        <v>2788</v>
      </c>
      <c r="S1330" s="7">
        <f t="shared" si="53"/>
        <v>139.4</v>
      </c>
      <c r="T1330" s="1318">
        <f t="shared" si="54"/>
        <v>2788</v>
      </c>
      <c r="U1330" s="83">
        <v>125</v>
      </c>
    </row>
    <row r="1331" spans="3:21" s="7" customFormat="1" ht="18" customHeight="1">
      <c r="C1331" s="6" t="s">
        <v>3558</v>
      </c>
      <c r="D1331" s="13" t="s">
        <v>3559</v>
      </c>
      <c r="E1331" s="21">
        <v>11700</v>
      </c>
      <c r="F1331" s="23">
        <v>36</v>
      </c>
      <c r="G1331" s="21" t="s">
        <v>3561</v>
      </c>
      <c r="H1331" s="93">
        <v>10</v>
      </c>
      <c r="I1331" s="94">
        <v>1</v>
      </c>
      <c r="J1331" s="55">
        <f t="shared" si="55"/>
        <v>10</v>
      </c>
      <c r="K1331" s="597">
        <v>3.51</v>
      </c>
      <c r="L1331" s="598">
        <f t="shared" si="56"/>
        <v>35.099999999999994</v>
      </c>
      <c r="M1331" s="97" t="s">
        <v>224</v>
      </c>
      <c r="N1331" s="33">
        <v>44995</v>
      </c>
      <c r="O1331" s="32">
        <v>5020</v>
      </c>
      <c r="P1331" s="83">
        <v>231.9</v>
      </c>
      <c r="Q1331" s="83">
        <f t="shared" si="57"/>
        <v>2319</v>
      </c>
      <c r="S1331" s="7">
        <f t="shared" si="53"/>
        <v>231.9</v>
      </c>
      <c r="T1331" s="1318">
        <f t="shared" si="54"/>
        <v>2319</v>
      </c>
      <c r="U1331" s="83">
        <v>125</v>
      </c>
    </row>
    <row r="1332" spans="3:21" s="7" customFormat="1" ht="18" customHeight="1">
      <c r="C1332" s="6" t="s">
        <v>3558</v>
      </c>
      <c r="D1332" s="13" t="s">
        <v>3559</v>
      </c>
      <c r="E1332" s="21">
        <v>11700</v>
      </c>
      <c r="F1332" s="23">
        <v>24</v>
      </c>
      <c r="G1332" s="21" t="s">
        <v>3562</v>
      </c>
      <c r="H1332" s="93">
        <v>10</v>
      </c>
      <c r="I1332" s="94">
        <v>2</v>
      </c>
      <c r="J1332" s="55">
        <f t="shared" si="55"/>
        <v>20</v>
      </c>
      <c r="K1332" s="597">
        <v>2.11</v>
      </c>
      <c r="L1332" s="598">
        <f t="shared" si="56"/>
        <v>42.199999999999996</v>
      </c>
      <c r="M1332" s="97" t="s">
        <v>224</v>
      </c>
      <c r="N1332" s="33">
        <v>44995</v>
      </c>
      <c r="O1332" s="32">
        <v>5020</v>
      </c>
      <c r="P1332" s="83">
        <v>139.4</v>
      </c>
      <c r="Q1332" s="83">
        <f t="shared" si="57"/>
        <v>2788</v>
      </c>
      <c r="S1332" s="7">
        <f t="shared" si="53"/>
        <v>139.4</v>
      </c>
      <c r="T1332" s="1318">
        <f t="shared" si="54"/>
        <v>2788</v>
      </c>
      <c r="U1332" s="83">
        <v>125</v>
      </c>
    </row>
    <row r="1333" spans="3:21" s="7" customFormat="1" ht="18" customHeight="1">
      <c r="C1333" s="6" t="s">
        <v>3558</v>
      </c>
      <c r="D1333" s="13" t="s">
        <v>3559</v>
      </c>
      <c r="E1333" s="21">
        <v>11700</v>
      </c>
      <c r="F1333" s="23">
        <v>36</v>
      </c>
      <c r="G1333" s="21" t="s">
        <v>3562</v>
      </c>
      <c r="H1333" s="93">
        <v>10</v>
      </c>
      <c r="I1333" s="94">
        <v>1</v>
      </c>
      <c r="J1333" s="55">
        <f t="shared" si="55"/>
        <v>10</v>
      </c>
      <c r="K1333" s="597">
        <v>3.51</v>
      </c>
      <c r="L1333" s="598">
        <f t="shared" si="56"/>
        <v>35.099999999999994</v>
      </c>
      <c r="M1333" s="97" t="s">
        <v>224</v>
      </c>
      <c r="N1333" s="33">
        <v>44995</v>
      </c>
      <c r="O1333" s="32">
        <v>5020</v>
      </c>
      <c r="P1333" s="83">
        <v>231.9</v>
      </c>
      <c r="Q1333" s="83">
        <f t="shared" si="57"/>
        <v>2319</v>
      </c>
      <c r="S1333" s="7">
        <f t="shared" si="53"/>
        <v>231.9</v>
      </c>
      <c r="T1333" s="1318">
        <f t="shared" si="54"/>
        <v>2319</v>
      </c>
      <c r="U1333" s="83">
        <v>125</v>
      </c>
    </row>
    <row r="1334" spans="3:21" s="7" customFormat="1" ht="18" customHeight="1">
      <c r="C1334" s="6" t="s">
        <v>3558</v>
      </c>
      <c r="D1334" s="13" t="s">
        <v>3559</v>
      </c>
      <c r="E1334" s="21">
        <v>11700</v>
      </c>
      <c r="F1334" s="23">
        <v>24</v>
      </c>
      <c r="G1334" s="21" t="s">
        <v>3563</v>
      </c>
      <c r="H1334" s="93">
        <v>10</v>
      </c>
      <c r="I1334" s="94">
        <v>2</v>
      </c>
      <c r="J1334" s="55">
        <f t="shared" si="55"/>
        <v>20</v>
      </c>
      <c r="K1334" s="597">
        <v>2.11</v>
      </c>
      <c r="L1334" s="598">
        <f t="shared" si="56"/>
        <v>42.199999999999996</v>
      </c>
      <c r="M1334" s="97" t="s">
        <v>224</v>
      </c>
      <c r="N1334" s="33">
        <v>44995</v>
      </c>
      <c r="O1334" s="32">
        <v>5020</v>
      </c>
      <c r="P1334" s="83">
        <v>139.4</v>
      </c>
      <c r="Q1334" s="83">
        <f t="shared" si="57"/>
        <v>2788</v>
      </c>
      <c r="S1334" s="7">
        <f t="shared" si="53"/>
        <v>139.4</v>
      </c>
      <c r="T1334" s="1318">
        <f t="shared" si="54"/>
        <v>2788</v>
      </c>
      <c r="U1334" s="83">
        <v>125</v>
      </c>
    </row>
    <row r="1335" spans="3:21" s="7" customFormat="1" ht="18" customHeight="1">
      <c r="C1335" s="6" t="s">
        <v>3558</v>
      </c>
      <c r="D1335" s="13" t="s">
        <v>3559</v>
      </c>
      <c r="E1335" s="18" t="s">
        <v>3564</v>
      </c>
      <c r="F1335" s="23"/>
      <c r="G1335" s="21"/>
      <c r="H1335" s="55"/>
      <c r="I1335" s="56"/>
      <c r="J1335" s="55"/>
      <c r="K1335" s="15" t="s">
        <v>8</v>
      </c>
      <c r="L1335" s="688"/>
      <c r="M1335" s="688"/>
      <c r="N1335" s="33">
        <v>44995</v>
      </c>
      <c r="O1335" s="32">
        <v>5020</v>
      </c>
      <c r="P1335" s="83"/>
      <c r="Q1335" s="83"/>
      <c r="S1335" s="7">
        <f t="shared" si="53"/>
        <v>0</v>
      </c>
      <c r="T1335" s="1318">
        <f t="shared" si="54"/>
        <v>0</v>
      </c>
      <c r="U1335" s="83">
        <v>125</v>
      </c>
    </row>
    <row r="1336" spans="3:21" s="7" customFormat="1" ht="18" customHeight="1">
      <c r="C1336" s="6" t="s">
        <v>3558</v>
      </c>
      <c r="D1336" s="13" t="s">
        <v>3559</v>
      </c>
      <c r="E1336" s="21">
        <v>11706</v>
      </c>
      <c r="F1336" s="23">
        <v>25</v>
      </c>
      <c r="G1336" s="21" t="s">
        <v>3565</v>
      </c>
      <c r="H1336" s="93">
        <v>10</v>
      </c>
      <c r="I1336" s="94">
        <v>2</v>
      </c>
      <c r="J1336" s="55">
        <f t="shared" ref="J1336:J1343" si="58">H1336*I1336</f>
        <v>20</v>
      </c>
      <c r="K1336" s="597">
        <v>2.67</v>
      </c>
      <c r="L1336" s="598">
        <f t="shared" ref="L1336:L1344" si="59">K1336*J1336</f>
        <v>53.4</v>
      </c>
      <c r="M1336" s="97" t="s">
        <v>224</v>
      </c>
      <c r="N1336" s="33">
        <v>44995</v>
      </c>
      <c r="O1336" s="32">
        <v>5020</v>
      </c>
      <c r="P1336" s="83">
        <v>176.8</v>
      </c>
      <c r="Q1336" s="83">
        <f t="shared" ref="Q1336:Q1343" si="60">P1336*J1336</f>
        <v>3536</v>
      </c>
      <c r="S1336" s="7">
        <f t="shared" si="53"/>
        <v>176.8</v>
      </c>
      <c r="T1336" s="1318">
        <f t="shared" si="54"/>
        <v>3536</v>
      </c>
      <c r="U1336" s="83">
        <v>125</v>
      </c>
    </row>
    <row r="1337" spans="3:21" s="7" customFormat="1" ht="18" customHeight="1">
      <c r="C1337" s="6" t="s">
        <v>3558</v>
      </c>
      <c r="D1337" s="13" t="s">
        <v>3559</v>
      </c>
      <c r="E1337" s="21">
        <v>11706</v>
      </c>
      <c r="F1337" s="23">
        <v>25</v>
      </c>
      <c r="G1337" s="21" t="s">
        <v>3566</v>
      </c>
      <c r="H1337" s="93">
        <v>10</v>
      </c>
      <c r="I1337" s="94">
        <v>2</v>
      </c>
      <c r="J1337" s="55">
        <f t="shared" si="58"/>
        <v>20</v>
      </c>
      <c r="K1337" s="597">
        <v>2.67</v>
      </c>
      <c r="L1337" s="598">
        <f t="shared" si="59"/>
        <v>53.4</v>
      </c>
      <c r="M1337" s="97" t="s">
        <v>224</v>
      </c>
      <c r="N1337" s="33">
        <v>44995</v>
      </c>
      <c r="O1337" s="32">
        <v>5020</v>
      </c>
      <c r="P1337" s="83">
        <v>176.8</v>
      </c>
      <c r="Q1337" s="83">
        <f t="shared" si="60"/>
        <v>3536</v>
      </c>
      <c r="S1337" s="7">
        <f t="shared" si="53"/>
        <v>176.8</v>
      </c>
      <c r="T1337" s="1318">
        <f t="shared" si="54"/>
        <v>3536</v>
      </c>
      <c r="U1337" s="83">
        <v>125</v>
      </c>
    </row>
    <row r="1338" spans="3:21" s="7" customFormat="1" ht="18" customHeight="1">
      <c r="C1338" s="6" t="s">
        <v>3558</v>
      </c>
      <c r="D1338" s="13" t="s">
        <v>3559</v>
      </c>
      <c r="E1338" s="21">
        <v>11706</v>
      </c>
      <c r="F1338" s="23">
        <v>25</v>
      </c>
      <c r="G1338" s="21" t="s">
        <v>3567</v>
      </c>
      <c r="H1338" s="93">
        <v>10</v>
      </c>
      <c r="I1338" s="94">
        <v>2</v>
      </c>
      <c r="J1338" s="55">
        <f t="shared" si="58"/>
        <v>20</v>
      </c>
      <c r="K1338" s="597">
        <v>2.67</v>
      </c>
      <c r="L1338" s="598">
        <f t="shared" si="59"/>
        <v>53.4</v>
      </c>
      <c r="M1338" s="97" t="s">
        <v>224</v>
      </c>
      <c r="N1338" s="33">
        <v>44995</v>
      </c>
      <c r="O1338" s="32">
        <v>5020</v>
      </c>
      <c r="P1338" s="83">
        <v>176.8</v>
      </c>
      <c r="Q1338" s="83">
        <f t="shared" si="60"/>
        <v>3536</v>
      </c>
      <c r="S1338" s="7">
        <f t="shared" si="53"/>
        <v>176.8</v>
      </c>
      <c r="T1338" s="1318">
        <f t="shared" si="54"/>
        <v>3536</v>
      </c>
      <c r="U1338" s="83">
        <v>125</v>
      </c>
    </row>
    <row r="1339" spans="3:21" s="7" customFormat="1" ht="18" customHeight="1">
      <c r="C1339" s="6" t="s">
        <v>3558</v>
      </c>
      <c r="D1339" s="13" t="s">
        <v>3559</v>
      </c>
      <c r="E1339" s="21">
        <v>11706</v>
      </c>
      <c r="F1339" s="23">
        <v>25</v>
      </c>
      <c r="G1339" s="21" t="s">
        <v>3569</v>
      </c>
      <c r="H1339" s="93">
        <v>10</v>
      </c>
      <c r="I1339" s="94">
        <v>2</v>
      </c>
      <c r="J1339" s="55">
        <f t="shared" si="58"/>
        <v>20</v>
      </c>
      <c r="K1339" s="597">
        <v>2.67</v>
      </c>
      <c r="L1339" s="598">
        <f t="shared" si="59"/>
        <v>53.4</v>
      </c>
      <c r="M1339" s="97" t="s">
        <v>224</v>
      </c>
      <c r="N1339" s="33">
        <v>44995</v>
      </c>
      <c r="O1339" s="32">
        <v>5020</v>
      </c>
      <c r="P1339" s="83">
        <v>176.8</v>
      </c>
      <c r="Q1339" s="83">
        <f t="shared" si="60"/>
        <v>3536</v>
      </c>
      <c r="S1339" s="7">
        <f t="shared" si="53"/>
        <v>176.8</v>
      </c>
      <c r="T1339" s="1318">
        <f t="shared" si="54"/>
        <v>3536</v>
      </c>
      <c r="U1339" s="83">
        <v>125</v>
      </c>
    </row>
    <row r="1340" spans="3:21" s="7" customFormat="1" ht="18" customHeight="1">
      <c r="C1340" s="6" t="s">
        <v>3558</v>
      </c>
      <c r="D1340" s="13" t="s">
        <v>3559</v>
      </c>
      <c r="E1340" s="21">
        <v>11706</v>
      </c>
      <c r="F1340" s="23">
        <v>25</v>
      </c>
      <c r="G1340" s="21" t="s">
        <v>3570</v>
      </c>
      <c r="H1340" s="93">
        <v>10</v>
      </c>
      <c r="I1340" s="94">
        <v>2</v>
      </c>
      <c r="J1340" s="55">
        <f t="shared" si="58"/>
        <v>20</v>
      </c>
      <c r="K1340" s="597">
        <v>2.67</v>
      </c>
      <c r="L1340" s="598">
        <f t="shared" si="59"/>
        <v>53.4</v>
      </c>
      <c r="M1340" s="97" t="s">
        <v>224</v>
      </c>
      <c r="N1340" s="33">
        <v>44995</v>
      </c>
      <c r="O1340" s="32">
        <v>5020</v>
      </c>
      <c r="P1340" s="83">
        <v>176.8</v>
      </c>
      <c r="Q1340" s="83">
        <f t="shared" si="60"/>
        <v>3536</v>
      </c>
      <c r="S1340" s="7">
        <f t="shared" ref="S1340:S1353" si="61">P1340</f>
        <v>176.8</v>
      </c>
      <c r="T1340" s="1318">
        <f t="shared" ref="T1340:T1353" si="62">Q1340</f>
        <v>3536</v>
      </c>
      <c r="U1340" s="83">
        <v>125</v>
      </c>
    </row>
    <row r="1341" spans="3:21" s="7" customFormat="1" ht="18" customHeight="1">
      <c r="C1341" s="6" t="s">
        <v>3558</v>
      </c>
      <c r="D1341" s="13" t="s">
        <v>3559</v>
      </c>
      <c r="E1341" s="21">
        <v>11706</v>
      </c>
      <c r="F1341" s="23">
        <v>25</v>
      </c>
      <c r="G1341" s="21" t="s">
        <v>3571</v>
      </c>
      <c r="H1341" s="93">
        <v>10</v>
      </c>
      <c r="I1341" s="94">
        <v>2</v>
      </c>
      <c r="J1341" s="55">
        <f t="shared" si="58"/>
        <v>20</v>
      </c>
      <c r="K1341" s="597">
        <v>2.67</v>
      </c>
      <c r="L1341" s="598">
        <f t="shared" si="59"/>
        <v>53.4</v>
      </c>
      <c r="M1341" s="97" t="s">
        <v>224</v>
      </c>
      <c r="N1341" s="33">
        <v>44995</v>
      </c>
      <c r="O1341" s="32">
        <v>5020</v>
      </c>
      <c r="P1341" s="83">
        <v>176.8</v>
      </c>
      <c r="Q1341" s="83">
        <f t="shared" si="60"/>
        <v>3536</v>
      </c>
      <c r="S1341" s="7">
        <f t="shared" si="61"/>
        <v>176.8</v>
      </c>
      <c r="T1341" s="1318">
        <f t="shared" si="62"/>
        <v>3536</v>
      </c>
      <c r="U1341" s="83">
        <v>125</v>
      </c>
    </row>
    <row r="1342" spans="3:21" s="7" customFormat="1" ht="18" customHeight="1">
      <c r="C1342" s="6" t="s">
        <v>3558</v>
      </c>
      <c r="D1342" s="13" t="s">
        <v>3559</v>
      </c>
      <c r="E1342" s="21">
        <v>11706</v>
      </c>
      <c r="F1342" s="23">
        <v>25</v>
      </c>
      <c r="G1342" s="21" t="s">
        <v>3572</v>
      </c>
      <c r="H1342" s="93">
        <v>10</v>
      </c>
      <c r="I1342" s="94">
        <v>1</v>
      </c>
      <c r="J1342" s="55">
        <f t="shared" si="58"/>
        <v>10</v>
      </c>
      <c r="K1342" s="597">
        <v>2.67</v>
      </c>
      <c r="L1342" s="598">
        <f t="shared" si="59"/>
        <v>26.7</v>
      </c>
      <c r="M1342" s="97" t="s">
        <v>224</v>
      </c>
      <c r="N1342" s="33">
        <v>44995</v>
      </c>
      <c r="O1342" s="32">
        <v>5020</v>
      </c>
      <c r="P1342" s="83">
        <v>176.8</v>
      </c>
      <c r="Q1342" s="83">
        <f t="shared" si="60"/>
        <v>1768</v>
      </c>
      <c r="S1342" s="7">
        <f t="shared" si="61"/>
        <v>176.8</v>
      </c>
      <c r="T1342" s="1318">
        <f t="shared" si="62"/>
        <v>1768</v>
      </c>
      <c r="U1342" s="83">
        <v>125</v>
      </c>
    </row>
    <row r="1343" spans="3:21" s="7" customFormat="1" ht="18" customHeight="1">
      <c r="C1343" s="6" t="s">
        <v>3558</v>
      </c>
      <c r="D1343" s="13" t="s">
        <v>3559</v>
      </c>
      <c r="E1343" s="21">
        <v>11706</v>
      </c>
      <c r="F1343" s="23">
        <v>25</v>
      </c>
      <c r="G1343" s="21" t="s">
        <v>3573</v>
      </c>
      <c r="H1343" s="93">
        <v>10</v>
      </c>
      <c r="I1343" s="94">
        <v>1</v>
      </c>
      <c r="J1343" s="55">
        <f t="shared" si="58"/>
        <v>10</v>
      </c>
      <c r="K1343" s="597">
        <v>2.67</v>
      </c>
      <c r="L1343" s="598">
        <f t="shared" si="59"/>
        <v>26.7</v>
      </c>
      <c r="M1343" s="97" t="s">
        <v>224</v>
      </c>
      <c r="N1343" s="33">
        <v>44995</v>
      </c>
      <c r="O1343" s="32">
        <v>5020</v>
      </c>
      <c r="P1343" s="83">
        <v>176.8</v>
      </c>
      <c r="Q1343" s="83">
        <f t="shared" si="60"/>
        <v>1768</v>
      </c>
      <c r="S1343" s="7">
        <f t="shared" si="61"/>
        <v>176.8</v>
      </c>
      <c r="T1343" s="1318">
        <f t="shared" si="62"/>
        <v>1768</v>
      </c>
      <c r="U1343" s="83">
        <v>125</v>
      </c>
    </row>
    <row r="1344" spans="3:21" ht="18" customHeight="1">
      <c r="C1344" s="6" t="s">
        <v>3558</v>
      </c>
      <c r="D1344" s="13" t="s">
        <v>3559</v>
      </c>
      <c r="E1344" s="21"/>
      <c r="F1344" s="38"/>
      <c r="G1344" s="38" t="s">
        <v>218</v>
      </c>
      <c r="H1344" s="39"/>
      <c r="I1344" s="94"/>
      <c r="J1344" s="39">
        <v>1</v>
      </c>
      <c r="K1344" s="611">
        <v>12</v>
      </c>
      <c r="L1344" s="598">
        <f t="shared" si="59"/>
        <v>12</v>
      </c>
      <c r="M1344" s="898"/>
      <c r="N1344" s="33">
        <v>44995</v>
      </c>
      <c r="O1344" s="32">
        <v>5020</v>
      </c>
      <c r="P1344" s="358">
        <v>0</v>
      </c>
      <c r="Q1344" s="358">
        <v>0</v>
      </c>
      <c r="S1344" s="7">
        <f t="shared" si="61"/>
        <v>0</v>
      </c>
      <c r="T1344" s="1318">
        <f t="shared" si="62"/>
        <v>0</v>
      </c>
      <c r="U1344" s="83">
        <v>125</v>
      </c>
    </row>
    <row r="1345" spans="1:22" s="159" customFormat="1" ht="18" customHeight="1">
      <c r="C1345" s="149" t="s">
        <v>3558</v>
      </c>
      <c r="D1345" s="150" t="s">
        <v>3559</v>
      </c>
      <c r="E1345" s="151"/>
      <c r="F1345" s="152"/>
      <c r="G1345" s="152" t="s">
        <v>168</v>
      </c>
      <c r="H1345" s="154" t="s">
        <v>294</v>
      </c>
      <c r="I1345" s="155"/>
      <c r="J1345" s="153"/>
      <c r="K1345" s="911" t="s">
        <v>3574</v>
      </c>
      <c r="L1345" s="601"/>
      <c r="M1345" s="601"/>
      <c r="N1345" s="157">
        <v>44995</v>
      </c>
      <c r="O1345" s="156">
        <v>5020</v>
      </c>
      <c r="P1345" s="164" t="s">
        <v>3574</v>
      </c>
      <c r="Q1345" s="164" t="s">
        <v>3574</v>
      </c>
      <c r="S1345" s="7" t="str">
        <f t="shared" si="61"/>
        <v>??</v>
      </c>
      <c r="T1345" s="1318" t="str">
        <f t="shared" si="62"/>
        <v>??</v>
      </c>
      <c r="U1345" s="83">
        <v>125</v>
      </c>
    </row>
    <row r="1346" spans="1:22" s="7" customFormat="1" ht="18.600000000000001" customHeight="1">
      <c r="C1346" s="6" t="s">
        <v>3580</v>
      </c>
      <c r="D1346" s="13" t="s">
        <v>2277</v>
      </c>
      <c r="E1346" s="18" t="s">
        <v>19</v>
      </c>
      <c r="F1346" s="23"/>
      <c r="G1346" s="21"/>
      <c r="H1346" s="55"/>
      <c r="I1346" s="56"/>
      <c r="J1346" s="55"/>
      <c r="K1346" s="15" t="s">
        <v>8</v>
      </c>
      <c r="L1346" s="688"/>
      <c r="M1346" s="688"/>
      <c r="N1346" s="33">
        <v>44972</v>
      </c>
      <c r="O1346" s="32">
        <v>4990</v>
      </c>
      <c r="P1346" s="83"/>
      <c r="Q1346" s="83"/>
      <c r="S1346" s="7">
        <f t="shared" si="61"/>
        <v>0</v>
      </c>
      <c r="T1346" s="1318">
        <f t="shared" si="62"/>
        <v>0</v>
      </c>
      <c r="U1346" s="83">
        <v>125</v>
      </c>
    </row>
    <row r="1347" spans="1:22" s="7" customFormat="1" ht="18.600000000000001" customHeight="1">
      <c r="C1347" s="6" t="s">
        <v>3580</v>
      </c>
      <c r="D1347" s="13" t="s">
        <v>2277</v>
      </c>
      <c r="E1347" s="739" t="s">
        <v>2426</v>
      </c>
      <c r="F1347" s="23"/>
      <c r="G1347" s="21" t="s">
        <v>25</v>
      </c>
      <c r="H1347" s="93"/>
      <c r="I1347" s="94"/>
      <c r="J1347" s="8">
        <v>200</v>
      </c>
      <c r="K1347" s="597">
        <v>1.17</v>
      </c>
      <c r="L1347" s="598">
        <f>K1347*J1347</f>
        <v>234</v>
      </c>
      <c r="M1347" s="97" t="s">
        <v>224</v>
      </c>
      <c r="N1347" s="33">
        <v>44972</v>
      </c>
      <c r="O1347" s="32">
        <v>4990</v>
      </c>
      <c r="P1347" s="83">
        <v>77</v>
      </c>
      <c r="Q1347" s="83">
        <f>P1347*J1347</f>
        <v>15400</v>
      </c>
      <c r="S1347" s="7">
        <f t="shared" si="61"/>
        <v>77</v>
      </c>
      <c r="T1347" s="1318">
        <f t="shared" si="62"/>
        <v>15400</v>
      </c>
      <c r="U1347" s="83">
        <v>125</v>
      </c>
    </row>
    <row r="1348" spans="1:22" ht="18.600000000000001" customHeight="1">
      <c r="C1348" s="6" t="s">
        <v>3580</v>
      </c>
      <c r="D1348" s="13" t="s">
        <v>2277</v>
      </c>
      <c r="E1348" s="48"/>
      <c r="F1348" s="38"/>
      <c r="G1348" s="38" t="s">
        <v>218</v>
      </c>
      <c r="H1348" s="39"/>
      <c r="I1348" s="94"/>
      <c r="J1348" s="39">
        <v>1</v>
      </c>
      <c r="K1348" s="611">
        <v>12</v>
      </c>
      <c r="L1348" s="598">
        <f>K1348*J1348</f>
        <v>12</v>
      </c>
      <c r="M1348" s="898"/>
      <c r="N1348" s="33">
        <v>44972</v>
      </c>
      <c r="O1348" s="32">
        <v>4990</v>
      </c>
      <c r="P1348" s="83">
        <v>0</v>
      </c>
      <c r="Q1348" s="83">
        <f>P1348*J1348</f>
        <v>0</v>
      </c>
      <c r="S1348" s="7">
        <f t="shared" si="61"/>
        <v>0</v>
      </c>
      <c r="T1348" s="1318">
        <f t="shared" si="62"/>
        <v>0</v>
      </c>
      <c r="U1348" s="83">
        <v>125</v>
      </c>
    </row>
    <row r="1349" spans="1:22" s="159" customFormat="1" ht="18.600000000000001" customHeight="1">
      <c r="C1349" s="149" t="s">
        <v>3580</v>
      </c>
      <c r="D1349" s="150" t="s">
        <v>2277</v>
      </c>
      <c r="E1349" s="151"/>
      <c r="F1349" s="152"/>
      <c r="G1349" s="152" t="s">
        <v>168</v>
      </c>
      <c r="H1349" s="154" t="s">
        <v>169</v>
      </c>
      <c r="I1349" s="155"/>
      <c r="J1349" s="153"/>
      <c r="K1349" s="600">
        <v>0</v>
      </c>
      <c r="L1349" s="601"/>
      <c r="M1349" s="601"/>
      <c r="N1349" s="157">
        <v>44972</v>
      </c>
      <c r="O1349" s="156">
        <v>4990</v>
      </c>
      <c r="P1349" s="164">
        <v>0</v>
      </c>
      <c r="Q1349" s="165">
        <v>0</v>
      </c>
      <c r="S1349" s="7">
        <f t="shared" si="61"/>
        <v>0</v>
      </c>
      <c r="T1349" s="1318">
        <f t="shared" si="62"/>
        <v>0</v>
      </c>
      <c r="U1349" s="83">
        <v>125</v>
      </c>
    </row>
    <row r="1350" spans="1:22" s="7" customFormat="1" ht="18.600000000000001" customHeight="1">
      <c r="C1350" s="6" t="s">
        <v>3583</v>
      </c>
      <c r="D1350" s="13" t="s">
        <v>2277</v>
      </c>
      <c r="E1350" s="18" t="s">
        <v>19</v>
      </c>
      <c r="F1350" s="23"/>
      <c r="G1350" s="21"/>
      <c r="H1350" s="55"/>
      <c r="I1350" s="56"/>
      <c r="J1350" s="55"/>
      <c r="K1350" s="15" t="s">
        <v>8</v>
      </c>
      <c r="L1350" s="688"/>
      <c r="M1350" s="688"/>
      <c r="N1350" s="33">
        <v>44973</v>
      </c>
      <c r="O1350" s="32">
        <v>4998</v>
      </c>
      <c r="P1350" s="83"/>
      <c r="Q1350" s="83"/>
      <c r="S1350" s="7">
        <f t="shared" si="61"/>
        <v>0</v>
      </c>
      <c r="T1350" s="1318">
        <f t="shared" si="62"/>
        <v>0</v>
      </c>
      <c r="U1350" s="100"/>
    </row>
    <row r="1351" spans="1:22" s="7" customFormat="1" ht="18.600000000000001" customHeight="1">
      <c r="C1351" s="6" t="s">
        <v>3583</v>
      </c>
      <c r="D1351" s="13" t="s">
        <v>2277</v>
      </c>
      <c r="E1351" s="740" t="s">
        <v>2722</v>
      </c>
      <c r="F1351" s="23"/>
      <c r="G1351" s="21" t="s">
        <v>25</v>
      </c>
      <c r="H1351" s="93">
        <v>13.7</v>
      </c>
      <c r="I1351" s="94">
        <v>2</v>
      </c>
      <c r="J1351" s="108">
        <f>H1351*I1351</f>
        <v>27.4</v>
      </c>
      <c r="K1351" s="597">
        <v>3.87</v>
      </c>
      <c r="L1351" s="598">
        <f>K1351*J1351</f>
        <v>106.038</v>
      </c>
      <c r="M1351" s="97" t="s">
        <v>224</v>
      </c>
      <c r="N1351" s="33">
        <v>44973</v>
      </c>
      <c r="O1351" s="32">
        <v>4998</v>
      </c>
      <c r="P1351" s="83">
        <v>290</v>
      </c>
      <c r="Q1351" s="83">
        <f>P1351*J1351</f>
        <v>7946</v>
      </c>
      <c r="S1351" s="7">
        <f t="shared" si="61"/>
        <v>290</v>
      </c>
      <c r="T1351" s="1318">
        <f t="shared" si="62"/>
        <v>7946</v>
      </c>
      <c r="U1351" s="83">
        <v>125</v>
      </c>
    </row>
    <row r="1352" spans="1:22" ht="18.600000000000001" customHeight="1">
      <c r="C1352" s="6" t="s">
        <v>3583</v>
      </c>
      <c r="D1352" s="13" t="s">
        <v>2277</v>
      </c>
      <c r="E1352" s="21"/>
      <c r="F1352" s="38"/>
      <c r="G1352" s="38" t="s">
        <v>218</v>
      </c>
      <c r="H1352" s="39"/>
      <c r="I1352" s="94"/>
      <c r="J1352" s="39">
        <v>1</v>
      </c>
      <c r="K1352" s="611">
        <v>12</v>
      </c>
      <c r="L1352" s="598">
        <f>K1352*J1352</f>
        <v>12</v>
      </c>
      <c r="M1352" s="898"/>
      <c r="N1352" s="33">
        <v>44973</v>
      </c>
      <c r="O1352" s="32">
        <v>4998</v>
      </c>
      <c r="P1352" s="83">
        <v>900</v>
      </c>
      <c r="Q1352" s="83">
        <f>P1352*J1352</f>
        <v>900</v>
      </c>
      <c r="S1352" s="7">
        <f t="shared" si="61"/>
        <v>900</v>
      </c>
      <c r="T1352" s="1318">
        <f t="shared" si="62"/>
        <v>900</v>
      </c>
      <c r="U1352" s="83">
        <v>125</v>
      </c>
    </row>
    <row r="1353" spans="1:22" s="159" customFormat="1" ht="18.600000000000001" customHeight="1">
      <c r="C1353" s="149" t="s">
        <v>3583</v>
      </c>
      <c r="D1353" s="150" t="s">
        <v>2277</v>
      </c>
      <c r="E1353" s="151"/>
      <c r="F1353" s="152"/>
      <c r="G1353" s="152" t="s">
        <v>168</v>
      </c>
      <c r="H1353" s="154" t="s">
        <v>169</v>
      </c>
      <c r="I1353" s="155"/>
      <c r="J1353" s="153"/>
      <c r="K1353" s="600">
        <v>0</v>
      </c>
      <c r="L1353" s="601"/>
      <c r="M1353" s="601"/>
      <c r="N1353" s="157">
        <v>44973</v>
      </c>
      <c r="O1353" s="156">
        <v>4998</v>
      </c>
      <c r="P1353" s="164">
        <v>0</v>
      </c>
      <c r="Q1353" s="165">
        <v>0</v>
      </c>
      <c r="S1353" s="7">
        <f t="shared" si="61"/>
        <v>0</v>
      </c>
      <c r="T1353" s="1318">
        <f t="shared" si="62"/>
        <v>0</v>
      </c>
      <c r="U1353" s="268"/>
    </row>
    <row r="1354" spans="1:22" customFormat="1" ht="18.600000000000001" customHeight="1">
      <c r="A1354" s="1"/>
      <c r="B1354" s="25"/>
      <c r="C1354" s="6" t="s">
        <v>3625</v>
      </c>
      <c r="D1354" s="13" t="s">
        <v>2277</v>
      </c>
      <c r="E1354" s="18" t="s">
        <v>3622</v>
      </c>
      <c r="F1354" s="92"/>
      <c r="G1354" s="21"/>
      <c r="H1354" s="93"/>
      <c r="I1354" s="94"/>
      <c r="J1354" s="93"/>
      <c r="K1354" s="95" t="s">
        <v>8</v>
      </c>
      <c r="L1354" s="33"/>
      <c r="M1354" s="33"/>
      <c r="N1354" s="33">
        <v>44985</v>
      </c>
      <c r="O1354" s="32">
        <v>5024</v>
      </c>
      <c r="P1354" s="13"/>
      <c r="Q1354" s="1449"/>
      <c r="R1354" s="1"/>
      <c r="S1354" s="1450"/>
      <c r="T1354" s="83"/>
      <c r="U1354" s="1451"/>
      <c r="V1354" s="1452">
        <v>120</v>
      </c>
    </row>
    <row r="1355" spans="1:22" customFormat="1" ht="18.600000000000001" customHeight="1">
      <c r="B1355" s="11"/>
      <c r="C1355" s="6" t="s">
        <v>3625</v>
      </c>
      <c r="D1355" s="13" t="s">
        <v>2277</v>
      </c>
      <c r="E1355" s="18" t="s">
        <v>3623</v>
      </c>
      <c r="F1355" s="92" t="s">
        <v>3624</v>
      </c>
      <c r="G1355" s="21" t="s">
        <v>3626</v>
      </c>
      <c r="H1355" s="17">
        <v>60.3</v>
      </c>
      <c r="I1355" s="56">
        <v>1</v>
      </c>
      <c r="J1355" s="17">
        <f>H1355*I1355</f>
        <v>60.3</v>
      </c>
      <c r="K1355" s="611">
        <v>13.98</v>
      </c>
      <c r="L1355" s="598">
        <f>K1355*J1355</f>
        <v>842.99400000000003</v>
      </c>
      <c r="M1355" s="97" t="s">
        <v>224</v>
      </c>
      <c r="N1355" s="33">
        <v>44985</v>
      </c>
      <c r="O1355" s="32">
        <v>5024</v>
      </c>
      <c r="P1355" s="83">
        <v>1310</v>
      </c>
      <c r="Q1355" s="83">
        <f>P1355*J1355</f>
        <v>78993</v>
      </c>
      <c r="R1355" s="7"/>
      <c r="S1355" s="7">
        <f>P1355</f>
        <v>1310</v>
      </c>
      <c r="T1355" s="1318">
        <f>Q1355</f>
        <v>78993</v>
      </c>
      <c r="U1355" s="83">
        <v>125</v>
      </c>
      <c r="V1355" s="7"/>
    </row>
    <row r="1356" spans="1:22" ht="18.600000000000001" customHeight="1">
      <c r="C1356" s="6" t="s">
        <v>3625</v>
      </c>
      <c r="D1356" s="13" t="s">
        <v>2277</v>
      </c>
      <c r="E1356" s="21"/>
      <c r="F1356" s="38"/>
      <c r="G1356" s="38" t="s">
        <v>218</v>
      </c>
      <c r="H1356" s="39"/>
      <c r="I1356" s="94"/>
      <c r="J1356" s="39">
        <v>1</v>
      </c>
      <c r="K1356" s="611">
        <v>12</v>
      </c>
      <c r="L1356" s="598">
        <f>K1356*J1356</f>
        <v>12</v>
      </c>
      <c r="M1356" s="898"/>
      <c r="N1356" s="33">
        <v>44985</v>
      </c>
      <c r="O1356" s="32">
        <v>5024</v>
      </c>
      <c r="P1356" s="83"/>
      <c r="Q1356" s="83"/>
      <c r="S1356" s="7"/>
      <c r="T1356" s="1318"/>
      <c r="U1356" s="83">
        <v>125</v>
      </c>
    </row>
    <row r="1357" spans="1:22" s="159" customFormat="1" ht="18.600000000000001" customHeight="1">
      <c r="C1357" s="149" t="s">
        <v>3625</v>
      </c>
      <c r="D1357" s="150" t="s">
        <v>2277</v>
      </c>
      <c r="E1357" s="151"/>
      <c r="F1357" s="152"/>
      <c r="G1357" s="152" t="s">
        <v>168</v>
      </c>
      <c r="H1357" s="154" t="s">
        <v>169</v>
      </c>
      <c r="I1357" s="155"/>
      <c r="J1357" s="153"/>
      <c r="K1357" s="600">
        <v>0</v>
      </c>
      <c r="L1357" s="601"/>
      <c r="M1357" s="601"/>
      <c r="N1357" s="157">
        <v>44985</v>
      </c>
      <c r="O1357" s="156">
        <v>5024</v>
      </c>
      <c r="P1357" s="164">
        <v>0</v>
      </c>
      <c r="Q1357" s="165">
        <v>0</v>
      </c>
      <c r="S1357" s="7">
        <f t="shared" ref="S1357:T1364" si="63">P1357</f>
        <v>0</v>
      </c>
      <c r="T1357" s="1318">
        <f t="shared" si="63"/>
        <v>0</v>
      </c>
      <c r="U1357" s="83">
        <v>125</v>
      </c>
    </row>
    <row r="1358" spans="1:22" s="7" customFormat="1" ht="18" customHeight="1">
      <c r="C1358" s="6" t="s">
        <v>3627</v>
      </c>
      <c r="D1358" s="13" t="s">
        <v>1812</v>
      </c>
      <c r="E1358" s="18" t="s">
        <v>79</v>
      </c>
      <c r="F1358" s="92"/>
      <c r="G1358" s="21"/>
      <c r="H1358" s="93"/>
      <c r="I1358" s="94"/>
      <c r="J1358" s="93"/>
      <c r="K1358" s="95" t="s">
        <v>8</v>
      </c>
      <c r="L1358" s="33"/>
      <c r="M1358" s="33"/>
      <c r="N1358" s="33">
        <v>45012</v>
      </c>
      <c r="O1358" s="32">
        <v>5092</v>
      </c>
      <c r="P1358" s="83"/>
      <c r="Q1358" s="83"/>
      <c r="S1358" s="7">
        <f t="shared" si="63"/>
        <v>0</v>
      </c>
      <c r="T1358" s="1318">
        <f t="shared" si="63"/>
        <v>0</v>
      </c>
      <c r="U1358" s="83">
        <v>125</v>
      </c>
    </row>
    <row r="1359" spans="1:22" s="7" customFormat="1" ht="18" customHeight="1">
      <c r="C1359" s="6" t="s">
        <v>3627</v>
      </c>
      <c r="D1359" s="13" t="s">
        <v>1812</v>
      </c>
      <c r="E1359" s="21">
        <v>4141</v>
      </c>
      <c r="F1359" s="596">
        <v>9</v>
      </c>
      <c r="G1359" s="21" t="s">
        <v>3628</v>
      </c>
      <c r="H1359" s="93">
        <v>20</v>
      </c>
      <c r="I1359" s="94">
        <v>10</v>
      </c>
      <c r="J1359" s="8">
        <f>H1359*I1359</f>
        <v>200</v>
      </c>
      <c r="K1359" s="597">
        <v>1.33</v>
      </c>
      <c r="L1359" s="598">
        <f t="shared" ref="L1359:L1364" si="64">K1359*J1359</f>
        <v>266</v>
      </c>
      <c r="M1359" s="97" t="s">
        <v>224</v>
      </c>
      <c r="N1359" s="33">
        <v>45012</v>
      </c>
      <c r="O1359" s="32">
        <v>5092</v>
      </c>
      <c r="P1359" s="83">
        <v>97</v>
      </c>
      <c r="Q1359" s="83">
        <f t="shared" ref="Q1359:Q1364" si="65">P1359*J1359</f>
        <v>19400</v>
      </c>
      <c r="S1359" s="7">
        <f t="shared" si="63"/>
        <v>97</v>
      </c>
      <c r="T1359" s="1318">
        <f t="shared" si="63"/>
        <v>19400</v>
      </c>
      <c r="U1359" s="83">
        <v>125</v>
      </c>
    </row>
    <row r="1360" spans="1:22" s="7" customFormat="1" ht="18" customHeight="1">
      <c r="C1360" s="6" t="s">
        <v>3627</v>
      </c>
      <c r="D1360" s="13" t="s">
        <v>1812</v>
      </c>
      <c r="E1360" s="21">
        <v>4141</v>
      </c>
      <c r="F1360" s="596">
        <v>9</v>
      </c>
      <c r="G1360" s="21" t="s">
        <v>3629</v>
      </c>
      <c r="H1360" s="93">
        <v>20</v>
      </c>
      <c r="I1360" s="94">
        <v>13</v>
      </c>
      <c r="J1360" s="8">
        <f>H1360*I1360</f>
        <v>260</v>
      </c>
      <c r="K1360" s="597">
        <v>1.33</v>
      </c>
      <c r="L1360" s="598">
        <f t="shared" si="64"/>
        <v>345.8</v>
      </c>
      <c r="M1360" s="97" t="s">
        <v>224</v>
      </c>
      <c r="N1360" s="33">
        <v>45012</v>
      </c>
      <c r="O1360" s="32">
        <v>5092</v>
      </c>
      <c r="P1360" s="83">
        <v>97</v>
      </c>
      <c r="Q1360" s="83">
        <f t="shared" si="65"/>
        <v>25220</v>
      </c>
      <c r="S1360" s="7">
        <f t="shared" si="63"/>
        <v>97</v>
      </c>
      <c r="T1360" s="1318">
        <f t="shared" si="63"/>
        <v>25220</v>
      </c>
      <c r="U1360" s="83">
        <v>125</v>
      </c>
    </row>
    <row r="1361" spans="3:21" s="7" customFormat="1" ht="18" customHeight="1">
      <c r="C1361" s="6" t="s">
        <v>3627</v>
      </c>
      <c r="D1361" s="13" t="s">
        <v>1812</v>
      </c>
      <c r="E1361" s="21">
        <v>4141</v>
      </c>
      <c r="F1361" s="596">
        <v>9</v>
      </c>
      <c r="G1361" s="21" t="s">
        <v>3630</v>
      </c>
      <c r="H1361" s="93">
        <v>20</v>
      </c>
      <c r="I1361" s="94">
        <v>8</v>
      </c>
      <c r="J1361" s="8">
        <f>H1361*I1361</f>
        <v>160</v>
      </c>
      <c r="K1361" s="597">
        <v>1.33</v>
      </c>
      <c r="L1361" s="598">
        <f t="shared" si="64"/>
        <v>212.8</v>
      </c>
      <c r="M1361" s="97" t="s">
        <v>224</v>
      </c>
      <c r="N1361" s="33">
        <v>45012</v>
      </c>
      <c r="O1361" s="32">
        <v>5092</v>
      </c>
      <c r="P1361" s="83">
        <v>97</v>
      </c>
      <c r="Q1361" s="83">
        <f t="shared" si="65"/>
        <v>15520</v>
      </c>
      <c r="S1361" s="7">
        <f t="shared" si="63"/>
        <v>97</v>
      </c>
      <c r="T1361" s="1318">
        <f t="shared" si="63"/>
        <v>15520</v>
      </c>
      <c r="U1361" s="83">
        <v>125</v>
      </c>
    </row>
    <row r="1362" spans="3:21" s="7" customFormat="1" ht="18" customHeight="1">
      <c r="C1362" s="6" t="s">
        <v>3627</v>
      </c>
      <c r="D1362" s="13" t="s">
        <v>1812</v>
      </c>
      <c r="E1362" s="21">
        <v>4141</v>
      </c>
      <c r="F1362" s="596">
        <v>9</v>
      </c>
      <c r="G1362" s="21" t="s">
        <v>3631</v>
      </c>
      <c r="H1362" s="93">
        <v>20</v>
      </c>
      <c r="I1362" s="94">
        <v>5</v>
      </c>
      <c r="J1362" s="55">
        <f>H1362*I1362</f>
        <v>100</v>
      </c>
      <c r="K1362" s="597">
        <v>1.33</v>
      </c>
      <c r="L1362" s="598">
        <f t="shared" si="64"/>
        <v>133</v>
      </c>
      <c r="M1362" s="97" t="s">
        <v>224</v>
      </c>
      <c r="N1362" s="33">
        <v>45012</v>
      </c>
      <c r="O1362" s="32">
        <v>5092</v>
      </c>
      <c r="P1362" s="83">
        <v>97</v>
      </c>
      <c r="Q1362" s="83">
        <f t="shared" si="65"/>
        <v>9700</v>
      </c>
      <c r="S1362" s="7">
        <f t="shared" si="63"/>
        <v>97</v>
      </c>
      <c r="T1362" s="1318">
        <f t="shared" si="63"/>
        <v>9700</v>
      </c>
      <c r="U1362" s="83">
        <v>125</v>
      </c>
    </row>
    <row r="1363" spans="3:21" s="7" customFormat="1" ht="18" customHeight="1">
      <c r="C1363" s="6" t="s">
        <v>3627</v>
      </c>
      <c r="D1363" s="13" t="s">
        <v>1812</v>
      </c>
      <c r="E1363" s="21">
        <v>4141</v>
      </c>
      <c r="F1363" s="596">
        <v>9</v>
      </c>
      <c r="G1363" s="21" t="s">
        <v>3632</v>
      </c>
      <c r="H1363" s="93">
        <v>20</v>
      </c>
      <c r="I1363" s="94">
        <v>10</v>
      </c>
      <c r="J1363" s="55">
        <f>H1363*I1363</f>
        <v>200</v>
      </c>
      <c r="K1363" s="597">
        <v>1.33</v>
      </c>
      <c r="L1363" s="598">
        <f t="shared" si="64"/>
        <v>266</v>
      </c>
      <c r="M1363" s="97" t="s">
        <v>224</v>
      </c>
      <c r="N1363" s="33">
        <v>45012</v>
      </c>
      <c r="O1363" s="32">
        <v>5092</v>
      </c>
      <c r="P1363" s="83">
        <v>97</v>
      </c>
      <c r="Q1363" s="83">
        <f t="shared" si="65"/>
        <v>19400</v>
      </c>
      <c r="S1363" s="7">
        <f t="shared" si="63"/>
        <v>97</v>
      </c>
      <c r="T1363" s="1318">
        <f t="shared" si="63"/>
        <v>19400</v>
      </c>
      <c r="U1363" s="83">
        <v>125</v>
      </c>
    </row>
    <row r="1364" spans="3:21" ht="18.600000000000001" customHeight="1">
      <c r="C1364" s="6" t="s">
        <v>3627</v>
      </c>
      <c r="D1364" s="13" t="s">
        <v>1812</v>
      </c>
      <c r="E1364" s="21"/>
      <c r="F1364" s="38"/>
      <c r="G1364" s="38" t="s">
        <v>218</v>
      </c>
      <c r="H1364" s="39"/>
      <c r="I1364" s="94"/>
      <c r="J1364" s="39">
        <v>1</v>
      </c>
      <c r="K1364" s="611">
        <v>12</v>
      </c>
      <c r="L1364" s="598">
        <f t="shared" si="64"/>
        <v>12</v>
      </c>
      <c r="M1364" s="898"/>
      <c r="N1364" s="33">
        <v>45012</v>
      </c>
      <c r="O1364" s="32">
        <v>5092</v>
      </c>
      <c r="P1364" s="83">
        <v>0</v>
      </c>
      <c r="Q1364" s="83">
        <f t="shared" si="65"/>
        <v>0</v>
      </c>
      <c r="S1364" s="7">
        <f t="shared" si="63"/>
        <v>0</v>
      </c>
      <c r="T1364" s="1318">
        <f t="shared" si="63"/>
        <v>0</v>
      </c>
      <c r="U1364" s="83">
        <v>125</v>
      </c>
    </row>
    <row r="1365" spans="3:21" s="159" customFormat="1" ht="18" customHeight="1">
      <c r="C1365" s="149" t="s">
        <v>3627</v>
      </c>
      <c r="D1365" s="150" t="s">
        <v>1812</v>
      </c>
      <c r="E1365" s="191"/>
      <c r="F1365" s="152"/>
      <c r="G1365" s="152" t="s">
        <v>168</v>
      </c>
      <c r="H1365" s="154" t="s">
        <v>169</v>
      </c>
      <c r="I1365" s="155"/>
      <c r="J1365" s="153"/>
      <c r="K1365" s="600">
        <v>0</v>
      </c>
      <c r="L1365" s="601"/>
      <c r="M1365" s="601"/>
      <c r="N1365" s="157">
        <v>45012</v>
      </c>
      <c r="O1365" s="156">
        <v>5092</v>
      </c>
      <c r="P1365" s="164">
        <v>0</v>
      </c>
      <c r="Q1365" s="165">
        <v>0</v>
      </c>
      <c r="T1365" s="1317"/>
      <c r="U1365" s="83">
        <v>125</v>
      </c>
    </row>
    <row r="1366" spans="3:21" s="7" customFormat="1" ht="18" customHeight="1">
      <c r="C1366" s="6" t="s">
        <v>3679</v>
      </c>
      <c r="D1366" s="13" t="s">
        <v>3633</v>
      </c>
      <c r="E1366" s="18" t="s">
        <v>79</v>
      </c>
      <c r="F1366" s="92"/>
      <c r="G1366" s="21"/>
      <c r="H1366" s="93"/>
      <c r="I1366" s="94"/>
      <c r="J1366" s="93"/>
      <c r="K1366" s="95" t="s">
        <v>8</v>
      </c>
      <c r="L1366" s="33"/>
      <c r="M1366" s="33"/>
      <c r="N1366" s="33">
        <v>45021</v>
      </c>
      <c r="O1366" s="32">
        <v>5058</v>
      </c>
      <c r="P1366" s="83"/>
      <c r="Q1366" s="83"/>
      <c r="S1366" s="7">
        <f t="shared" ref="S1366:T1371" si="66">P1366</f>
        <v>0</v>
      </c>
      <c r="T1366" s="1318">
        <f t="shared" si="66"/>
        <v>0</v>
      </c>
      <c r="U1366" s="83">
        <v>125</v>
      </c>
    </row>
    <row r="1367" spans="3:21" s="7" customFormat="1" ht="18" customHeight="1">
      <c r="C1367" s="6" t="s">
        <v>3679</v>
      </c>
      <c r="D1367" s="13" t="s">
        <v>3633</v>
      </c>
      <c r="E1367" s="21">
        <v>4141</v>
      </c>
      <c r="F1367" s="596">
        <v>9</v>
      </c>
      <c r="G1367" s="21" t="s">
        <v>2798</v>
      </c>
      <c r="H1367" s="93">
        <v>20</v>
      </c>
      <c r="I1367" s="94">
        <v>12</v>
      </c>
      <c r="J1367" s="55">
        <f>H1367*I1367</f>
        <v>240</v>
      </c>
      <c r="K1367" s="597">
        <v>1.33</v>
      </c>
      <c r="L1367" s="598">
        <f>K1367*J1367</f>
        <v>319.20000000000005</v>
      </c>
      <c r="M1367" s="97" t="s">
        <v>224</v>
      </c>
      <c r="N1367" s="33">
        <v>45021</v>
      </c>
      <c r="O1367" s="32">
        <v>5058</v>
      </c>
      <c r="P1367" s="83">
        <v>97</v>
      </c>
      <c r="Q1367" s="83">
        <f>P1367*J1367</f>
        <v>23280</v>
      </c>
      <c r="S1367" s="7">
        <f t="shared" si="66"/>
        <v>97</v>
      </c>
      <c r="T1367" s="1318">
        <f t="shared" si="66"/>
        <v>23280</v>
      </c>
      <c r="U1367" s="83">
        <v>125</v>
      </c>
    </row>
    <row r="1368" spans="3:21" s="7" customFormat="1" ht="18" customHeight="1">
      <c r="C1368" s="6" t="s">
        <v>3679</v>
      </c>
      <c r="D1368" s="13" t="s">
        <v>3633</v>
      </c>
      <c r="E1368" s="21">
        <v>4141</v>
      </c>
      <c r="F1368" s="596">
        <v>9</v>
      </c>
      <c r="G1368" s="21" t="s">
        <v>3641</v>
      </c>
      <c r="H1368" s="93">
        <v>20</v>
      </c>
      <c r="I1368" s="94">
        <v>18</v>
      </c>
      <c r="J1368" s="55">
        <f>H1368*I1368</f>
        <v>360</v>
      </c>
      <c r="K1368" s="597">
        <v>1.33</v>
      </c>
      <c r="L1368" s="598">
        <f>K1368*J1368</f>
        <v>478.8</v>
      </c>
      <c r="M1368" s="97" t="s">
        <v>224</v>
      </c>
      <c r="N1368" s="33">
        <v>45021</v>
      </c>
      <c r="O1368" s="32">
        <v>5058</v>
      </c>
      <c r="P1368" s="83">
        <v>97</v>
      </c>
      <c r="Q1368" s="83">
        <f>P1368*J1368</f>
        <v>34920</v>
      </c>
      <c r="S1368" s="7">
        <f t="shared" si="66"/>
        <v>97</v>
      </c>
      <c r="T1368" s="1318">
        <f t="shared" si="66"/>
        <v>34920</v>
      </c>
      <c r="U1368" s="83">
        <v>125</v>
      </c>
    </row>
    <row r="1369" spans="3:21" s="7" customFormat="1" ht="18" customHeight="1">
      <c r="C1369" s="6" t="s">
        <v>3679</v>
      </c>
      <c r="D1369" s="13" t="s">
        <v>3633</v>
      </c>
      <c r="E1369" s="21">
        <v>4141</v>
      </c>
      <c r="F1369" s="596">
        <v>9</v>
      </c>
      <c r="G1369" s="21" t="s">
        <v>3632</v>
      </c>
      <c r="H1369" s="93">
        <v>20</v>
      </c>
      <c r="I1369" s="94">
        <v>24</v>
      </c>
      <c r="J1369" s="55">
        <f>H1369*I1369</f>
        <v>480</v>
      </c>
      <c r="K1369" s="597">
        <v>1.33</v>
      </c>
      <c r="L1369" s="598">
        <f>K1369*J1369</f>
        <v>638.40000000000009</v>
      </c>
      <c r="M1369" s="97" t="s">
        <v>224</v>
      </c>
      <c r="N1369" s="33">
        <v>45021</v>
      </c>
      <c r="O1369" s="32">
        <v>5058</v>
      </c>
      <c r="P1369" s="83">
        <v>97</v>
      </c>
      <c r="Q1369" s="83">
        <f>P1369*J1369</f>
        <v>46560</v>
      </c>
      <c r="S1369" s="7">
        <f t="shared" si="66"/>
        <v>97</v>
      </c>
      <c r="T1369" s="1318">
        <f t="shared" si="66"/>
        <v>46560</v>
      </c>
      <c r="U1369" s="83">
        <v>125</v>
      </c>
    </row>
    <row r="1370" spans="3:21" s="7" customFormat="1" ht="18" customHeight="1">
      <c r="C1370" s="6" t="s">
        <v>3679</v>
      </c>
      <c r="D1370" s="13" t="s">
        <v>3633</v>
      </c>
      <c r="E1370" s="21">
        <v>4141</v>
      </c>
      <c r="F1370" s="596">
        <v>9</v>
      </c>
      <c r="G1370" s="21" t="s">
        <v>3644</v>
      </c>
      <c r="H1370" s="93">
        <v>20</v>
      </c>
      <c r="I1370" s="94">
        <v>13</v>
      </c>
      <c r="J1370" s="55">
        <f>H1370*I1370</f>
        <v>260</v>
      </c>
      <c r="K1370" s="597">
        <v>1.33</v>
      </c>
      <c r="L1370" s="598">
        <f>K1370*J1370</f>
        <v>345.8</v>
      </c>
      <c r="M1370" s="97" t="s">
        <v>224</v>
      </c>
      <c r="N1370" s="33">
        <v>45021</v>
      </c>
      <c r="O1370" s="32">
        <v>5058</v>
      </c>
      <c r="P1370" s="83">
        <v>97</v>
      </c>
      <c r="Q1370" s="83">
        <f>P1370*J1370</f>
        <v>25220</v>
      </c>
      <c r="S1370" s="7">
        <f t="shared" si="66"/>
        <v>97</v>
      </c>
      <c r="T1370" s="1318">
        <f t="shared" si="66"/>
        <v>25220</v>
      </c>
      <c r="U1370" s="83">
        <v>125</v>
      </c>
    </row>
    <row r="1371" spans="3:21" s="7" customFormat="1" ht="18" customHeight="1">
      <c r="C1371" s="6" t="s">
        <v>3679</v>
      </c>
      <c r="D1371" s="13" t="s">
        <v>3633</v>
      </c>
      <c r="E1371" s="21">
        <v>4141</v>
      </c>
      <c r="F1371" s="596">
        <v>9</v>
      </c>
      <c r="G1371" s="21" t="s">
        <v>277</v>
      </c>
      <c r="H1371" s="93">
        <v>20</v>
      </c>
      <c r="I1371" s="94">
        <v>65</v>
      </c>
      <c r="J1371" s="55">
        <f>H1371*I1371</f>
        <v>1300</v>
      </c>
      <c r="K1371" s="597">
        <v>1.33</v>
      </c>
      <c r="L1371" s="598">
        <f>K1371*J1371</f>
        <v>1729</v>
      </c>
      <c r="M1371" s="97" t="s">
        <v>224</v>
      </c>
      <c r="N1371" s="33">
        <v>45021</v>
      </c>
      <c r="O1371" s="32">
        <v>5058</v>
      </c>
      <c r="P1371" s="83">
        <v>97</v>
      </c>
      <c r="Q1371" s="83">
        <f>P1371*J1371</f>
        <v>126100</v>
      </c>
      <c r="S1371" s="7">
        <f t="shared" si="66"/>
        <v>97</v>
      </c>
      <c r="T1371" s="1318">
        <f t="shared" si="66"/>
        <v>126100</v>
      </c>
      <c r="U1371" s="83">
        <v>125</v>
      </c>
    </row>
    <row r="1372" spans="3:21" s="159" customFormat="1" ht="18" customHeight="1">
      <c r="C1372" s="149" t="s">
        <v>3679</v>
      </c>
      <c r="D1372" s="150" t="s">
        <v>3633</v>
      </c>
      <c r="E1372" s="191"/>
      <c r="F1372" s="152"/>
      <c r="G1372" s="152" t="s">
        <v>168</v>
      </c>
      <c r="H1372" s="154" t="s">
        <v>169</v>
      </c>
      <c r="I1372" s="155"/>
      <c r="J1372" s="153"/>
      <c r="K1372" s="600">
        <v>0</v>
      </c>
      <c r="L1372" s="601"/>
      <c r="M1372" s="601"/>
      <c r="N1372" s="157">
        <v>45021</v>
      </c>
      <c r="O1372" s="156">
        <v>5058</v>
      </c>
      <c r="P1372" s="164">
        <v>0</v>
      </c>
      <c r="Q1372" s="165">
        <v>0</v>
      </c>
      <c r="T1372" s="1317"/>
      <c r="U1372" s="83">
        <v>125</v>
      </c>
    </row>
    <row r="1373" spans="3:21" s="177" customFormat="1" ht="18" customHeight="1">
      <c r="C1373" s="167" t="s">
        <v>3638</v>
      </c>
      <c r="D1373" s="169" t="s">
        <v>2539</v>
      </c>
      <c r="E1373" s="169" t="s">
        <v>2630</v>
      </c>
      <c r="F1373" s="170"/>
      <c r="G1373" s="171" t="s">
        <v>2782</v>
      </c>
      <c r="H1373" s="173"/>
      <c r="I1373" s="174"/>
      <c r="J1373" s="172">
        <v>1</v>
      </c>
      <c r="K1373" s="1456">
        <v>67</v>
      </c>
      <c r="L1373" s="1456">
        <v>67</v>
      </c>
      <c r="M1373" s="909"/>
      <c r="N1373" s="235">
        <v>44985</v>
      </c>
      <c r="O1373" s="175">
        <v>5031</v>
      </c>
      <c r="P1373" s="7">
        <v>9112</v>
      </c>
      <c r="Q1373" s="1455">
        <v>9112</v>
      </c>
      <c r="S1373" s="7">
        <v>9112</v>
      </c>
      <c r="T1373" s="1455">
        <v>9112</v>
      </c>
      <c r="U1373" s="83">
        <v>120</v>
      </c>
    </row>
    <row r="1374" spans="3:21" s="7" customFormat="1" ht="18" customHeight="1">
      <c r="C1374" s="6" t="s">
        <v>3688</v>
      </c>
      <c r="D1374" s="13" t="s">
        <v>3689</v>
      </c>
      <c r="E1374" s="18" t="s">
        <v>2745</v>
      </c>
      <c r="F1374" s="23"/>
      <c r="G1374" s="21"/>
      <c r="H1374" s="55"/>
      <c r="I1374" s="56"/>
      <c r="J1374" s="55"/>
      <c r="K1374" s="15" t="s">
        <v>8</v>
      </c>
      <c r="L1374" s="33"/>
      <c r="M1374" s="33"/>
      <c r="N1374" s="33">
        <v>45030</v>
      </c>
      <c r="O1374" s="32">
        <v>5078</v>
      </c>
      <c r="P1374" s="83"/>
      <c r="Q1374" s="83"/>
      <c r="S1374" s="7">
        <f t="shared" ref="S1374:S1386" si="67">P1374</f>
        <v>0</v>
      </c>
      <c r="T1374" s="1318">
        <f t="shared" ref="T1374:T1386" si="68">Q1374</f>
        <v>0</v>
      </c>
      <c r="U1374" s="83">
        <v>125</v>
      </c>
    </row>
    <row r="1375" spans="3:21" ht="18" customHeight="1">
      <c r="C1375" s="6" t="s">
        <v>3688</v>
      </c>
      <c r="D1375" s="13" t="s">
        <v>3689</v>
      </c>
      <c r="E1375" s="21">
        <v>5636</v>
      </c>
      <c r="F1375" s="23" t="s">
        <v>1808</v>
      </c>
      <c r="G1375" s="21" t="s">
        <v>3691</v>
      </c>
      <c r="H1375" s="93">
        <v>50</v>
      </c>
      <c r="I1375" s="94">
        <v>4</v>
      </c>
      <c r="J1375" s="55">
        <f>H1375*I1375</f>
        <v>200</v>
      </c>
      <c r="K1375" s="597">
        <v>0.53</v>
      </c>
      <c r="L1375" s="598">
        <f>K1375*J1375</f>
        <v>106</v>
      </c>
      <c r="M1375" s="97" t="s">
        <v>224</v>
      </c>
      <c r="N1375" s="33">
        <v>45030</v>
      </c>
      <c r="O1375" s="32">
        <v>5078</v>
      </c>
      <c r="P1375" s="83">
        <v>35</v>
      </c>
      <c r="Q1375" s="83">
        <f>P1375*J1375</f>
        <v>7000</v>
      </c>
      <c r="R1375" s="700"/>
      <c r="S1375" s="7">
        <f>P1375</f>
        <v>35</v>
      </c>
      <c r="T1375" s="1318">
        <f>Q1375</f>
        <v>7000</v>
      </c>
      <c r="U1375" s="83">
        <v>125</v>
      </c>
    </row>
    <row r="1376" spans="3:21" ht="18" customHeight="1">
      <c r="C1376" s="6" t="s">
        <v>3688</v>
      </c>
      <c r="D1376" s="13" t="s">
        <v>3689</v>
      </c>
      <c r="E1376" s="21">
        <v>5636</v>
      </c>
      <c r="F1376" s="23" t="s">
        <v>1808</v>
      </c>
      <c r="G1376" s="21" t="s">
        <v>3692</v>
      </c>
      <c r="H1376" s="93">
        <v>50</v>
      </c>
      <c r="I1376" s="94">
        <v>4</v>
      </c>
      <c r="J1376" s="55">
        <f>H1376*I1376</f>
        <v>200</v>
      </c>
      <c r="K1376" s="597">
        <v>0.53</v>
      </c>
      <c r="L1376" s="598">
        <f>K1376*J1376</f>
        <v>106</v>
      </c>
      <c r="M1376" s="97" t="s">
        <v>224</v>
      </c>
      <c r="N1376" s="33">
        <v>45030</v>
      </c>
      <c r="O1376" s="32">
        <v>5078</v>
      </c>
      <c r="P1376" s="83">
        <v>35</v>
      </c>
      <c r="Q1376" s="83">
        <f>P1376*J1376</f>
        <v>7000</v>
      </c>
      <c r="R1376" s="700"/>
      <c r="S1376" s="7">
        <f t="shared" si="67"/>
        <v>35</v>
      </c>
      <c r="T1376" s="1318">
        <f t="shared" si="68"/>
        <v>7000</v>
      </c>
      <c r="U1376" s="83">
        <v>125</v>
      </c>
    </row>
    <row r="1377" spans="3:21" ht="18" customHeight="1">
      <c r="C1377" s="6" t="s">
        <v>3688</v>
      </c>
      <c r="D1377" s="13" t="s">
        <v>3689</v>
      </c>
      <c r="E1377" s="21">
        <v>5636</v>
      </c>
      <c r="F1377" s="23" t="s">
        <v>1808</v>
      </c>
      <c r="G1377" s="21" t="s">
        <v>3690</v>
      </c>
      <c r="H1377" s="93">
        <v>50</v>
      </c>
      <c r="I1377" s="94">
        <v>32</v>
      </c>
      <c r="J1377" s="55">
        <f>H1377*I1377</f>
        <v>1600</v>
      </c>
      <c r="K1377" s="597">
        <v>0.46</v>
      </c>
      <c r="L1377" s="598">
        <f>K1377*J1377</f>
        <v>736</v>
      </c>
      <c r="M1377" s="97" t="s">
        <v>224</v>
      </c>
      <c r="N1377" s="33">
        <v>45030</v>
      </c>
      <c r="O1377" s="32">
        <v>5078</v>
      </c>
      <c r="P1377" s="83">
        <v>30</v>
      </c>
      <c r="Q1377" s="83">
        <f>P1377*J1377</f>
        <v>48000</v>
      </c>
      <c r="R1377" s="700"/>
      <c r="S1377" s="7">
        <f t="shared" si="67"/>
        <v>30</v>
      </c>
      <c r="T1377" s="1318">
        <f t="shared" si="68"/>
        <v>48000</v>
      </c>
      <c r="U1377" s="83">
        <v>125</v>
      </c>
    </row>
    <row r="1378" spans="3:21" ht="18" customHeight="1">
      <c r="C1378" s="6" t="s">
        <v>3688</v>
      </c>
      <c r="D1378" s="13" t="s">
        <v>3689</v>
      </c>
      <c r="E1378" s="21"/>
      <c r="F1378" s="38"/>
      <c r="G1378" s="38" t="s">
        <v>218</v>
      </c>
      <c r="H1378" s="39"/>
      <c r="I1378" s="94"/>
      <c r="J1378" s="39">
        <v>1</v>
      </c>
      <c r="K1378" s="611">
        <v>12</v>
      </c>
      <c r="L1378" s="598">
        <f>K1378*J1378</f>
        <v>12</v>
      </c>
      <c r="M1378" s="33"/>
      <c r="N1378" s="33">
        <v>45030</v>
      </c>
      <c r="O1378" s="32">
        <v>5078</v>
      </c>
      <c r="P1378" s="83">
        <v>1100</v>
      </c>
      <c r="Q1378" s="83">
        <f>P1378*J1378</f>
        <v>1100</v>
      </c>
      <c r="S1378" s="7">
        <f t="shared" si="67"/>
        <v>1100</v>
      </c>
      <c r="T1378" s="1318">
        <f t="shared" si="68"/>
        <v>1100</v>
      </c>
      <c r="U1378" s="83">
        <v>125</v>
      </c>
    </row>
    <row r="1379" spans="3:21" s="159" customFormat="1" ht="18" customHeight="1">
      <c r="C1379" s="149" t="s">
        <v>3688</v>
      </c>
      <c r="D1379" s="150" t="s">
        <v>3689</v>
      </c>
      <c r="E1379" s="151"/>
      <c r="F1379" s="152"/>
      <c r="G1379" s="152" t="s">
        <v>168</v>
      </c>
      <c r="H1379" s="154" t="s">
        <v>169</v>
      </c>
      <c r="I1379" s="155"/>
      <c r="J1379" s="153"/>
      <c r="K1379" s="600">
        <v>0</v>
      </c>
      <c r="L1379" s="601"/>
      <c r="M1379" s="601"/>
      <c r="N1379" s="157">
        <v>45030</v>
      </c>
      <c r="O1379" s="156">
        <v>5078</v>
      </c>
      <c r="P1379" s="164">
        <v>0</v>
      </c>
      <c r="Q1379" s="165">
        <v>0</v>
      </c>
      <c r="S1379" s="7">
        <f t="shared" si="67"/>
        <v>0</v>
      </c>
      <c r="T1379" s="1318">
        <f t="shared" si="68"/>
        <v>0</v>
      </c>
      <c r="U1379" s="83">
        <v>125</v>
      </c>
    </row>
    <row r="1380" spans="3:21" s="7" customFormat="1" ht="18" customHeight="1">
      <c r="C1380" s="6" t="s">
        <v>3709</v>
      </c>
      <c r="D1380" s="13" t="s">
        <v>1812</v>
      </c>
      <c r="E1380" s="18" t="s">
        <v>3711</v>
      </c>
      <c r="F1380" s="92"/>
      <c r="G1380" s="21"/>
      <c r="H1380" s="93"/>
      <c r="I1380" s="94"/>
      <c r="J1380" s="93"/>
      <c r="K1380" s="95" t="s">
        <v>8</v>
      </c>
      <c r="L1380" s="33"/>
      <c r="M1380" s="33"/>
      <c r="N1380" s="33">
        <v>45023</v>
      </c>
      <c r="O1380" s="32">
        <v>5139</v>
      </c>
      <c r="P1380" s="83"/>
      <c r="Q1380" s="83"/>
      <c r="S1380" s="7">
        <f t="shared" si="67"/>
        <v>0</v>
      </c>
      <c r="T1380" s="1318">
        <f t="shared" si="68"/>
        <v>0</v>
      </c>
      <c r="U1380" s="83">
        <v>125</v>
      </c>
    </row>
    <row r="1381" spans="3:21" s="7" customFormat="1" ht="18" customHeight="1">
      <c r="C1381" s="6" t="s">
        <v>3709</v>
      </c>
      <c r="D1381" s="13" t="s">
        <v>1812</v>
      </c>
      <c r="E1381" s="21">
        <v>3533</v>
      </c>
      <c r="F1381" s="596">
        <v>20</v>
      </c>
      <c r="G1381" s="21" t="s">
        <v>3710</v>
      </c>
      <c r="H1381" s="93">
        <v>30</v>
      </c>
      <c r="I1381" s="94">
        <v>1</v>
      </c>
      <c r="J1381" s="8">
        <f>H1381*I1381</f>
        <v>30</v>
      </c>
      <c r="K1381" s="597">
        <v>1.18</v>
      </c>
      <c r="L1381" s="598">
        <f>K1381*J1381</f>
        <v>35.4</v>
      </c>
      <c r="M1381" s="97" t="s">
        <v>224</v>
      </c>
      <c r="N1381" s="33">
        <v>45023</v>
      </c>
      <c r="O1381" s="32">
        <v>5139</v>
      </c>
      <c r="P1381" s="83">
        <v>78</v>
      </c>
      <c r="Q1381" s="83">
        <f t="shared" ref="Q1381:Q1386" si="69">P1381*J1381</f>
        <v>2340</v>
      </c>
      <c r="S1381" s="7">
        <f t="shared" si="67"/>
        <v>78</v>
      </c>
      <c r="T1381" s="1318">
        <f t="shared" si="68"/>
        <v>2340</v>
      </c>
      <c r="U1381" s="83">
        <v>125</v>
      </c>
    </row>
    <row r="1382" spans="3:21" s="7" customFormat="1" ht="18" customHeight="1">
      <c r="C1382" s="6" t="s">
        <v>3709</v>
      </c>
      <c r="D1382" s="13" t="s">
        <v>1812</v>
      </c>
      <c r="E1382" s="21">
        <v>3533</v>
      </c>
      <c r="F1382" s="596">
        <v>20</v>
      </c>
      <c r="G1382" s="21" t="s">
        <v>37</v>
      </c>
      <c r="H1382" s="93">
        <v>30</v>
      </c>
      <c r="I1382" s="94">
        <v>1</v>
      </c>
      <c r="J1382" s="8">
        <f>H1382*I1382</f>
        <v>30</v>
      </c>
      <c r="K1382" s="597">
        <v>1.18</v>
      </c>
      <c r="L1382" s="598">
        <f>K1382*J1382</f>
        <v>35.4</v>
      </c>
      <c r="M1382" s="97" t="s">
        <v>224</v>
      </c>
      <c r="N1382" s="33">
        <v>45023</v>
      </c>
      <c r="O1382" s="32">
        <v>5139</v>
      </c>
      <c r="P1382" s="83">
        <v>78</v>
      </c>
      <c r="Q1382" s="83">
        <f t="shared" si="69"/>
        <v>2340</v>
      </c>
      <c r="S1382" s="7">
        <f t="shared" si="67"/>
        <v>78</v>
      </c>
      <c r="T1382" s="1318">
        <f t="shared" si="68"/>
        <v>2340</v>
      </c>
      <c r="U1382" s="83">
        <v>125</v>
      </c>
    </row>
    <row r="1383" spans="3:21" s="7" customFormat="1" ht="18" customHeight="1">
      <c r="C1383" s="6" t="s">
        <v>3709</v>
      </c>
      <c r="D1383" s="13" t="s">
        <v>1812</v>
      </c>
      <c r="E1383" s="18" t="s">
        <v>3712</v>
      </c>
      <c r="F1383" s="92"/>
      <c r="G1383" s="21"/>
      <c r="H1383" s="93"/>
      <c r="I1383" s="94"/>
      <c r="J1383" s="93"/>
      <c r="K1383" s="95" t="s">
        <v>8</v>
      </c>
      <c r="L1383" s="33"/>
      <c r="M1383" s="33"/>
      <c r="N1383" s="33">
        <v>45023</v>
      </c>
      <c r="O1383" s="32">
        <v>5139</v>
      </c>
      <c r="P1383" s="83"/>
      <c r="Q1383" s="83"/>
      <c r="S1383" s="7">
        <f>P1383</f>
        <v>0</v>
      </c>
      <c r="T1383" s="1318">
        <f>Q1383</f>
        <v>0</v>
      </c>
      <c r="U1383" s="83">
        <v>125</v>
      </c>
    </row>
    <row r="1384" spans="3:21" s="7" customFormat="1" ht="18" customHeight="1">
      <c r="C1384" s="6" t="s">
        <v>3709</v>
      </c>
      <c r="D1384" s="13" t="s">
        <v>1812</v>
      </c>
      <c r="E1384" s="21">
        <v>3540</v>
      </c>
      <c r="F1384" s="596">
        <v>20</v>
      </c>
      <c r="G1384" s="21" t="s">
        <v>37</v>
      </c>
      <c r="H1384" s="93">
        <v>30</v>
      </c>
      <c r="I1384" s="94">
        <v>1</v>
      </c>
      <c r="J1384" s="8">
        <f>H1384*I1384</f>
        <v>30</v>
      </c>
      <c r="K1384" s="597">
        <v>1.67</v>
      </c>
      <c r="L1384" s="598">
        <f>K1384*J1384</f>
        <v>50.099999999999994</v>
      </c>
      <c r="M1384" s="97" t="s">
        <v>224</v>
      </c>
      <c r="N1384" s="33">
        <v>45023</v>
      </c>
      <c r="O1384" s="32">
        <v>5139</v>
      </c>
      <c r="P1384" s="83">
        <v>110.5</v>
      </c>
      <c r="Q1384" s="83">
        <v>2805</v>
      </c>
      <c r="S1384" s="7">
        <f t="shared" si="67"/>
        <v>110.5</v>
      </c>
      <c r="T1384" s="1318">
        <f t="shared" si="68"/>
        <v>2805</v>
      </c>
      <c r="U1384" s="83">
        <v>125</v>
      </c>
    </row>
    <row r="1385" spans="3:21" s="7" customFormat="1" ht="18" customHeight="1">
      <c r="C1385" s="6" t="s">
        <v>3709</v>
      </c>
      <c r="D1385" s="13" t="s">
        <v>1812</v>
      </c>
      <c r="E1385" s="21">
        <v>3540</v>
      </c>
      <c r="F1385" s="596">
        <v>20</v>
      </c>
      <c r="G1385" s="21" t="s">
        <v>65</v>
      </c>
      <c r="H1385" s="93">
        <v>30</v>
      </c>
      <c r="I1385" s="94">
        <v>1</v>
      </c>
      <c r="J1385" s="55">
        <f>H1385*I1385</f>
        <v>30</v>
      </c>
      <c r="K1385" s="597">
        <v>1.67</v>
      </c>
      <c r="L1385" s="598">
        <f>K1385*J1385</f>
        <v>50.099999999999994</v>
      </c>
      <c r="M1385" s="97" t="s">
        <v>224</v>
      </c>
      <c r="N1385" s="33">
        <v>45023</v>
      </c>
      <c r="O1385" s="32">
        <v>5139</v>
      </c>
      <c r="P1385" s="83">
        <v>110.5</v>
      </c>
      <c r="Q1385" s="83">
        <v>2805</v>
      </c>
      <c r="S1385" s="7">
        <f t="shared" si="67"/>
        <v>110.5</v>
      </c>
      <c r="T1385" s="1318">
        <f t="shared" si="68"/>
        <v>2805</v>
      </c>
      <c r="U1385" s="83">
        <v>125</v>
      </c>
    </row>
    <row r="1386" spans="3:21" ht="18.600000000000001" customHeight="1">
      <c r="C1386" s="6" t="s">
        <v>3709</v>
      </c>
      <c r="D1386" s="13" t="s">
        <v>1812</v>
      </c>
      <c r="E1386" s="21"/>
      <c r="F1386" s="38"/>
      <c r="G1386" s="38" t="s">
        <v>218</v>
      </c>
      <c r="H1386" s="39"/>
      <c r="I1386" s="94"/>
      <c r="J1386" s="39">
        <v>1</v>
      </c>
      <c r="K1386" s="611">
        <v>12</v>
      </c>
      <c r="L1386" s="598">
        <f>K1386*J1386</f>
        <v>12</v>
      </c>
      <c r="M1386" s="898"/>
      <c r="N1386" s="33">
        <v>45023</v>
      </c>
      <c r="O1386" s="32">
        <v>5139</v>
      </c>
      <c r="P1386" s="83">
        <v>1200</v>
      </c>
      <c r="Q1386" s="83">
        <f t="shared" si="69"/>
        <v>1200</v>
      </c>
      <c r="S1386" s="7">
        <f t="shared" si="67"/>
        <v>1200</v>
      </c>
      <c r="T1386" s="1318">
        <f t="shared" si="68"/>
        <v>1200</v>
      </c>
      <c r="U1386" s="83">
        <v>125</v>
      </c>
    </row>
    <row r="1387" spans="3:21" s="159" customFormat="1" ht="18" customHeight="1">
      <c r="C1387" s="149" t="s">
        <v>3708</v>
      </c>
      <c r="D1387" s="150" t="s">
        <v>1812</v>
      </c>
      <c r="E1387" s="191"/>
      <c r="F1387" s="152"/>
      <c r="G1387" s="152" t="s">
        <v>168</v>
      </c>
      <c r="H1387" s="154" t="s">
        <v>169</v>
      </c>
      <c r="I1387" s="155"/>
      <c r="J1387" s="153"/>
      <c r="K1387" s="600">
        <v>0</v>
      </c>
      <c r="L1387" s="601"/>
      <c r="M1387" s="601"/>
      <c r="N1387" s="157">
        <v>45023</v>
      </c>
      <c r="O1387" s="156">
        <v>5139</v>
      </c>
      <c r="P1387" s="164">
        <v>0</v>
      </c>
      <c r="Q1387" s="165">
        <v>0</v>
      </c>
      <c r="T1387" s="1317"/>
      <c r="U1387" s="83">
        <v>125</v>
      </c>
    </row>
    <row r="1388" spans="3:21" s="7" customFormat="1" ht="18" customHeight="1">
      <c r="C1388" s="1483" t="s">
        <v>3731</v>
      </c>
      <c r="D1388" s="13" t="s">
        <v>2771</v>
      </c>
      <c r="E1388" s="18" t="s">
        <v>2772</v>
      </c>
      <c r="F1388" s="23"/>
      <c r="G1388" s="21"/>
      <c r="H1388" s="39"/>
      <c r="I1388" s="56"/>
      <c r="J1388" s="55"/>
      <c r="K1388" s="15" t="s">
        <v>8</v>
      </c>
      <c r="L1388" s="33"/>
      <c r="M1388" s="33"/>
      <c r="N1388" s="33">
        <v>45033</v>
      </c>
      <c r="O1388" s="32">
        <v>5157</v>
      </c>
      <c r="P1388" s="1477" t="s">
        <v>3713</v>
      </c>
      <c r="Q1388" s="83"/>
      <c r="S1388" s="7" t="str">
        <f t="shared" ref="S1388:S1394" si="70">P1388</f>
        <v>新単価 + カット代</v>
      </c>
      <c r="T1388" s="1318">
        <f t="shared" ref="T1388:T1394" si="71">Q1388</f>
        <v>0</v>
      </c>
      <c r="U1388" s="83">
        <v>125</v>
      </c>
    </row>
    <row r="1389" spans="3:21" s="7" customFormat="1" ht="18" customHeight="1">
      <c r="C1389" s="1483" t="s">
        <v>3731</v>
      </c>
      <c r="D1389" s="13" t="s">
        <v>2771</v>
      </c>
      <c r="E1389" s="886" t="s">
        <v>3529</v>
      </c>
      <c r="F1389" s="23" t="s">
        <v>2491</v>
      </c>
      <c r="G1389" s="21" t="s">
        <v>2774</v>
      </c>
      <c r="H1389" s="93">
        <v>15</v>
      </c>
      <c r="I1389" s="94">
        <v>1</v>
      </c>
      <c r="J1389" s="55">
        <f>H1389*I1389</f>
        <v>15</v>
      </c>
      <c r="K1389" s="597">
        <v>16.5</v>
      </c>
      <c r="L1389" s="598">
        <f>K1389*J1389</f>
        <v>247.5</v>
      </c>
      <c r="M1389" s="97" t="s">
        <v>224</v>
      </c>
      <c r="N1389" s="33">
        <v>45033</v>
      </c>
      <c r="O1389" s="32">
        <v>5157</v>
      </c>
      <c r="P1389" s="83">
        <f>1780+300</f>
        <v>2080</v>
      </c>
      <c r="Q1389" s="83">
        <f>P1389*J1389</f>
        <v>31200</v>
      </c>
      <c r="R1389" s="7" t="s">
        <v>2775</v>
      </c>
      <c r="S1389" s="7">
        <f t="shared" si="70"/>
        <v>2080</v>
      </c>
      <c r="T1389" s="1318">
        <f t="shared" si="71"/>
        <v>31200</v>
      </c>
      <c r="U1389" s="83">
        <v>125</v>
      </c>
    </row>
    <row r="1390" spans="3:21" ht="18" customHeight="1">
      <c r="C1390" s="1483" t="s">
        <v>3731</v>
      </c>
      <c r="D1390" s="13" t="s">
        <v>2771</v>
      </c>
      <c r="E1390" s="48"/>
      <c r="F1390" s="38"/>
      <c r="G1390" s="38" t="s">
        <v>218</v>
      </c>
      <c r="H1390" s="39"/>
      <c r="I1390" s="94"/>
      <c r="J1390" s="39">
        <v>1</v>
      </c>
      <c r="K1390" s="611">
        <v>12</v>
      </c>
      <c r="L1390" s="598">
        <f>K1390*J1390</f>
        <v>12</v>
      </c>
      <c r="M1390" s="898"/>
      <c r="N1390" s="33">
        <v>45033</v>
      </c>
      <c r="O1390" s="32">
        <v>5157</v>
      </c>
      <c r="P1390" s="83">
        <v>0</v>
      </c>
      <c r="Q1390" s="83">
        <f>P1390*J1390</f>
        <v>0</v>
      </c>
      <c r="S1390" s="7">
        <f t="shared" si="70"/>
        <v>0</v>
      </c>
      <c r="T1390" s="1318">
        <f t="shared" si="71"/>
        <v>0</v>
      </c>
      <c r="U1390" s="83">
        <v>125</v>
      </c>
    </row>
    <row r="1391" spans="3:21" s="159" customFormat="1" ht="18" customHeight="1">
      <c r="C1391" s="1484" t="s">
        <v>3731</v>
      </c>
      <c r="D1391" s="150" t="s">
        <v>2771</v>
      </c>
      <c r="E1391" s="151"/>
      <c r="F1391" s="152"/>
      <c r="G1391" s="152" t="s">
        <v>168</v>
      </c>
      <c r="H1391" s="918" t="s">
        <v>2776</v>
      </c>
      <c r="I1391" s="155"/>
      <c r="J1391" s="153"/>
      <c r="K1391" s="600">
        <v>0</v>
      </c>
      <c r="L1391" s="601"/>
      <c r="M1391" s="601"/>
      <c r="N1391" s="157">
        <v>45033</v>
      </c>
      <c r="O1391" s="156">
        <v>5157</v>
      </c>
      <c r="P1391" s="164">
        <v>0</v>
      </c>
      <c r="Q1391" s="165">
        <v>0</v>
      </c>
      <c r="S1391" s="7">
        <f t="shared" si="70"/>
        <v>0</v>
      </c>
      <c r="T1391" s="1318">
        <f t="shared" si="71"/>
        <v>0</v>
      </c>
      <c r="U1391" s="83">
        <v>125</v>
      </c>
    </row>
    <row r="1392" spans="3:21" s="7" customFormat="1" ht="18.600000000000001" customHeight="1">
      <c r="C1392" s="6" t="s">
        <v>3764</v>
      </c>
      <c r="D1392" s="13" t="s">
        <v>1900</v>
      </c>
      <c r="E1392" s="18" t="s">
        <v>3732</v>
      </c>
      <c r="F1392" s="23"/>
      <c r="G1392" s="21"/>
      <c r="H1392" s="55"/>
      <c r="I1392" s="56"/>
      <c r="J1392" s="55"/>
      <c r="K1392" s="15" t="s">
        <v>8</v>
      </c>
      <c r="L1392" s="688"/>
      <c r="M1392" s="688"/>
      <c r="N1392" s="33">
        <v>45043</v>
      </c>
      <c r="O1392" s="32">
        <v>5187</v>
      </c>
      <c r="P1392" s="83"/>
      <c r="Q1392" s="83"/>
      <c r="S1392" s="7">
        <f t="shared" si="70"/>
        <v>0</v>
      </c>
      <c r="T1392" s="1318">
        <f t="shared" si="71"/>
        <v>0</v>
      </c>
      <c r="U1392" s="100"/>
    </row>
    <row r="1393" spans="3:22" s="7" customFormat="1" ht="18.600000000000001" customHeight="1">
      <c r="C1393" s="6" t="s">
        <v>3764</v>
      </c>
      <c r="D1393" s="13" t="s">
        <v>1900</v>
      </c>
      <c r="E1393" s="740" t="s">
        <v>3733</v>
      </c>
      <c r="F1393" s="23"/>
      <c r="G1393" s="21" t="s">
        <v>3747</v>
      </c>
      <c r="H1393" s="93"/>
      <c r="I1393" s="94"/>
      <c r="J1393" s="55">
        <v>150</v>
      </c>
      <c r="K1393" s="597">
        <v>1.56</v>
      </c>
      <c r="L1393" s="598">
        <f>K1393*J1393</f>
        <v>234</v>
      </c>
      <c r="M1393" s="97" t="s">
        <v>224</v>
      </c>
      <c r="N1393" s="33">
        <v>45043</v>
      </c>
      <c r="O1393" s="32">
        <v>5187</v>
      </c>
      <c r="P1393" s="83">
        <v>103</v>
      </c>
      <c r="Q1393" s="83">
        <f>P1393*J1393</f>
        <v>15450</v>
      </c>
      <c r="S1393" s="7">
        <f>P1393</f>
        <v>103</v>
      </c>
      <c r="T1393" s="1318">
        <f>Q1393</f>
        <v>15450</v>
      </c>
      <c r="U1393" s="83">
        <v>125</v>
      </c>
      <c r="V1393" s="1560">
        <f>(((K1393*U1393)-P1393)/(K1393*U1393))</f>
        <v>0.47179487179487178</v>
      </c>
    </row>
    <row r="1394" spans="3:22" s="7" customFormat="1" ht="18.600000000000001" customHeight="1">
      <c r="C1394" s="6" t="s">
        <v>3764</v>
      </c>
      <c r="D1394" s="13" t="s">
        <v>1900</v>
      </c>
      <c r="E1394" s="740" t="s">
        <v>3733</v>
      </c>
      <c r="F1394" s="23"/>
      <c r="G1394" s="21" t="s">
        <v>3734</v>
      </c>
      <c r="H1394" s="93"/>
      <c r="I1394" s="94"/>
      <c r="J1394" s="55">
        <v>150</v>
      </c>
      <c r="K1394" s="597">
        <v>2.09</v>
      </c>
      <c r="L1394" s="598">
        <f>K1394*J1394</f>
        <v>313.5</v>
      </c>
      <c r="M1394" s="97" t="s">
        <v>224</v>
      </c>
      <c r="N1394" s="33">
        <v>45043</v>
      </c>
      <c r="O1394" s="32">
        <v>5187</v>
      </c>
      <c r="P1394" s="83">
        <v>138</v>
      </c>
      <c r="Q1394" s="83">
        <f>P1394*J1394</f>
        <v>20700</v>
      </c>
      <c r="S1394" s="7">
        <f t="shared" si="70"/>
        <v>138</v>
      </c>
      <c r="T1394" s="1318">
        <f t="shared" si="71"/>
        <v>20700</v>
      </c>
      <c r="U1394" s="83">
        <v>125</v>
      </c>
      <c r="V1394" s="1560">
        <f>(((K1394*U1394)-P1394)/(K1394*U1394))</f>
        <v>0.47177033492822967</v>
      </c>
    </row>
    <row r="1395" spans="3:22" s="7" customFormat="1" ht="18.600000000000001" customHeight="1">
      <c r="C1395" s="6" t="s">
        <v>3764</v>
      </c>
      <c r="D1395" s="13" t="s">
        <v>1900</v>
      </c>
      <c r="E1395" s="740" t="s">
        <v>3733</v>
      </c>
      <c r="F1395" s="23"/>
      <c r="G1395" s="21" t="s">
        <v>3735</v>
      </c>
      <c r="H1395" s="93"/>
      <c r="I1395" s="94"/>
      <c r="J1395" s="55">
        <v>150</v>
      </c>
      <c r="K1395" s="597">
        <v>2.09</v>
      </c>
      <c r="L1395" s="598">
        <f>K1395*J1395</f>
        <v>313.5</v>
      </c>
      <c r="M1395" s="97" t="s">
        <v>224</v>
      </c>
      <c r="N1395" s="33">
        <v>45043</v>
      </c>
      <c r="O1395" s="32">
        <v>5187</v>
      </c>
      <c r="P1395" s="83">
        <v>138</v>
      </c>
      <c r="Q1395" s="83">
        <f>P1395*J1395</f>
        <v>20700</v>
      </c>
      <c r="S1395" s="7">
        <f t="shared" ref="S1395:T1398" si="72">P1395</f>
        <v>138</v>
      </c>
      <c r="T1395" s="1318">
        <f t="shared" si="72"/>
        <v>20700</v>
      </c>
      <c r="U1395" s="83">
        <v>125</v>
      </c>
      <c r="V1395" s="1560">
        <f>(((K1395*U1395)-P1395)/(K1395*U1395))</f>
        <v>0.47177033492822967</v>
      </c>
    </row>
    <row r="1396" spans="3:22" s="7" customFormat="1" ht="18.600000000000001" customHeight="1">
      <c r="C1396" s="6" t="s">
        <v>3764</v>
      </c>
      <c r="D1396" s="13" t="s">
        <v>1900</v>
      </c>
      <c r="E1396" s="18" t="s">
        <v>3736</v>
      </c>
      <c r="F1396" s="23"/>
      <c r="G1396" s="21"/>
      <c r="H1396" s="55"/>
      <c r="I1396" s="56"/>
      <c r="J1396" s="55"/>
      <c r="K1396" s="15" t="s">
        <v>8</v>
      </c>
      <c r="L1396" s="688"/>
      <c r="M1396" s="688"/>
      <c r="N1396" s="33">
        <v>45043</v>
      </c>
      <c r="O1396" s="32">
        <v>5187</v>
      </c>
      <c r="P1396" s="83"/>
      <c r="Q1396" s="83"/>
      <c r="S1396" s="7">
        <f t="shared" si="72"/>
        <v>0</v>
      </c>
      <c r="T1396" s="1318">
        <f t="shared" si="72"/>
        <v>0</v>
      </c>
      <c r="U1396" s="100"/>
      <c r="V1396" s="1560" t="e">
        <f t="shared" ref="V1396:V1439" si="73">(((K1396*U1396)-P1396)/(K1396*U1396))</f>
        <v>#VALUE!</v>
      </c>
    </row>
    <row r="1397" spans="3:22" s="7" customFormat="1" ht="18.600000000000001" customHeight="1">
      <c r="C1397" s="6" t="s">
        <v>3764</v>
      </c>
      <c r="D1397" s="13" t="s">
        <v>1900</v>
      </c>
      <c r="E1397" s="740" t="s">
        <v>3737</v>
      </c>
      <c r="F1397" s="23"/>
      <c r="G1397" s="21" t="s">
        <v>3747</v>
      </c>
      <c r="H1397" s="93"/>
      <c r="I1397" s="94"/>
      <c r="J1397" s="55">
        <v>150</v>
      </c>
      <c r="K1397" s="597">
        <v>2</v>
      </c>
      <c r="L1397" s="598">
        <f>K1397*J1397</f>
        <v>300</v>
      </c>
      <c r="M1397" s="97" t="s">
        <v>224</v>
      </c>
      <c r="N1397" s="33">
        <v>45043</v>
      </c>
      <c r="O1397" s="32">
        <v>5187</v>
      </c>
      <c r="P1397" s="83">
        <v>132</v>
      </c>
      <c r="Q1397" s="83">
        <f>P1397*J1397</f>
        <v>19800</v>
      </c>
      <c r="S1397" s="7">
        <f t="shared" si="72"/>
        <v>132</v>
      </c>
      <c r="T1397" s="1318">
        <f t="shared" si="72"/>
        <v>19800</v>
      </c>
      <c r="U1397" s="83">
        <v>125</v>
      </c>
      <c r="V1397" s="1560">
        <f t="shared" si="73"/>
        <v>0.47199999999999998</v>
      </c>
    </row>
    <row r="1398" spans="3:22" s="7" customFormat="1" ht="18.600000000000001" customHeight="1">
      <c r="C1398" s="6" t="s">
        <v>3764</v>
      </c>
      <c r="D1398" s="13" t="s">
        <v>1900</v>
      </c>
      <c r="E1398" s="740" t="s">
        <v>3737</v>
      </c>
      <c r="F1398" s="23"/>
      <c r="G1398" s="21" t="s">
        <v>3734</v>
      </c>
      <c r="H1398" s="93"/>
      <c r="I1398" s="94"/>
      <c r="J1398" s="55">
        <v>150</v>
      </c>
      <c r="K1398" s="597">
        <v>2.65</v>
      </c>
      <c r="L1398" s="598">
        <f>K1398*J1398</f>
        <v>397.5</v>
      </c>
      <c r="M1398" s="97" t="s">
        <v>224</v>
      </c>
      <c r="N1398" s="33">
        <v>45043</v>
      </c>
      <c r="O1398" s="32">
        <v>5187</v>
      </c>
      <c r="P1398" s="83">
        <v>175</v>
      </c>
      <c r="Q1398" s="83">
        <f>P1398*J1398</f>
        <v>26250</v>
      </c>
      <c r="S1398" s="7">
        <f t="shared" si="72"/>
        <v>175</v>
      </c>
      <c r="T1398" s="1318">
        <f t="shared" si="72"/>
        <v>26250</v>
      </c>
      <c r="U1398" s="83">
        <v>125</v>
      </c>
      <c r="V1398" s="1560">
        <f t="shared" si="73"/>
        <v>0.47169811320754718</v>
      </c>
    </row>
    <row r="1399" spans="3:22" s="7" customFormat="1" ht="18.600000000000001" customHeight="1">
      <c r="C1399" s="6" t="s">
        <v>3764</v>
      </c>
      <c r="D1399" s="13" t="s">
        <v>1900</v>
      </c>
      <c r="E1399" s="740" t="s">
        <v>3737</v>
      </c>
      <c r="F1399" s="23"/>
      <c r="G1399" s="21" t="s">
        <v>3735</v>
      </c>
      <c r="H1399" s="93"/>
      <c r="I1399" s="94"/>
      <c r="J1399" s="55">
        <v>150</v>
      </c>
      <c r="K1399" s="597">
        <v>2.65</v>
      </c>
      <c r="L1399" s="598">
        <f>K1399*J1399</f>
        <v>397.5</v>
      </c>
      <c r="M1399" s="97" t="s">
        <v>224</v>
      </c>
      <c r="N1399" s="33">
        <v>45043</v>
      </c>
      <c r="O1399" s="32">
        <v>5187</v>
      </c>
      <c r="P1399" s="83">
        <v>175</v>
      </c>
      <c r="Q1399" s="83">
        <f>P1399*J1399</f>
        <v>26250</v>
      </c>
      <c r="S1399" s="7">
        <f t="shared" ref="S1399:S1420" si="74">P1399</f>
        <v>175</v>
      </c>
      <c r="T1399" s="1318">
        <f t="shared" ref="T1399:T1420" si="75">Q1399</f>
        <v>26250</v>
      </c>
      <c r="U1399" s="83">
        <v>125</v>
      </c>
      <c r="V1399" s="1560">
        <f t="shared" si="73"/>
        <v>0.47169811320754718</v>
      </c>
    </row>
    <row r="1400" spans="3:22" ht="18" customHeight="1">
      <c r="C1400" s="6" t="s">
        <v>3764</v>
      </c>
      <c r="D1400" s="13" t="s">
        <v>1900</v>
      </c>
      <c r="E1400" s="48"/>
      <c r="F1400" s="38"/>
      <c r="G1400" s="38" t="s">
        <v>3738</v>
      </c>
      <c r="H1400" s="39"/>
      <c r="I1400" s="94"/>
      <c r="J1400" s="39">
        <v>6</v>
      </c>
      <c r="K1400" s="611">
        <v>60</v>
      </c>
      <c r="L1400" s="598">
        <f>K1400*J1400</f>
        <v>360</v>
      </c>
      <c r="M1400" s="898"/>
      <c r="N1400" s="33">
        <v>45043</v>
      </c>
      <c r="O1400" s="32">
        <v>5187</v>
      </c>
      <c r="P1400" s="83">
        <v>6000</v>
      </c>
      <c r="Q1400" s="83">
        <f>P1400*J1400</f>
        <v>36000</v>
      </c>
      <c r="S1400" s="7">
        <f t="shared" si="74"/>
        <v>6000</v>
      </c>
      <c r="T1400" s="1318">
        <f t="shared" si="75"/>
        <v>36000</v>
      </c>
      <c r="U1400" s="83">
        <v>125</v>
      </c>
      <c r="V1400" s="1560">
        <f t="shared" si="73"/>
        <v>0.2</v>
      </c>
    </row>
    <row r="1401" spans="3:22" s="159" customFormat="1" ht="18" customHeight="1">
      <c r="C1401" s="149" t="s">
        <v>3764</v>
      </c>
      <c r="D1401" s="150" t="s">
        <v>1900</v>
      </c>
      <c r="E1401" s="151"/>
      <c r="F1401" s="152"/>
      <c r="G1401" s="152" t="s">
        <v>168</v>
      </c>
      <c r="H1401" s="918" t="s">
        <v>2776</v>
      </c>
      <c r="I1401" s="155"/>
      <c r="J1401" s="153"/>
      <c r="K1401" s="600">
        <v>0</v>
      </c>
      <c r="L1401" s="601"/>
      <c r="M1401" s="601"/>
      <c r="N1401" s="157">
        <v>45043</v>
      </c>
      <c r="O1401" s="156">
        <v>5187</v>
      </c>
      <c r="P1401" s="164">
        <v>0</v>
      </c>
      <c r="Q1401" s="165">
        <v>0</v>
      </c>
      <c r="S1401" s="7">
        <f t="shared" si="74"/>
        <v>0</v>
      </c>
      <c r="T1401" s="1318">
        <f t="shared" si="75"/>
        <v>0</v>
      </c>
      <c r="U1401" s="83">
        <v>125</v>
      </c>
      <c r="V1401" s="1560" t="e">
        <f t="shared" si="73"/>
        <v>#DIV/0!</v>
      </c>
    </row>
    <row r="1402" spans="3:22" s="7" customFormat="1" ht="18" customHeight="1">
      <c r="C1402" s="6" t="s">
        <v>3749</v>
      </c>
      <c r="D1402" s="13" t="s">
        <v>1812</v>
      </c>
      <c r="E1402" s="18" t="s">
        <v>156</v>
      </c>
      <c r="F1402" s="23"/>
      <c r="G1402" s="21"/>
      <c r="H1402" s="39"/>
      <c r="I1402" s="56"/>
      <c r="J1402" s="55"/>
      <c r="K1402" s="15" t="s">
        <v>8</v>
      </c>
      <c r="L1402" s="33"/>
      <c r="M1402" s="33"/>
      <c r="N1402" s="33">
        <v>45041</v>
      </c>
      <c r="O1402" s="32">
        <v>5169</v>
      </c>
      <c r="P1402" s="83"/>
      <c r="Q1402" s="83"/>
      <c r="S1402" s="7">
        <f t="shared" si="74"/>
        <v>0</v>
      </c>
      <c r="T1402" s="1318">
        <f t="shared" si="75"/>
        <v>0</v>
      </c>
      <c r="U1402" s="83">
        <v>125</v>
      </c>
      <c r="V1402" s="1560" t="e">
        <f t="shared" si="73"/>
        <v>#VALUE!</v>
      </c>
    </row>
    <row r="1403" spans="3:22" ht="18" customHeight="1">
      <c r="C1403" s="6" t="s">
        <v>3749</v>
      </c>
      <c r="D1403" s="13" t="s">
        <v>1812</v>
      </c>
      <c r="E1403" s="21">
        <v>3717</v>
      </c>
      <c r="F1403" s="23">
        <v>19</v>
      </c>
      <c r="G1403" s="21" t="s">
        <v>2798</v>
      </c>
      <c r="H1403" s="93">
        <v>30</v>
      </c>
      <c r="I1403" s="94">
        <v>4</v>
      </c>
      <c r="J1403" s="55">
        <f>H1403*I1403</f>
        <v>120</v>
      </c>
      <c r="K1403" s="597">
        <v>0.39</v>
      </c>
      <c r="L1403" s="598">
        <f>K1403*J1403</f>
        <v>46.800000000000004</v>
      </c>
      <c r="M1403" s="97" t="s">
        <v>224</v>
      </c>
      <c r="N1403" s="33">
        <v>45041</v>
      </c>
      <c r="O1403" s="32">
        <v>5169</v>
      </c>
      <c r="P1403" s="83">
        <v>25.67</v>
      </c>
      <c r="Q1403" s="83">
        <f>P1403*J1403</f>
        <v>3080.4</v>
      </c>
      <c r="R1403" s="700"/>
      <c r="S1403" s="7">
        <f>P1403</f>
        <v>25.67</v>
      </c>
      <c r="T1403" s="1318">
        <f>Q1403</f>
        <v>3080.4</v>
      </c>
      <c r="U1403" s="83">
        <v>125</v>
      </c>
      <c r="V1403" s="1560">
        <f t="shared" si="73"/>
        <v>0.47343589743589742</v>
      </c>
    </row>
    <row r="1404" spans="3:22" ht="18" customHeight="1">
      <c r="C1404" s="6" t="s">
        <v>3749</v>
      </c>
      <c r="D1404" s="13" t="s">
        <v>1812</v>
      </c>
      <c r="E1404" s="21">
        <v>3717</v>
      </c>
      <c r="F1404" s="23">
        <v>19</v>
      </c>
      <c r="G1404" s="21" t="s">
        <v>2799</v>
      </c>
      <c r="H1404" s="93">
        <v>30</v>
      </c>
      <c r="I1404" s="94">
        <v>4</v>
      </c>
      <c r="J1404" s="55">
        <f>H1404*I1404</f>
        <v>120</v>
      </c>
      <c r="K1404" s="597">
        <v>0.39</v>
      </c>
      <c r="L1404" s="598">
        <f>K1404*J1404</f>
        <v>46.800000000000004</v>
      </c>
      <c r="M1404" s="97" t="s">
        <v>224</v>
      </c>
      <c r="N1404" s="33">
        <v>45041</v>
      </c>
      <c r="O1404" s="32">
        <v>5169</v>
      </c>
      <c r="P1404" s="83">
        <v>25.67</v>
      </c>
      <c r="Q1404" s="83">
        <f>P1404*J1404</f>
        <v>3080.4</v>
      </c>
      <c r="R1404" s="700"/>
      <c r="S1404" s="7">
        <f t="shared" si="74"/>
        <v>25.67</v>
      </c>
      <c r="T1404" s="1318">
        <f t="shared" si="75"/>
        <v>3080.4</v>
      </c>
      <c r="U1404" s="83">
        <v>125</v>
      </c>
      <c r="V1404" s="1560">
        <f t="shared" si="73"/>
        <v>0.47343589743589742</v>
      </c>
    </row>
    <row r="1405" spans="3:22" ht="18" customHeight="1">
      <c r="C1405" s="6" t="s">
        <v>3749</v>
      </c>
      <c r="D1405" s="13" t="s">
        <v>1812</v>
      </c>
      <c r="E1405" s="48"/>
      <c r="F1405" s="38"/>
      <c r="G1405" s="38" t="s">
        <v>218</v>
      </c>
      <c r="H1405" s="39"/>
      <c r="I1405" s="94"/>
      <c r="J1405" s="39">
        <v>1</v>
      </c>
      <c r="K1405" s="611">
        <v>12</v>
      </c>
      <c r="L1405" s="598">
        <f>K1405*J1405</f>
        <v>12</v>
      </c>
      <c r="M1405" s="898"/>
      <c r="N1405" s="33">
        <v>45041</v>
      </c>
      <c r="O1405" s="32">
        <v>5169</v>
      </c>
      <c r="P1405" s="83">
        <v>0</v>
      </c>
      <c r="Q1405" s="83">
        <f>P1405*J1405</f>
        <v>0</v>
      </c>
      <c r="S1405" s="7">
        <f t="shared" si="74"/>
        <v>0</v>
      </c>
      <c r="T1405" s="1318">
        <f t="shared" si="75"/>
        <v>0</v>
      </c>
      <c r="U1405" s="83">
        <v>125</v>
      </c>
      <c r="V1405" s="1560">
        <f t="shared" si="73"/>
        <v>1</v>
      </c>
    </row>
    <row r="1406" spans="3:22" s="159" customFormat="1" ht="18" customHeight="1">
      <c r="C1406" s="149" t="s">
        <v>3749</v>
      </c>
      <c r="D1406" s="150" t="s">
        <v>1812</v>
      </c>
      <c r="E1406" s="191"/>
      <c r="F1406" s="152"/>
      <c r="G1406" s="152" t="s">
        <v>168</v>
      </c>
      <c r="H1406" s="154" t="s">
        <v>169</v>
      </c>
      <c r="I1406" s="155"/>
      <c r="J1406" s="153"/>
      <c r="K1406" s="600">
        <v>0</v>
      </c>
      <c r="L1406" s="601"/>
      <c r="M1406" s="601"/>
      <c r="N1406" s="157">
        <v>45041</v>
      </c>
      <c r="O1406" s="156">
        <v>5169</v>
      </c>
      <c r="P1406" s="164">
        <v>0</v>
      </c>
      <c r="Q1406" s="165">
        <v>0</v>
      </c>
      <c r="S1406" s="7">
        <f t="shared" si="74"/>
        <v>0</v>
      </c>
      <c r="T1406" s="1318">
        <f t="shared" si="75"/>
        <v>0</v>
      </c>
      <c r="U1406" s="83">
        <v>125</v>
      </c>
      <c r="V1406" s="1560" t="e">
        <f t="shared" si="73"/>
        <v>#DIV/0!</v>
      </c>
    </row>
    <row r="1407" spans="3:22" s="7" customFormat="1" ht="18" customHeight="1">
      <c r="C1407" s="6" t="s">
        <v>3855</v>
      </c>
      <c r="D1407" s="13" t="s">
        <v>2277</v>
      </c>
      <c r="E1407" s="18" t="s">
        <v>19</v>
      </c>
      <c r="F1407" s="23"/>
      <c r="G1407" s="21"/>
      <c r="H1407" s="55"/>
      <c r="I1407" s="56"/>
      <c r="J1407" s="55"/>
      <c r="K1407" s="15" t="s">
        <v>8</v>
      </c>
      <c r="L1407" s="688"/>
      <c r="M1407" s="688"/>
      <c r="N1407" s="33">
        <v>45068</v>
      </c>
      <c r="O1407" s="32">
        <v>5242</v>
      </c>
      <c r="P1407" s="83"/>
      <c r="Q1407" s="83"/>
      <c r="S1407" s="7">
        <f t="shared" si="74"/>
        <v>0</v>
      </c>
      <c r="T1407" s="1318">
        <f t="shared" si="75"/>
        <v>0</v>
      </c>
      <c r="U1407" s="83">
        <v>125</v>
      </c>
      <c r="V1407" s="1560" t="e">
        <f t="shared" si="73"/>
        <v>#VALUE!</v>
      </c>
    </row>
    <row r="1408" spans="3:22" s="7" customFormat="1" ht="18" customHeight="1">
      <c r="C1408" s="6" t="s">
        <v>3855</v>
      </c>
      <c r="D1408" s="13" t="s">
        <v>2277</v>
      </c>
      <c r="E1408" s="740" t="s">
        <v>2793</v>
      </c>
      <c r="F1408" s="23"/>
      <c r="G1408" s="21" t="s">
        <v>25</v>
      </c>
      <c r="H1408" s="93">
        <v>9.8000000000000007</v>
      </c>
      <c r="I1408" s="94">
        <v>1</v>
      </c>
      <c r="J1408" s="108">
        <f>H1408*I1408</f>
        <v>9.8000000000000007</v>
      </c>
      <c r="K1408" s="597">
        <v>4.6900000000000004</v>
      </c>
      <c r="L1408" s="598">
        <f>K1408*J1408</f>
        <v>45.96200000000001</v>
      </c>
      <c r="M1408" s="97" t="s">
        <v>224</v>
      </c>
      <c r="N1408" s="33">
        <v>45068</v>
      </c>
      <c r="O1408" s="32">
        <v>5242</v>
      </c>
      <c r="P1408" s="83">
        <v>410</v>
      </c>
      <c r="Q1408" s="83">
        <f>P1408*J1408</f>
        <v>4018.0000000000005</v>
      </c>
      <c r="S1408" s="7">
        <f>P1408</f>
        <v>410</v>
      </c>
      <c r="T1408" s="1318">
        <f>Q1408</f>
        <v>4018.0000000000005</v>
      </c>
      <c r="U1408" s="83">
        <v>125</v>
      </c>
      <c r="V1408" s="1560">
        <f t="shared" si="73"/>
        <v>0.3006396588486141</v>
      </c>
    </row>
    <row r="1409" spans="3:22" s="7" customFormat="1" ht="18" customHeight="1">
      <c r="C1409" s="6" t="s">
        <v>3855</v>
      </c>
      <c r="D1409" s="13" t="s">
        <v>2277</v>
      </c>
      <c r="E1409" s="740" t="s">
        <v>2793</v>
      </c>
      <c r="F1409" s="23"/>
      <c r="G1409" s="21" t="s">
        <v>25</v>
      </c>
      <c r="H1409" s="93">
        <v>13.7</v>
      </c>
      <c r="I1409" s="94">
        <v>14</v>
      </c>
      <c r="J1409" s="108">
        <f>H1409*I1409</f>
        <v>191.79999999999998</v>
      </c>
      <c r="K1409" s="597">
        <v>4.6900000000000004</v>
      </c>
      <c r="L1409" s="598">
        <f>K1409*J1409</f>
        <v>899.54200000000003</v>
      </c>
      <c r="M1409" s="97" t="s">
        <v>224</v>
      </c>
      <c r="N1409" s="346">
        <v>45098</v>
      </c>
      <c r="O1409" s="32">
        <v>5327</v>
      </c>
      <c r="P1409" s="83">
        <v>410</v>
      </c>
      <c r="Q1409" s="83">
        <f>P1409*J1409</f>
        <v>78638</v>
      </c>
      <c r="S1409" s="7">
        <f t="shared" si="74"/>
        <v>410</v>
      </c>
      <c r="T1409" s="1318">
        <f t="shared" si="75"/>
        <v>78638</v>
      </c>
      <c r="U1409" s="83">
        <v>125</v>
      </c>
      <c r="V1409" s="1560">
        <f t="shared" si="73"/>
        <v>0.3006396588486141</v>
      </c>
    </row>
    <row r="1410" spans="3:22" s="7" customFormat="1" ht="18" customHeight="1">
      <c r="C1410" s="6" t="s">
        <v>3855</v>
      </c>
      <c r="D1410" s="13" t="s">
        <v>2277</v>
      </c>
      <c r="E1410" s="740" t="s">
        <v>3856</v>
      </c>
      <c r="F1410" s="23"/>
      <c r="G1410" s="21" t="s">
        <v>25</v>
      </c>
      <c r="H1410" s="93"/>
      <c r="I1410" s="94"/>
      <c r="J1410" s="108">
        <v>30</v>
      </c>
      <c r="K1410" s="597">
        <v>2.87</v>
      </c>
      <c r="L1410" s="598">
        <f>K1410*J1410</f>
        <v>86.100000000000009</v>
      </c>
      <c r="M1410" s="97" t="s">
        <v>224</v>
      </c>
      <c r="N1410" s="33">
        <v>45068</v>
      </c>
      <c r="O1410" s="32">
        <v>5242</v>
      </c>
      <c r="P1410" s="83">
        <v>118</v>
      </c>
      <c r="Q1410" s="83">
        <f>P1410*J1410</f>
        <v>3540</v>
      </c>
      <c r="S1410" s="7">
        <f>P1410</f>
        <v>118</v>
      </c>
      <c r="T1410" s="1318">
        <f>Q1410</f>
        <v>3540</v>
      </c>
      <c r="U1410" s="83">
        <v>125</v>
      </c>
      <c r="V1410" s="1560">
        <f t="shared" si="73"/>
        <v>0.67108013937282229</v>
      </c>
    </row>
    <row r="1411" spans="3:22" s="7" customFormat="1" ht="18" customHeight="1">
      <c r="C1411" s="6" t="s">
        <v>3855</v>
      </c>
      <c r="D1411" s="13" t="s">
        <v>2277</v>
      </c>
      <c r="E1411" s="740" t="s">
        <v>3857</v>
      </c>
      <c r="F1411" s="23"/>
      <c r="G1411" s="21" t="s">
        <v>25</v>
      </c>
      <c r="H1411" s="93"/>
      <c r="I1411" s="94"/>
      <c r="J1411" s="108">
        <v>100</v>
      </c>
      <c r="K1411" s="597">
        <v>1.17</v>
      </c>
      <c r="L1411" s="598">
        <f>K1411*J1411</f>
        <v>117</v>
      </c>
      <c r="M1411" s="97" t="s">
        <v>224</v>
      </c>
      <c r="N1411" s="33">
        <v>45068</v>
      </c>
      <c r="O1411" s="32">
        <v>5242</v>
      </c>
      <c r="P1411" s="83">
        <v>77</v>
      </c>
      <c r="Q1411" s="83">
        <f>P1411*J1411</f>
        <v>7700</v>
      </c>
      <c r="S1411" s="7">
        <f>P1411</f>
        <v>77</v>
      </c>
      <c r="T1411" s="1318">
        <f>Q1411</f>
        <v>7700</v>
      </c>
      <c r="U1411" s="83">
        <v>125</v>
      </c>
      <c r="V1411" s="1560">
        <f t="shared" si="73"/>
        <v>0.47350427350427349</v>
      </c>
    </row>
    <row r="1412" spans="3:22" ht="18" customHeight="1">
      <c r="C1412" s="6" t="s">
        <v>3855</v>
      </c>
      <c r="D1412" s="13" t="s">
        <v>2277</v>
      </c>
      <c r="E1412" s="21"/>
      <c r="F1412" s="38"/>
      <c r="G1412" s="38" t="s">
        <v>218</v>
      </c>
      <c r="H1412" s="39"/>
      <c r="I1412" s="94"/>
      <c r="J1412" s="39">
        <v>1</v>
      </c>
      <c r="K1412" s="611">
        <v>12</v>
      </c>
      <c r="L1412" s="598">
        <f>K1412*J1412</f>
        <v>12</v>
      </c>
      <c r="M1412" s="898"/>
      <c r="N1412" s="33">
        <v>45068</v>
      </c>
      <c r="O1412" s="32">
        <v>5242</v>
      </c>
      <c r="P1412" s="83">
        <v>900</v>
      </c>
      <c r="Q1412" s="83">
        <f>P1412*J1412</f>
        <v>900</v>
      </c>
      <c r="S1412" s="7">
        <f t="shared" si="74"/>
        <v>900</v>
      </c>
      <c r="T1412" s="1318">
        <f t="shared" si="75"/>
        <v>900</v>
      </c>
      <c r="U1412" s="83">
        <v>125</v>
      </c>
      <c r="V1412" s="1560">
        <f t="shared" si="73"/>
        <v>0.4</v>
      </c>
    </row>
    <row r="1413" spans="3:22" s="159" customFormat="1" ht="18" customHeight="1">
      <c r="C1413" s="149" t="s">
        <v>3855</v>
      </c>
      <c r="D1413" s="150" t="s">
        <v>2277</v>
      </c>
      <c r="E1413" s="191"/>
      <c r="F1413" s="152"/>
      <c r="G1413" s="152" t="s">
        <v>168</v>
      </c>
      <c r="H1413" s="154" t="s">
        <v>169</v>
      </c>
      <c r="I1413" s="155"/>
      <c r="J1413" s="153"/>
      <c r="K1413" s="600">
        <v>0</v>
      </c>
      <c r="L1413" s="601"/>
      <c r="M1413" s="601"/>
      <c r="N1413" s="157">
        <v>45068</v>
      </c>
      <c r="O1413" s="156">
        <v>5242</v>
      </c>
      <c r="P1413" s="164">
        <v>0</v>
      </c>
      <c r="Q1413" s="165">
        <v>0</v>
      </c>
      <c r="S1413" s="7">
        <f t="shared" si="74"/>
        <v>0</v>
      </c>
      <c r="T1413" s="1318">
        <f t="shared" si="75"/>
        <v>0</v>
      </c>
      <c r="U1413" s="83">
        <v>125</v>
      </c>
      <c r="V1413" s="1560" t="e">
        <f t="shared" si="73"/>
        <v>#DIV/0!</v>
      </c>
    </row>
    <row r="1414" spans="3:22" s="7" customFormat="1" ht="18" customHeight="1">
      <c r="C1414" s="6" t="s">
        <v>3889</v>
      </c>
      <c r="D1414" s="13" t="s">
        <v>2277</v>
      </c>
      <c r="E1414" s="18" t="s">
        <v>19</v>
      </c>
      <c r="F1414" s="23"/>
      <c r="G1414" s="21"/>
      <c r="H1414" s="55"/>
      <c r="I1414" s="56"/>
      <c r="J1414" s="55"/>
      <c r="K1414" s="15" t="s">
        <v>8</v>
      </c>
      <c r="L1414" s="688"/>
      <c r="M1414" s="688"/>
      <c r="N1414" s="33">
        <v>45068</v>
      </c>
      <c r="O1414" s="32">
        <v>5249</v>
      </c>
      <c r="P1414" s="83"/>
      <c r="Q1414" s="83"/>
      <c r="S1414" s="7">
        <f t="shared" ref="S1414:T1417" si="76">P1414</f>
        <v>0</v>
      </c>
      <c r="T1414" s="1318">
        <f t="shared" si="76"/>
        <v>0</v>
      </c>
      <c r="U1414" s="83">
        <v>125</v>
      </c>
      <c r="V1414" s="1560" t="e">
        <f t="shared" si="73"/>
        <v>#VALUE!</v>
      </c>
    </row>
    <row r="1415" spans="3:22" s="7" customFormat="1" ht="18" customHeight="1">
      <c r="C1415" s="6" t="s">
        <v>3889</v>
      </c>
      <c r="D1415" s="13" t="s">
        <v>2277</v>
      </c>
      <c r="E1415" s="740" t="s">
        <v>3857</v>
      </c>
      <c r="F1415" s="23"/>
      <c r="G1415" s="21" t="s">
        <v>25</v>
      </c>
      <c r="H1415" s="93"/>
      <c r="I1415" s="94"/>
      <c r="J1415" s="108">
        <v>100</v>
      </c>
      <c r="K1415" s="597">
        <v>1.17</v>
      </c>
      <c r="L1415" s="598">
        <f>K1415*J1415</f>
        <v>117</v>
      </c>
      <c r="M1415" s="97" t="s">
        <v>224</v>
      </c>
      <c r="N1415" s="33">
        <v>45068</v>
      </c>
      <c r="O1415" s="32">
        <v>5249</v>
      </c>
      <c r="P1415" s="83">
        <v>77</v>
      </c>
      <c r="Q1415" s="83">
        <f>P1415*J1415</f>
        <v>7700</v>
      </c>
      <c r="R1415" s="7" t="s">
        <v>3890</v>
      </c>
      <c r="S1415" s="7">
        <f t="shared" si="76"/>
        <v>77</v>
      </c>
      <c r="T1415" s="1318">
        <f t="shared" si="76"/>
        <v>7700</v>
      </c>
      <c r="U1415" s="83">
        <v>125</v>
      </c>
      <c r="V1415" s="1560">
        <f t="shared" si="73"/>
        <v>0.47350427350427349</v>
      </c>
    </row>
    <row r="1416" spans="3:22" ht="18" customHeight="1">
      <c r="C1416" s="6" t="s">
        <v>3889</v>
      </c>
      <c r="D1416" s="13" t="s">
        <v>2277</v>
      </c>
      <c r="E1416" s="21"/>
      <c r="F1416" s="38"/>
      <c r="G1416" s="38" t="s">
        <v>218</v>
      </c>
      <c r="H1416" s="39"/>
      <c r="I1416" s="94"/>
      <c r="J1416" s="39">
        <v>1</v>
      </c>
      <c r="K1416" s="611">
        <v>12</v>
      </c>
      <c r="L1416" s="598">
        <f>K1416*J1416</f>
        <v>12</v>
      </c>
      <c r="M1416" s="898"/>
      <c r="N1416" s="33">
        <v>45068</v>
      </c>
      <c r="O1416" s="32">
        <v>5249</v>
      </c>
      <c r="P1416" s="83">
        <v>900</v>
      </c>
      <c r="Q1416" s="83">
        <f>P1416*J1416</f>
        <v>900</v>
      </c>
      <c r="S1416" s="7">
        <f t="shared" si="76"/>
        <v>900</v>
      </c>
      <c r="T1416" s="1318">
        <f t="shared" si="76"/>
        <v>900</v>
      </c>
      <c r="U1416" s="83">
        <v>125</v>
      </c>
      <c r="V1416" s="1560">
        <f t="shared" si="73"/>
        <v>0.4</v>
      </c>
    </row>
    <row r="1417" spans="3:22" s="159" customFormat="1" ht="18" customHeight="1">
      <c r="C1417" s="149" t="s">
        <v>3889</v>
      </c>
      <c r="D1417" s="150" t="s">
        <v>2277</v>
      </c>
      <c r="E1417" s="191"/>
      <c r="F1417" s="152"/>
      <c r="G1417" s="152" t="s">
        <v>168</v>
      </c>
      <c r="H1417" s="154" t="s">
        <v>169</v>
      </c>
      <c r="I1417" s="155"/>
      <c r="J1417" s="153"/>
      <c r="K1417" s="600">
        <v>0</v>
      </c>
      <c r="L1417" s="601"/>
      <c r="M1417" s="601"/>
      <c r="N1417" s="157">
        <v>45068</v>
      </c>
      <c r="O1417" s="156">
        <v>5249</v>
      </c>
      <c r="P1417" s="164">
        <v>0</v>
      </c>
      <c r="Q1417" s="165">
        <v>0</v>
      </c>
      <c r="S1417" s="7">
        <f t="shared" si="76"/>
        <v>0</v>
      </c>
      <c r="T1417" s="1318">
        <f t="shared" si="76"/>
        <v>0</v>
      </c>
      <c r="U1417" s="83">
        <v>125</v>
      </c>
      <c r="V1417" s="1560" t="e">
        <f t="shared" si="73"/>
        <v>#DIV/0!</v>
      </c>
    </row>
    <row r="1418" spans="3:22" s="7" customFormat="1" ht="18" customHeight="1">
      <c r="C1418" s="6" t="s">
        <v>3887</v>
      </c>
      <c r="D1418" s="13" t="s">
        <v>1812</v>
      </c>
      <c r="E1418" s="18" t="s">
        <v>79</v>
      </c>
      <c r="F1418" s="92"/>
      <c r="G1418" s="21"/>
      <c r="H1418" s="93"/>
      <c r="I1418" s="94"/>
      <c r="J1418" s="93"/>
      <c r="K1418" s="95" t="s">
        <v>8</v>
      </c>
      <c r="L1418" s="33"/>
      <c r="M1418" s="33"/>
      <c r="N1418" s="33">
        <v>45084</v>
      </c>
      <c r="O1418" s="32">
        <v>5291</v>
      </c>
      <c r="P1418" s="83"/>
      <c r="Q1418" s="83"/>
      <c r="S1418" s="7">
        <f t="shared" si="74"/>
        <v>0</v>
      </c>
      <c r="T1418" s="1318">
        <f t="shared" si="75"/>
        <v>0</v>
      </c>
      <c r="U1418" s="83">
        <v>125</v>
      </c>
      <c r="V1418" s="1560" t="e">
        <f t="shared" si="73"/>
        <v>#VALUE!</v>
      </c>
    </row>
    <row r="1419" spans="3:22" s="7" customFormat="1" ht="18" customHeight="1">
      <c r="C1419" s="6" t="s">
        <v>3887</v>
      </c>
      <c r="D1419" s="13" t="s">
        <v>1812</v>
      </c>
      <c r="E1419" s="21">
        <v>4141</v>
      </c>
      <c r="F1419" s="596">
        <v>9</v>
      </c>
      <c r="G1419" s="21" t="s">
        <v>3641</v>
      </c>
      <c r="H1419" s="93">
        <v>20</v>
      </c>
      <c r="I1419" s="94">
        <v>13</v>
      </c>
      <c r="J1419" s="8">
        <f>H1419*I1419</f>
        <v>260</v>
      </c>
      <c r="K1419" s="597">
        <v>1.33</v>
      </c>
      <c r="L1419" s="598">
        <f>K1419*J1419</f>
        <v>345.8</v>
      </c>
      <c r="M1419" s="97" t="s">
        <v>224</v>
      </c>
      <c r="N1419" s="33">
        <v>45084</v>
      </c>
      <c r="O1419" s="32">
        <v>5291</v>
      </c>
      <c r="P1419" s="83">
        <v>97</v>
      </c>
      <c r="Q1419" s="83">
        <f>P1419*J1419</f>
        <v>25220</v>
      </c>
      <c r="S1419" s="7">
        <f t="shared" si="74"/>
        <v>97</v>
      </c>
      <c r="T1419" s="1318">
        <f t="shared" si="75"/>
        <v>25220</v>
      </c>
      <c r="U1419" s="83">
        <v>125</v>
      </c>
      <c r="V1419" s="1560">
        <f t="shared" si="73"/>
        <v>0.41654135338345866</v>
      </c>
    </row>
    <row r="1420" spans="3:22" ht="18" customHeight="1">
      <c r="C1420" s="6" t="s">
        <v>3887</v>
      </c>
      <c r="D1420" s="13" t="s">
        <v>1812</v>
      </c>
      <c r="E1420" s="21"/>
      <c r="F1420" s="38"/>
      <c r="G1420" s="38" t="s">
        <v>218</v>
      </c>
      <c r="H1420" s="39"/>
      <c r="I1420" s="94"/>
      <c r="J1420" s="39">
        <v>1</v>
      </c>
      <c r="K1420" s="611">
        <v>12</v>
      </c>
      <c r="L1420" s="598">
        <f>K1420*J1420</f>
        <v>12</v>
      </c>
      <c r="M1420" s="898"/>
      <c r="N1420" s="33">
        <v>45084</v>
      </c>
      <c r="O1420" s="32">
        <v>5291</v>
      </c>
      <c r="P1420" s="83">
        <v>0</v>
      </c>
      <c r="Q1420" s="83">
        <f>P1420*J1420</f>
        <v>0</v>
      </c>
      <c r="S1420" s="7">
        <f t="shared" si="74"/>
        <v>0</v>
      </c>
      <c r="T1420" s="1318">
        <f t="shared" si="75"/>
        <v>0</v>
      </c>
      <c r="U1420" s="83">
        <v>125</v>
      </c>
      <c r="V1420" s="1560">
        <f t="shared" si="73"/>
        <v>1</v>
      </c>
    </row>
    <row r="1421" spans="3:22" s="159" customFormat="1" ht="18" customHeight="1">
      <c r="C1421" s="149" t="s">
        <v>3887</v>
      </c>
      <c r="D1421" s="150" t="s">
        <v>1812</v>
      </c>
      <c r="E1421" s="191"/>
      <c r="F1421" s="152"/>
      <c r="G1421" s="152" t="s">
        <v>168</v>
      </c>
      <c r="H1421" s="154" t="s">
        <v>169</v>
      </c>
      <c r="I1421" s="155"/>
      <c r="J1421" s="153"/>
      <c r="K1421" s="600">
        <v>0</v>
      </c>
      <c r="L1421" s="601"/>
      <c r="M1421" s="601"/>
      <c r="N1421" s="157">
        <v>45084</v>
      </c>
      <c r="O1421" s="156">
        <v>5291</v>
      </c>
      <c r="P1421" s="164">
        <v>0</v>
      </c>
      <c r="Q1421" s="165">
        <v>0</v>
      </c>
      <c r="S1421" s="7">
        <f t="shared" ref="S1421:T1424" si="77">P1421</f>
        <v>0</v>
      </c>
      <c r="T1421" s="1318">
        <f t="shared" si="77"/>
        <v>0</v>
      </c>
      <c r="U1421" s="83">
        <v>125</v>
      </c>
      <c r="V1421" s="1560" t="e">
        <f t="shared" si="73"/>
        <v>#DIV/0!</v>
      </c>
    </row>
    <row r="1422" spans="3:22" s="7" customFormat="1" ht="18" customHeight="1">
      <c r="C1422" s="6" t="s">
        <v>3891</v>
      </c>
      <c r="D1422" s="13" t="s">
        <v>3633</v>
      </c>
      <c r="E1422" s="18" t="s">
        <v>79</v>
      </c>
      <c r="F1422" s="92"/>
      <c r="G1422" s="21"/>
      <c r="H1422" s="93"/>
      <c r="I1422" s="94"/>
      <c r="J1422" s="93"/>
      <c r="K1422" s="95" t="s">
        <v>8</v>
      </c>
      <c r="L1422" s="33"/>
      <c r="M1422" s="33"/>
      <c r="N1422" s="33">
        <v>45076</v>
      </c>
      <c r="O1422" s="32">
        <v>5256</v>
      </c>
      <c r="P1422" s="83"/>
      <c r="Q1422" s="83"/>
      <c r="S1422" s="7">
        <f t="shared" si="77"/>
        <v>0</v>
      </c>
      <c r="T1422" s="1318">
        <f t="shared" si="77"/>
        <v>0</v>
      </c>
      <c r="U1422" s="83">
        <v>125</v>
      </c>
      <c r="V1422" s="1560" t="e">
        <f t="shared" si="73"/>
        <v>#VALUE!</v>
      </c>
    </row>
    <row r="1423" spans="3:22" s="7" customFormat="1" ht="18" customHeight="1">
      <c r="C1423" s="6" t="s">
        <v>3891</v>
      </c>
      <c r="D1423" s="13" t="s">
        <v>3633</v>
      </c>
      <c r="E1423" s="21">
        <v>4141</v>
      </c>
      <c r="F1423" s="596">
        <v>9</v>
      </c>
      <c r="G1423" s="21" t="s">
        <v>258</v>
      </c>
      <c r="H1423" s="93">
        <v>20</v>
      </c>
      <c r="I1423" s="94">
        <v>30</v>
      </c>
      <c r="J1423" s="55">
        <f>H1423*I1423</f>
        <v>600</v>
      </c>
      <c r="K1423" s="597">
        <v>1.33</v>
      </c>
      <c r="L1423" s="598">
        <f>K1423*J1423</f>
        <v>798</v>
      </c>
      <c r="M1423" s="97" t="s">
        <v>224</v>
      </c>
      <c r="N1423" s="33">
        <v>45076</v>
      </c>
      <c r="O1423" s="32">
        <v>5256</v>
      </c>
      <c r="P1423" s="83">
        <v>97</v>
      </c>
      <c r="Q1423" s="83">
        <f>P1423*J1423</f>
        <v>58200</v>
      </c>
      <c r="S1423" s="7">
        <f t="shared" si="77"/>
        <v>97</v>
      </c>
      <c r="T1423" s="1318">
        <f t="shared" si="77"/>
        <v>58200</v>
      </c>
      <c r="U1423" s="83">
        <v>125</v>
      </c>
      <c r="V1423" s="1560">
        <f t="shared" si="73"/>
        <v>0.41654135338345866</v>
      </c>
    </row>
    <row r="1424" spans="3:22" ht="18" customHeight="1">
      <c r="C1424" s="6" t="s">
        <v>3891</v>
      </c>
      <c r="D1424" s="13" t="s">
        <v>3633</v>
      </c>
      <c r="E1424" s="21"/>
      <c r="F1424" s="38"/>
      <c r="G1424" s="38" t="s">
        <v>218</v>
      </c>
      <c r="H1424" s="39"/>
      <c r="I1424" s="94"/>
      <c r="J1424" s="39">
        <v>1</v>
      </c>
      <c r="K1424" s="611">
        <v>12</v>
      </c>
      <c r="L1424" s="598">
        <f>K1424*J1424</f>
        <v>12</v>
      </c>
      <c r="M1424" s="898"/>
      <c r="N1424" s="33">
        <v>45076</v>
      </c>
      <c r="O1424" s="32">
        <v>5256</v>
      </c>
      <c r="P1424" s="83">
        <v>0</v>
      </c>
      <c r="Q1424" s="83">
        <f>P1424*J1424</f>
        <v>0</v>
      </c>
      <c r="S1424" s="7">
        <f t="shared" si="77"/>
        <v>0</v>
      </c>
      <c r="T1424" s="1318">
        <f t="shared" si="77"/>
        <v>0</v>
      </c>
      <c r="U1424" s="83">
        <v>125</v>
      </c>
      <c r="V1424" s="1560">
        <f t="shared" si="73"/>
        <v>1</v>
      </c>
    </row>
    <row r="1425" spans="1:22" s="159" customFormat="1" ht="18" customHeight="1">
      <c r="C1425" s="149" t="s">
        <v>3891</v>
      </c>
      <c r="D1425" s="150" t="s">
        <v>3633</v>
      </c>
      <c r="E1425" s="191"/>
      <c r="F1425" s="152"/>
      <c r="G1425" s="152" t="s">
        <v>168</v>
      </c>
      <c r="H1425" s="154" t="s">
        <v>169</v>
      </c>
      <c r="I1425" s="155"/>
      <c r="J1425" s="153"/>
      <c r="K1425" s="600">
        <v>0</v>
      </c>
      <c r="L1425" s="601"/>
      <c r="M1425" s="601"/>
      <c r="N1425" s="157">
        <v>45076</v>
      </c>
      <c r="O1425" s="156">
        <v>5256</v>
      </c>
      <c r="P1425" s="164">
        <v>0</v>
      </c>
      <c r="Q1425" s="165">
        <v>0</v>
      </c>
      <c r="T1425" s="1317"/>
      <c r="U1425" s="83">
        <v>125</v>
      </c>
      <c r="V1425" s="1560" t="e">
        <f t="shared" si="73"/>
        <v>#DIV/0!</v>
      </c>
    </row>
    <row r="1426" spans="1:22" customFormat="1" ht="18.600000000000001" customHeight="1">
      <c r="A1426" s="1"/>
      <c r="B1426" s="25"/>
      <c r="C1426" s="6" t="s">
        <v>3892</v>
      </c>
      <c r="D1426" s="13" t="s">
        <v>2277</v>
      </c>
      <c r="E1426" s="18" t="s">
        <v>3622</v>
      </c>
      <c r="F1426" s="92"/>
      <c r="G1426" s="21"/>
      <c r="H1426" s="93"/>
      <c r="I1426" s="94"/>
      <c r="J1426" s="93"/>
      <c r="K1426" s="95" t="s">
        <v>8</v>
      </c>
      <c r="L1426" s="33"/>
      <c r="M1426" s="33"/>
      <c r="N1426" s="33">
        <v>45071</v>
      </c>
      <c r="O1426" s="32">
        <v>5259</v>
      </c>
      <c r="P1426" s="13"/>
      <c r="Q1426" s="1449"/>
      <c r="R1426" s="1"/>
      <c r="S1426" s="1450"/>
      <c r="T1426" s="83"/>
      <c r="U1426" s="83">
        <v>125</v>
      </c>
      <c r="V1426" s="1560" t="e">
        <f t="shared" si="73"/>
        <v>#VALUE!</v>
      </c>
    </row>
    <row r="1427" spans="1:22" customFormat="1" ht="18.600000000000001" customHeight="1">
      <c r="B1427" s="11"/>
      <c r="C1427" s="6" t="s">
        <v>3892</v>
      </c>
      <c r="D1427" s="13" t="s">
        <v>2277</v>
      </c>
      <c r="E1427" s="18" t="s">
        <v>3623</v>
      </c>
      <c r="F1427" s="92" t="s">
        <v>3624</v>
      </c>
      <c r="G1427" s="21" t="s">
        <v>3893</v>
      </c>
      <c r="H1427" s="17">
        <v>58.8</v>
      </c>
      <c r="I1427" s="56">
        <v>1</v>
      </c>
      <c r="J1427" s="17">
        <f>H1427*I1427</f>
        <v>58.8</v>
      </c>
      <c r="K1427" s="611">
        <v>13.98</v>
      </c>
      <c r="L1427" s="598">
        <f>K1427*J1427</f>
        <v>822.024</v>
      </c>
      <c r="M1427" s="97" t="s">
        <v>224</v>
      </c>
      <c r="N1427" s="33">
        <v>45071</v>
      </c>
      <c r="O1427" s="32">
        <v>5259</v>
      </c>
      <c r="P1427" s="83">
        <v>1310</v>
      </c>
      <c r="Q1427" s="83">
        <f>P1427*J1427</f>
        <v>77028</v>
      </c>
      <c r="R1427" s="7"/>
      <c r="S1427" s="7">
        <f>P1427</f>
        <v>1310</v>
      </c>
      <c r="T1427" s="1318">
        <f>Q1427</f>
        <v>77028</v>
      </c>
      <c r="U1427" s="83">
        <v>125</v>
      </c>
      <c r="V1427" s="1560">
        <f t="shared" si="73"/>
        <v>0.25035765379113017</v>
      </c>
    </row>
    <row r="1428" spans="1:22" ht="18.600000000000001" customHeight="1">
      <c r="C1428" s="6" t="s">
        <v>3892</v>
      </c>
      <c r="D1428" s="13" t="s">
        <v>2277</v>
      </c>
      <c r="E1428" s="21"/>
      <c r="F1428" s="38"/>
      <c r="G1428" s="38" t="s">
        <v>218</v>
      </c>
      <c r="H1428" s="39"/>
      <c r="I1428" s="94"/>
      <c r="J1428" s="39">
        <v>1</v>
      </c>
      <c r="K1428" s="611">
        <v>12</v>
      </c>
      <c r="L1428" s="598">
        <f>K1428*J1428</f>
        <v>12</v>
      </c>
      <c r="M1428" s="898"/>
      <c r="N1428" s="33">
        <v>45071</v>
      </c>
      <c r="O1428" s="32">
        <v>5259</v>
      </c>
      <c r="P1428" s="83"/>
      <c r="Q1428" s="83"/>
      <c r="S1428" s="7"/>
      <c r="T1428" s="1318"/>
      <c r="U1428" s="83">
        <v>125</v>
      </c>
      <c r="V1428" s="1560">
        <f t="shared" si="73"/>
        <v>1</v>
      </c>
    </row>
    <row r="1429" spans="1:22" s="159" customFormat="1" ht="18.600000000000001" customHeight="1">
      <c r="C1429" s="149" t="s">
        <v>3892</v>
      </c>
      <c r="D1429" s="150" t="s">
        <v>2277</v>
      </c>
      <c r="E1429" s="151"/>
      <c r="F1429" s="152"/>
      <c r="G1429" s="152" t="s">
        <v>168</v>
      </c>
      <c r="H1429" s="154" t="s">
        <v>169</v>
      </c>
      <c r="I1429" s="155"/>
      <c r="J1429" s="153"/>
      <c r="K1429" s="600">
        <v>0</v>
      </c>
      <c r="L1429" s="601"/>
      <c r="M1429" s="601"/>
      <c r="N1429" s="157">
        <v>45071</v>
      </c>
      <c r="O1429" s="156">
        <v>5259</v>
      </c>
      <c r="P1429" s="164">
        <v>0</v>
      </c>
      <c r="Q1429" s="165">
        <v>0</v>
      </c>
      <c r="S1429" s="7">
        <f t="shared" ref="S1429:S1443" si="78">P1429</f>
        <v>0</v>
      </c>
      <c r="T1429" s="1318">
        <f t="shared" ref="T1429:T1443" si="79">Q1429</f>
        <v>0</v>
      </c>
      <c r="U1429" s="83">
        <v>125</v>
      </c>
      <c r="V1429" s="1560" t="e">
        <f t="shared" si="73"/>
        <v>#DIV/0!</v>
      </c>
    </row>
    <row r="1430" spans="1:22" s="7" customFormat="1" ht="18" customHeight="1">
      <c r="C1430" s="6" t="s">
        <v>3906</v>
      </c>
      <c r="D1430" s="13" t="s">
        <v>2277</v>
      </c>
      <c r="E1430" s="18" t="s">
        <v>19</v>
      </c>
      <c r="F1430" s="23"/>
      <c r="G1430" s="21"/>
      <c r="H1430" s="55"/>
      <c r="I1430" s="56"/>
      <c r="J1430" s="55"/>
      <c r="K1430" s="15" t="s">
        <v>8</v>
      </c>
      <c r="L1430" s="688"/>
      <c r="M1430" s="688"/>
      <c r="N1430" s="346">
        <v>45098</v>
      </c>
      <c r="O1430" s="32">
        <v>5327</v>
      </c>
      <c r="P1430" s="83"/>
      <c r="Q1430" s="83"/>
      <c r="S1430" s="7">
        <f t="shared" si="78"/>
        <v>0</v>
      </c>
      <c r="T1430" s="1318">
        <f t="shared" si="79"/>
        <v>0</v>
      </c>
      <c r="U1430" s="83">
        <v>125</v>
      </c>
      <c r="V1430" s="1560" t="e">
        <f t="shared" si="73"/>
        <v>#VALUE!</v>
      </c>
    </row>
    <row r="1431" spans="1:22" s="7" customFormat="1" ht="18" customHeight="1">
      <c r="C1431" s="6" t="s">
        <v>3906</v>
      </c>
      <c r="D1431" s="13" t="s">
        <v>2277</v>
      </c>
      <c r="E1431" s="740" t="s">
        <v>2793</v>
      </c>
      <c r="F1431" s="23"/>
      <c r="G1431" s="21" t="s">
        <v>25</v>
      </c>
      <c r="H1431" s="93">
        <v>13.7</v>
      </c>
      <c r="I1431" s="94">
        <v>3</v>
      </c>
      <c r="J1431" s="108">
        <f>H1431*I1431</f>
        <v>41.099999999999994</v>
      </c>
      <c r="K1431" s="597">
        <v>4.6900000000000004</v>
      </c>
      <c r="L1431" s="598">
        <f>K1431*J1431</f>
        <v>192.75899999999999</v>
      </c>
      <c r="M1431" s="97" t="s">
        <v>224</v>
      </c>
      <c r="N1431" s="346">
        <v>45098</v>
      </c>
      <c r="O1431" s="32">
        <v>5327</v>
      </c>
      <c r="P1431" s="83">
        <v>410</v>
      </c>
      <c r="Q1431" s="83">
        <f>P1431*J1431</f>
        <v>16850.999999999996</v>
      </c>
      <c r="S1431" s="7">
        <f t="shared" si="78"/>
        <v>410</v>
      </c>
      <c r="T1431" s="1318">
        <f t="shared" si="79"/>
        <v>16850.999999999996</v>
      </c>
      <c r="U1431" s="83">
        <v>125</v>
      </c>
      <c r="V1431" s="1560">
        <f t="shared" si="73"/>
        <v>0.3006396588486141</v>
      </c>
    </row>
    <row r="1432" spans="1:22" ht="18" customHeight="1">
      <c r="C1432" s="6" t="s">
        <v>3906</v>
      </c>
      <c r="D1432" s="13" t="s">
        <v>2277</v>
      </c>
      <c r="E1432" s="21"/>
      <c r="F1432" s="38"/>
      <c r="G1432" s="38" t="s">
        <v>218</v>
      </c>
      <c r="H1432" s="39"/>
      <c r="I1432" s="94"/>
      <c r="J1432" s="39">
        <v>1</v>
      </c>
      <c r="K1432" s="611">
        <v>12</v>
      </c>
      <c r="L1432" s="598">
        <f>K1432*J1432</f>
        <v>12</v>
      </c>
      <c r="M1432" s="898"/>
      <c r="N1432" s="346">
        <v>45098</v>
      </c>
      <c r="O1432" s="32">
        <v>5327</v>
      </c>
      <c r="P1432" s="83">
        <v>0</v>
      </c>
      <c r="Q1432" s="83">
        <f>P1432*J1432</f>
        <v>0</v>
      </c>
      <c r="S1432" s="7">
        <f t="shared" si="78"/>
        <v>0</v>
      </c>
      <c r="T1432" s="1318">
        <f t="shared" si="79"/>
        <v>0</v>
      </c>
      <c r="U1432" s="83">
        <v>125</v>
      </c>
      <c r="V1432" s="1560">
        <f t="shared" si="73"/>
        <v>1</v>
      </c>
    </row>
    <row r="1433" spans="1:22" s="159" customFormat="1" ht="18" customHeight="1">
      <c r="C1433" s="149" t="s">
        <v>3906</v>
      </c>
      <c r="D1433" s="150" t="s">
        <v>2277</v>
      </c>
      <c r="E1433" s="191"/>
      <c r="F1433" s="152"/>
      <c r="G1433" s="152" t="s">
        <v>168</v>
      </c>
      <c r="H1433" s="154" t="s">
        <v>169</v>
      </c>
      <c r="I1433" s="155"/>
      <c r="J1433" s="153"/>
      <c r="K1433" s="600">
        <v>0</v>
      </c>
      <c r="L1433" s="601"/>
      <c r="M1433" s="601"/>
      <c r="N1433" s="1561">
        <v>45098</v>
      </c>
      <c r="O1433" s="156">
        <v>5327</v>
      </c>
      <c r="P1433" s="164">
        <v>0</v>
      </c>
      <c r="Q1433" s="165">
        <v>0</v>
      </c>
      <c r="S1433" s="7">
        <f t="shared" si="78"/>
        <v>0</v>
      </c>
      <c r="T1433" s="1318">
        <f t="shared" si="79"/>
        <v>0</v>
      </c>
      <c r="U1433" s="83">
        <v>125</v>
      </c>
      <c r="V1433" s="1560" t="e">
        <f t="shared" si="73"/>
        <v>#DIV/0!</v>
      </c>
    </row>
    <row r="1434" spans="1:22" s="7" customFormat="1" ht="18" customHeight="1">
      <c r="C1434" s="6" t="s">
        <v>3927</v>
      </c>
      <c r="D1434" s="13" t="s">
        <v>2277</v>
      </c>
      <c r="E1434" s="18" t="s">
        <v>19</v>
      </c>
      <c r="F1434" s="23"/>
      <c r="G1434" s="21"/>
      <c r="H1434" s="55"/>
      <c r="I1434" s="56"/>
      <c r="J1434" s="55"/>
      <c r="K1434" s="15" t="s">
        <v>8</v>
      </c>
      <c r="L1434" s="688"/>
      <c r="M1434" s="688"/>
      <c r="N1434" s="33">
        <v>45105</v>
      </c>
      <c r="O1434" s="32">
        <v>5335</v>
      </c>
      <c r="P1434" s="83"/>
      <c r="Q1434" s="83"/>
      <c r="S1434" s="7">
        <f t="shared" si="78"/>
        <v>0</v>
      </c>
      <c r="T1434" s="1318">
        <f t="shared" si="79"/>
        <v>0</v>
      </c>
      <c r="U1434" s="83">
        <v>125</v>
      </c>
    </row>
    <row r="1435" spans="1:22" s="7" customFormat="1" ht="18" customHeight="1">
      <c r="C1435" s="6" t="s">
        <v>3927</v>
      </c>
      <c r="D1435" s="13" t="s">
        <v>2277</v>
      </c>
      <c r="E1435" s="740" t="s">
        <v>2792</v>
      </c>
      <c r="F1435" s="23"/>
      <c r="G1435" s="21" t="s">
        <v>25</v>
      </c>
      <c r="H1435" s="93">
        <v>13.7</v>
      </c>
      <c r="I1435" s="94">
        <v>2</v>
      </c>
      <c r="J1435" s="108">
        <f>H1435*I1435</f>
        <v>27.4</v>
      </c>
      <c r="K1435" s="597">
        <v>7.19</v>
      </c>
      <c r="L1435" s="598">
        <f>K1435*J1435</f>
        <v>197.006</v>
      </c>
      <c r="M1435" s="97" t="s">
        <v>224</v>
      </c>
      <c r="N1435" s="33">
        <v>45105</v>
      </c>
      <c r="O1435" s="32">
        <v>5335</v>
      </c>
      <c r="P1435" s="83">
        <v>629</v>
      </c>
      <c r="Q1435" s="83">
        <f>P1435*J1435</f>
        <v>17234.599999999999</v>
      </c>
      <c r="S1435" s="7">
        <f t="shared" si="78"/>
        <v>629</v>
      </c>
      <c r="T1435" s="1318">
        <f t="shared" si="79"/>
        <v>17234.599999999999</v>
      </c>
      <c r="U1435" s="83">
        <v>125</v>
      </c>
      <c r="V1435" s="1560">
        <f t="shared" si="73"/>
        <v>0.30013908205841444</v>
      </c>
    </row>
    <row r="1436" spans="1:22" ht="18" customHeight="1">
      <c r="C1436" s="6" t="s">
        <v>3927</v>
      </c>
      <c r="D1436" s="13" t="s">
        <v>2277</v>
      </c>
      <c r="E1436" s="21"/>
      <c r="F1436" s="38"/>
      <c r="G1436" s="38" t="s">
        <v>218</v>
      </c>
      <c r="H1436" s="39"/>
      <c r="I1436" s="94"/>
      <c r="J1436" s="39">
        <v>1</v>
      </c>
      <c r="K1436" s="611">
        <v>12</v>
      </c>
      <c r="L1436" s="598">
        <f>K1436*J1436</f>
        <v>12</v>
      </c>
      <c r="M1436" s="898"/>
      <c r="N1436" s="33">
        <v>45105</v>
      </c>
      <c r="O1436" s="32">
        <v>5335</v>
      </c>
      <c r="P1436" s="83">
        <v>0</v>
      </c>
      <c r="Q1436" s="83">
        <f>P1436*J1436</f>
        <v>0</v>
      </c>
      <c r="R1436" s="700"/>
      <c r="S1436" s="7">
        <f t="shared" si="78"/>
        <v>0</v>
      </c>
      <c r="T1436" s="1318">
        <f t="shared" si="79"/>
        <v>0</v>
      </c>
      <c r="U1436" s="83">
        <v>125</v>
      </c>
    </row>
    <row r="1437" spans="1:22" s="159" customFormat="1" ht="18" customHeight="1">
      <c r="C1437" s="149" t="s">
        <v>3927</v>
      </c>
      <c r="D1437" s="150" t="s">
        <v>2277</v>
      </c>
      <c r="E1437" s="191"/>
      <c r="F1437" s="152"/>
      <c r="G1437" s="152" t="s">
        <v>168</v>
      </c>
      <c r="H1437" s="154" t="s">
        <v>169</v>
      </c>
      <c r="I1437" s="155"/>
      <c r="J1437" s="153"/>
      <c r="K1437" s="600">
        <v>0</v>
      </c>
      <c r="L1437" s="601"/>
      <c r="M1437" s="601"/>
      <c r="N1437" s="157">
        <v>45105</v>
      </c>
      <c r="O1437" s="156">
        <v>5335</v>
      </c>
      <c r="P1437" s="164">
        <v>0</v>
      </c>
      <c r="Q1437" s="165">
        <v>0</v>
      </c>
      <c r="S1437" s="7">
        <f t="shared" si="78"/>
        <v>0</v>
      </c>
      <c r="T1437" s="1318">
        <f t="shared" si="79"/>
        <v>0</v>
      </c>
      <c r="U1437" s="83">
        <v>125</v>
      </c>
    </row>
    <row r="1438" spans="1:22" s="7" customFormat="1" ht="18" customHeight="1">
      <c r="C1438" s="1483" t="s">
        <v>3926</v>
      </c>
      <c r="D1438" s="13" t="s">
        <v>2771</v>
      </c>
      <c r="E1438" s="18" t="s">
        <v>3923</v>
      </c>
      <c r="F1438" s="23"/>
      <c r="G1438" s="21"/>
      <c r="H1438" s="39"/>
      <c r="I1438" s="56"/>
      <c r="J1438" s="55"/>
      <c r="K1438" s="15" t="s">
        <v>8</v>
      </c>
      <c r="L1438" s="33"/>
      <c r="M1438" s="33"/>
      <c r="N1438" s="33">
        <v>45103</v>
      </c>
      <c r="O1438" s="32">
        <v>5340</v>
      </c>
      <c r="P1438" s="1477" t="s">
        <v>3713</v>
      </c>
      <c r="Q1438" s="83"/>
      <c r="S1438" s="7" t="str">
        <f t="shared" si="78"/>
        <v>新単価 + カット代</v>
      </c>
      <c r="T1438" s="1318">
        <f t="shared" si="79"/>
        <v>0</v>
      </c>
      <c r="U1438" s="83">
        <v>125</v>
      </c>
    </row>
    <row r="1439" spans="1:22" s="7" customFormat="1" ht="18" customHeight="1">
      <c r="C1439" s="1483" t="s">
        <v>3926</v>
      </c>
      <c r="D1439" s="13" t="s">
        <v>2771</v>
      </c>
      <c r="E1439" s="886" t="s">
        <v>3924</v>
      </c>
      <c r="F1439" s="23" t="s">
        <v>2491</v>
      </c>
      <c r="G1439" s="21" t="s">
        <v>3925</v>
      </c>
      <c r="H1439" s="93"/>
      <c r="I1439" s="94"/>
      <c r="J1439" s="55">
        <v>3</v>
      </c>
      <c r="K1439" s="597">
        <v>24.35</v>
      </c>
      <c r="L1439" s="598">
        <f>K1439*J1439</f>
        <v>73.050000000000011</v>
      </c>
      <c r="M1439" s="97" t="s">
        <v>224</v>
      </c>
      <c r="N1439" s="33">
        <v>45103</v>
      </c>
      <c r="O1439" s="32">
        <v>5340</v>
      </c>
      <c r="P1439" s="83">
        <f>1830+300</f>
        <v>2130</v>
      </c>
      <c r="Q1439" s="83">
        <f>P1439*J1439</f>
        <v>6390</v>
      </c>
      <c r="S1439" s="7">
        <f t="shared" si="78"/>
        <v>2130</v>
      </c>
      <c r="T1439" s="1318">
        <f t="shared" si="79"/>
        <v>6390</v>
      </c>
      <c r="U1439" s="83">
        <v>125</v>
      </c>
      <c r="V1439" s="1560">
        <f t="shared" si="73"/>
        <v>0.30020533880903488</v>
      </c>
    </row>
    <row r="1440" spans="1:22" ht="18" customHeight="1">
      <c r="C1440" s="1483" t="s">
        <v>3926</v>
      </c>
      <c r="D1440" s="13" t="s">
        <v>2771</v>
      </c>
      <c r="E1440" s="48"/>
      <c r="F1440" s="38"/>
      <c r="G1440" s="38" t="s">
        <v>218</v>
      </c>
      <c r="H1440" s="39"/>
      <c r="I1440" s="94"/>
      <c r="J1440" s="39">
        <v>1</v>
      </c>
      <c r="K1440" s="611">
        <v>12</v>
      </c>
      <c r="L1440" s="598">
        <f>K1440*J1440</f>
        <v>12</v>
      </c>
      <c r="M1440" s="898"/>
      <c r="N1440" s="33">
        <v>45103</v>
      </c>
      <c r="O1440" s="32">
        <v>5340</v>
      </c>
      <c r="P1440" s="83">
        <v>0</v>
      </c>
      <c r="Q1440" s="83">
        <f>P1440*J1440</f>
        <v>0</v>
      </c>
      <c r="S1440" s="7">
        <f t="shared" si="78"/>
        <v>0</v>
      </c>
      <c r="T1440" s="1318">
        <f t="shared" si="79"/>
        <v>0</v>
      </c>
      <c r="U1440" s="83">
        <v>125</v>
      </c>
    </row>
    <row r="1441" spans="1:23" s="159" customFormat="1" ht="18" customHeight="1">
      <c r="C1441" s="1484" t="s">
        <v>3926</v>
      </c>
      <c r="D1441" s="150" t="s">
        <v>2771</v>
      </c>
      <c r="E1441" s="151"/>
      <c r="F1441" s="152"/>
      <c r="G1441" s="152" t="s">
        <v>168</v>
      </c>
      <c r="H1441" s="918" t="s">
        <v>2776</v>
      </c>
      <c r="I1441" s="155"/>
      <c r="J1441" s="153"/>
      <c r="K1441" s="600">
        <v>0</v>
      </c>
      <c r="L1441" s="601"/>
      <c r="M1441" s="601"/>
      <c r="N1441" s="157">
        <v>45103</v>
      </c>
      <c r="O1441" s="156">
        <v>5340</v>
      </c>
      <c r="P1441" s="164">
        <v>0</v>
      </c>
      <c r="Q1441" s="165">
        <v>0</v>
      </c>
      <c r="S1441" s="7">
        <f t="shared" si="78"/>
        <v>0</v>
      </c>
      <c r="T1441" s="1318">
        <f t="shared" si="79"/>
        <v>0</v>
      </c>
      <c r="U1441" s="83">
        <v>125</v>
      </c>
    </row>
    <row r="1442" spans="1:23" s="7" customFormat="1" ht="18" customHeight="1">
      <c r="C1442" s="6" t="s">
        <v>3951</v>
      </c>
      <c r="D1442" s="13" t="s">
        <v>1812</v>
      </c>
      <c r="E1442" s="18" t="s">
        <v>3952</v>
      </c>
      <c r="F1442" s="92"/>
      <c r="G1442" s="21"/>
      <c r="H1442" s="93"/>
      <c r="I1442" s="94"/>
      <c r="J1442" s="93"/>
      <c r="K1442" s="95" t="s">
        <v>8</v>
      </c>
      <c r="L1442" s="33"/>
      <c r="M1442" s="33"/>
      <c r="N1442" s="33">
        <v>45138</v>
      </c>
      <c r="O1442" s="32">
        <v>5411</v>
      </c>
      <c r="P1442" s="83"/>
      <c r="Q1442" s="83"/>
      <c r="S1442" s="7">
        <f t="shared" si="78"/>
        <v>0</v>
      </c>
      <c r="T1442" s="1318">
        <f t="shared" si="79"/>
        <v>0</v>
      </c>
      <c r="U1442" s="83">
        <v>125</v>
      </c>
      <c r="V1442" s="1560" t="e">
        <f>(((K1442*U1442)-P1442)/(K1442*U1442))</f>
        <v>#VALUE!</v>
      </c>
    </row>
    <row r="1443" spans="1:23" s="7" customFormat="1" ht="18" customHeight="1">
      <c r="C1443" s="6" t="s">
        <v>3951</v>
      </c>
      <c r="D1443" s="13" t="s">
        <v>1812</v>
      </c>
      <c r="E1443" s="21">
        <v>3920</v>
      </c>
      <c r="F1443" s="596">
        <v>19</v>
      </c>
      <c r="G1443" s="21" t="s">
        <v>3954</v>
      </c>
      <c r="H1443" s="93">
        <v>30</v>
      </c>
      <c r="I1443" s="94">
        <v>4</v>
      </c>
      <c r="J1443" s="8">
        <f>H1443*I1443</f>
        <v>120</v>
      </c>
      <c r="K1443" s="597">
        <v>0.62</v>
      </c>
      <c r="L1443" s="598">
        <f>K1443*J1443</f>
        <v>74.400000000000006</v>
      </c>
      <c r="M1443" s="97" t="s">
        <v>224</v>
      </c>
      <c r="N1443" s="33">
        <v>45138</v>
      </c>
      <c r="O1443" s="32">
        <v>5411</v>
      </c>
      <c r="P1443" s="83">
        <v>40.799999999999997</v>
      </c>
      <c r="Q1443" s="83">
        <f>P1443*J1443</f>
        <v>4896</v>
      </c>
      <c r="S1443" s="7">
        <f t="shared" si="78"/>
        <v>40.799999999999997</v>
      </c>
      <c r="T1443" s="1318">
        <f t="shared" si="79"/>
        <v>4896</v>
      </c>
      <c r="U1443" s="83">
        <v>125</v>
      </c>
      <c r="V1443" s="1560">
        <f>(((K1443*U1443)-P1443)/(K1443*U1443))</f>
        <v>0.47354838709677421</v>
      </c>
    </row>
    <row r="1444" spans="1:23" ht="18" customHeight="1">
      <c r="C1444" s="6" t="s">
        <v>3951</v>
      </c>
      <c r="D1444" s="13" t="s">
        <v>1812</v>
      </c>
      <c r="E1444" s="48"/>
      <c r="F1444" s="38"/>
      <c r="G1444" s="38" t="s">
        <v>218</v>
      </c>
      <c r="H1444" s="39"/>
      <c r="I1444" s="94"/>
      <c r="J1444" s="39">
        <v>1</v>
      </c>
      <c r="K1444" s="611">
        <v>12</v>
      </c>
      <c r="L1444" s="598">
        <f>K1444*J1444</f>
        <v>12</v>
      </c>
      <c r="M1444" s="898"/>
      <c r="N1444" s="33">
        <v>45138</v>
      </c>
      <c r="O1444" s="32">
        <v>5411</v>
      </c>
      <c r="P1444" s="83">
        <v>0</v>
      </c>
      <c r="Q1444" s="83">
        <f>P1444*J1444</f>
        <v>0</v>
      </c>
      <c r="S1444" s="7">
        <f t="shared" ref="S1444:S1453" si="80">P1444</f>
        <v>0</v>
      </c>
      <c r="T1444" s="1318">
        <f t="shared" ref="T1444:T1453" si="81">Q1444</f>
        <v>0</v>
      </c>
      <c r="U1444" s="83">
        <v>125</v>
      </c>
    </row>
    <row r="1445" spans="1:23" s="159" customFormat="1" ht="18" customHeight="1">
      <c r="C1445" s="149" t="s">
        <v>3951</v>
      </c>
      <c r="D1445" s="150" t="s">
        <v>1812</v>
      </c>
      <c r="E1445" s="151"/>
      <c r="F1445" s="152"/>
      <c r="G1445" s="152" t="s">
        <v>168</v>
      </c>
      <c r="H1445" s="918" t="s">
        <v>169</v>
      </c>
      <c r="I1445" s="155"/>
      <c r="J1445" s="153"/>
      <c r="K1445" s="600">
        <v>0</v>
      </c>
      <c r="L1445" s="601"/>
      <c r="M1445" s="601"/>
      <c r="N1445" s="157">
        <v>45138</v>
      </c>
      <c r="O1445" s="156">
        <v>5411</v>
      </c>
      <c r="P1445" s="164">
        <v>0</v>
      </c>
      <c r="Q1445" s="165">
        <v>0</v>
      </c>
      <c r="S1445" s="7">
        <f t="shared" si="80"/>
        <v>0</v>
      </c>
      <c r="T1445" s="1318">
        <f t="shared" si="81"/>
        <v>0</v>
      </c>
      <c r="U1445" s="83">
        <v>125</v>
      </c>
    </row>
    <row r="1446" spans="1:23" s="7" customFormat="1" ht="18" customHeight="1">
      <c r="C1446" s="1483" t="s">
        <v>3955</v>
      </c>
      <c r="D1446" s="13" t="s">
        <v>2771</v>
      </c>
      <c r="E1446" s="18" t="s">
        <v>3923</v>
      </c>
      <c r="F1446" s="23"/>
      <c r="G1446" s="21"/>
      <c r="H1446" s="39"/>
      <c r="I1446" s="56"/>
      <c r="J1446" s="55"/>
      <c r="K1446" s="15" t="s">
        <v>8</v>
      </c>
      <c r="L1446" s="33"/>
      <c r="M1446" s="33"/>
      <c r="N1446" s="33">
        <v>45155</v>
      </c>
      <c r="O1446" s="32">
        <v>5431</v>
      </c>
      <c r="P1446" s="1477"/>
      <c r="Q1446" s="83"/>
      <c r="S1446" s="7">
        <f t="shared" si="80"/>
        <v>0</v>
      </c>
      <c r="T1446" s="1318">
        <f t="shared" si="81"/>
        <v>0</v>
      </c>
      <c r="U1446" s="83">
        <v>125</v>
      </c>
    </row>
    <row r="1447" spans="1:23" s="7" customFormat="1" ht="18" customHeight="1">
      <c r="C1447" s="1483" t="s">
        <v>3955</v>
      </c>
      <c r="D1447" s="13" t="s">
        <v>2771</v>
      </c>
      <c r="E1447" s="886" t="s">
        <v>3924</v>
      </c>
      <c r="F1447" s="23" t="s">
        <v>2491</v>
      </c>
      <c r="G1447" s="21" t="s">
        <v>3925</v>
      </c>
      <c r="H1447" s="1572">
        <v>44.4</v>
      </c>
      <c r="I1447" s="94">
        <v>1</v>
      </c>
      <c r="J1447" s="107">
        <f t="shared" ref="J1447:J1452" si="82">H1447*I1447</f>
        <v>44.4</v>
      </c>
      <c r="K1447" s="597">
        <v>20.92</v>
      </c>
      <c r="L1447" s="598">
        <f t="shared" ref="L1447:L1452" si="83">K1447*J1447</f>
        <v>928.84800000000007</v>
      </c>
      <c r="M1447" s="97" t="s">
        <v>224</v>
      </c>
      <c r="N1447" s="33">
        <v>45155</v>
      </c>
      <c r="O1447" s="32">
        <v>5431</v>
      </c>
      <c r="P1447" s="83">
        <f>1830</f>
        <v>1830</v>
      </c>
      <c r="Q1447" s="83">
        <f t="shared" ref="Q1447:Q1452" si="84">P1447*J1447</f>
        <v>81252</v>
      </c>
      <c r="S1447" s="7">
        <f t="shared" si="80"/>
        <v>1830</v>
      </c>
      <c r="T1447" s="1318">
        <f t="shared" si="81"/>
        <v>81252</v>
      </c>
      <c r="U1447" s="83">
        <v>125</v>
      </c>
      <c r="V1447" s="1560">
        <f t="shared" ref="V1447:V1452" si="85">(((K1447*U1447)-P1447)/(K1447*U1447))</f>
        <v>0.30019120458891013</v>
      </c>
    </row>
    <row r="1448" spans="1:23" s="7" customFormat="1" ht="18" customHeight="1">
      <c r="C1448" s="1483" t="s">
        <v>3955</v>
      </c>
      <c r="D1448" s="13" t="s">
        <v>2771</v>
      </c>
      <c r="E1448" s="886" t="s">
        <v>3924</v>
      </c>
      <c r="F1448" s="23" t="s">
        <v>2491</v>
      </c>
      <c r="G1448" s="21" t="s">
        <v>3925</v>
      </c>
      <c r="H1448" s="1572">
        <v>44.7</v>
      </c>
      <c r="I1448" s="94">
        <v>2</v>
      </c>
      <c r="J1448" s="107">
        <f t="shared" si="82"/>
        <v>89.4</v>
      </c>
      <c r="K1448" s="597">
        <v>20.92</v>
      </c>
      <c r="L1448" s="598">
        <f t="shared" si="83"/>
        <v>1870.2480000000003</v>
      </c>
      <c r="M1448" s="97" t="s">
        <v>224</v>
      </c>
      <c r="N1448" s="33">
        <v>45155</v>
      </c>
      <c r="O1448" s="32">
        <v>5431</v>
      </c>
      <c r="P1448" s="83">
        <f>1830</f>
        <v>1830</v>
      </c>
      <c r="Q1448" s="83">
        <f t="shared" si="84"/>
        <v>163602</v>
      </c>
      <c r="S1448" s="7">
        <f t="shared" ref="S1448:T1452" si="86">P1448</f>
        <v>1830</v>
      </c>
      <c r="T1448" s="1318">
        <f t="shared" si="86"/>
        <v>163602</v>
      </c>
      <c r="U1448" s="83">
        <v>125</v>
      </c>
      <c r="V1448" s="1560">
        <f t="shared" si="85"/>
        <v>0.30019120458891013</v>
      </c>
    </row>
    <row r="1449" spans="1:23" s="7" customFormat="1" ht="18" customHeight="1">
      <c r="C1449" s="1483" t="s">
        <v>3955</v>
      </c>
      <c r="D1449" s="13" t="s">
        <v>2771</v>
      </c>
      <c r="E1449" s="886" t="s">
        <v>3924</v>
      </c>
      <c r="F1449" s="23" t="s">
        <v>2491</v>
      </c>
      <c r="G1449" s="21" t="s">
        <v>3925</v>
      </c>
      <c r="H1449" s="1572">
        <v>43.9</v>
      </c>
      <c r="I1449" s="94">
        <v>1</v>
      </c>
      <c r="J1449" s="107">
        <f t="shared" si="82"/>
        <v>43.9</v>
      </c>
      <c r="K1449" s="597">
        <v>20.92</v>
      </c>
      <c r="L1449" s="598">
        <f t="shared" si="83"/>
        <v>918.38800000000003</v>
      </c>
      <c r="M1449" s="97" t="s">
        <v>224</v>
      </c>
      <c r="N1449" s="33">
        <v>45155</v>
      </c>
      <c r="O1449" s="32">
        <v>5431</v>
      </c>
      <c r="P1449" s="83">
        <f>1830</f>
        <v>1830</v>
      </c>
      <c r="Q1449" s="83">
        <f t="shared" si="84"/>
        <v>80337</v>
      </c>
      <c r="S1449" s="7">
        <f t="shared" si="86"/>
        <v>1830</v>
      </c>
      <c r="T1449" s="1318">
        <f t="shared" si="86"/>
        <v>80337</v>
      </c>
      <c r="U1449" s="83">
        <v>125</v>
      </c>
      <c r="V1449" s="1560">
        <f t="shared" si="85"/>
        <v>0.30019120458891013</v>
      </c>
    </row>
    <row r="1450" spans="1:23" s="7" customFormat="1" ht="18" customHeight="1">
      <c r="C1450" s="1483" t="s">
        <v>3955</v>
      </c>
      <c r="D1450" s="13" t="s">
        <v>2771</v>
      </c>
      <c r="E1450" s="886" t="s">
        <v>3924</v>
      </c>
      <c r="F1450" s="23" t="s">
        <v>2491</v>
      </c>
      <c r="G1450" s="21" t="s">
        <v>3925</v>
      </c>
      <c r="H1450" s="1572">
        <v>44.9</v>
      </c>
      <c r="I1450" s="94">
        <v>1</v>
      </c>
      <c r="J1450" s="107">
        <f t="shared" si="82"/>
        <v>44.9</v>
      </c>
      <c r="K1450" s="597">
        <v>20.92</v>
      </c>
      <c r="L1450" s="598">
        <f t="shared" si="83"/>
        <v>939.30799999999999</v>
      </c>
      <c r="M1450" s="97" t="s">
        <v>224</v>
      </c>
      <c r="N1450" s="33">
        <v>45155</v>
      </c>
      <c r="O1450" s="32">
        <v>5431</v>
      </c>
      <c r="P1450" s="83">
        <f>1830</f>
        <v>1830</v>
      </c>
      <c r="Q1450" s="83">
        <f t="shared" si="84"/>
        <v>82167</v>
      </c>
      <c r="S1450" s="7">
        <f t="shared" si="86"/>
        <v>1830</v>
      </c>
      <c r="T1450" s="1318">
        <f t="shared" si="86"/>
        <v>82167</v>
      </c>
      <c r="U1450" s="83">
        <v>125</v>
      </c>
      <c r="V1450" s="1560">
        <f t="shared" si="85"/>
        <v>0.30019120458891013</v>
      </c>
    </row>
    <row r="1451" spans="1:23" s="7" customFormat="1" ht="18" customHeight="1">
      <c r="C1451" s="1483" t="s">
        <v>3955</v>
      </c>
      <c r="D1451" s="13" t="s">
        <v>2771</v>
      </c>
      <c r="E1451" s="886" t="s">
        <v>3924</v>
      </c>
      <c r="F1451" s="23" t="s">
        <v>2491</v>
      </c>
      <c r="G1451" s="21" t="s">
        <v>3925</v>
      </c>
      <c r="H1451" s="1572">
        <v>44.6</v>
      </c>
      <c r="I1451" s="94">
        <v>1</v>
      </c>
      <c r="J1451" s="107">
        <f t="shared" si="82"/>
        <v>44.6</v>
      </c>
      <c r="K1451" s="597">
        <v>20.92</v>
      </c>
      <c r="L1451" s="598">
        <f t="shared" si="83"/>
        <v>933.03200000000015</v>
      </c>
      <c r="M1451" s="97" t="s">
        <v>224</v>
      </c>
      <c r="N1451" s="33">
        <v>45155</v>
      </c>
      <c r="O1451" s="32">
        <v>5431</v>
      </c>
      <c r="P1451" s="83">
        <f>1830</f>
        <v>1830</v>
      </c>
      <c r="Q1451" s="83">
        <f t="shared" si="84"/>
        <v>81618</v>
      </c>
      <c r="S1451" s="7">
        <f t="shared" si="86"/>
        <v>1830</v>
      </c>
      <c r="T1451" s="1318">
        <f t="shared" si="86"/>
        <v>81618</v>
      </c>
      <c r="U1451" s="83">
        <v>125</v>
      </c>
      <c r="V1451" s="1560">
        <f t="shared" si="85"/>
        <v>0.30019120458891013</v>
      </c>
    </row>
    <row r="1452" spans="1:23" s="7" customFormat="1" ht="18" customHeight="1">
      <c r="C1452" s="1483" t="s">
        <v>3955</v>
      </c>
      <c r="D1452" s="13" t="s">
        <v>2771</v>
      </c>
      <c r="E1452" s="886" t="s">
        <v>3924</v>
      </c>
      <c r="F1452" s="23" t="s">
        <v>2491</v>
      </c>
      <c r="G1452" s="21" t="s">
        <v>3925</v>
      </c>
      <c r="H1452" s="1572">
        <v>44.8</v>
      </c>
      <c r="I1452" s="94">
        <v>1</v>
      </c>
      <c r="J1452" s="107">
        <f t="shared" si="82"/>
        <v>44.8</v>
      </c>
      <c r="K1452" s="597">
        <v>20.92</v>
      </c>
      <c r="L1452" s="598">
        <f t="shared" si="83"/>
        <v>937.21600000000001</v>
      </c>
      <c r="M1452" s="97" t="s">
        <v>224</v>
      </c>
      <c r="N1452" s="33">
        <v>45155</v>
      </c>
      <c r="O1452" s="32">
        <v>5431</v>
      </c>
      <c r="P1452" s="83">
        <f>1830</f>
        <v>1830</v>
      </c>
      <c r="Q1452" s="83">
        <f t="shared" si="84"/>
        <v>81984</v>
      </c>
      <c r="S1452" s="7">
        <f t="shared" si="86"/>
        <v>1830</v>
      </c>
      <c r="T1452" s="1318">
        <f t="shared" si="86"/>
        <v>81984</v>
      </c>
      <c r="U1452" s="83">
        <v>125</v>
      </c>
      <c r="V1452" s="1560">
        <f t="shared" si="85"/>
        <v>0.30019120458891013</v>
      </c>
    </row>
    <row r="1453" spans="1:23" s="159" customFormat="1" ht="18" customHeight="1">
      <c r="C1453" s="1484" t="s">
        <v>3955</v>
      </c>
      <c r="D1453" s="150" t="s">
        <v>2771</v>
      </c>
      <c r="E1453" s="191"/>
      <c r="F1453" s="152"/>
      <c r="G1453" s="152" t="s">
        <v>168</v>
      </c>
      <c r="H1453" s="918" t="s">
        <v>2776</v>
      </c>
      <c r="I1453" s="155"/>
      <c r="J1453" s="153"/>
      <c r="K1453" s="600">
        <v>0</v>
      </c>
      <c r="L1453" s="601"/>
      <c r="M1453" s="601"/>
      <c r="N1453" s="157">
        <v>45155</v>
      </c>
      <c r="O1453" s="156">
        <v>5431</v>
      </c>
      <c r="P1453" s="164">
        <v>0</v>
      </c>
      <c r="Q1453" s="165">
        <v>0</v>
      </c>
      <c r="S1453" s="7">
        <f t="shared" si="80"/>
        <v>0</v>
      </c>
      <c r="T1453" s="1318">
        <f t="shared" si="81"/>
        <v>0</v>
      </c>
      <c r="U1453" s="83">
        <v>125</v>
      </c>
    </row>
    <row r="1454" spans="1:23" s="7" customFormat="1" ht="18" customHeight="1">
      <c r="A1454" s="7" t="s">
        <v>3970</v>
      </c>
      <c r="C1454" s="1483" t="s">
        <v>3956</v>
      </c>
      <c r="D1454" s="13" t="s">
        <v>3957</v>
      </c>
      <c r="E1454" s="18" t="s">
        <v>3958</v>
      </c>
      <c r="F1454" s="23"/>
      <c r="G1454" s="21"/>
      <c r="H1454" s="39"/>
      <c r="I1454" s="56"/>
      <c r="J1454" s="55"/>
      <c r="K1454" s="15" t="s">
        <v>8</v>
      </c>
      <c r="L1454" s="33"/>
      <c r="M1454" s="33"/>
      <c r="N1454" s="33">
        <v>45159</v>
      </c>
      <c r="O1454" s="32">
        <v>5448</v>
      </c>
      <c r="P1454" s="1477"/>
      <c r="Q1454" s="83"/>
      <c r="S1454" s="7">
        <f t="shared" ref="S1454:T1461" si="87">P1454</f>
        <v>0</v>
      </c>
      <c r="T1454" s="1318">
        <f t="shared" si="87"/>
        <v>0</v>
      </c>
      <c r="U1454" s="83">
        <v>125</v>
      </c>
    </row>
    <row r="1455" spans="1:23" s="7" customFormat="1" ht="18" customHeight="1">
      <c r="A1455" s="7" t="s">
        <v>3970</v>
      </c>
      <c r="C1455" s="1483" t="s">
        <v>3956</v>
      </c>
      <c r="D1455" s="13" t="s">
        <v>3957</v>
      </c>
      <c r="E1455" s="21" t="s">
        <v>3959</v>
      </c>
      <c r="F1455" s="596"/>
      <c r="G1455" s="38" t="s">
        <v>3960</v>
      </c>
      <c r="H1455" s="39"/>
      <c r="I1455" s="94"/>
      <c r="J1455" s="39">
        <v>1</v>
      </c>
      <c r="K1455" s="1573">
        <v>6</v>
      </c>
      <c r="L1455" s="1573">
        <f t="shared" ref="L1455:L1464" si="88">K1455*J1455</f>
        <v>6</v>
      </c>
      <c r="M1455" s="97" t="s">
        <v>224</v>
      </c>
      <c r="N1455" s="33">
        <v>45159</v>
      </c>
      <c r="O1455" s="32">
        <v>5448</v>
      </c>
      <c r="P1455" s="83"/>
      <c r="Q1455" s="83">
        <f t="shared" ref="Q1455:Q1464" si="89">P1455*J1455</f>
        <v>0</v>
      </c>
      <c r="R1455" s="1"/>
      <c r="S1455" s="7">
        <f t="shared" si="87"/>
        <v>0</v>
      </c>
      <c r="T1455" s="1318">
        <f t="shared" si="87"/>
        <v>0</v>
      </c>
      <c r="U1455" s="83">
        <v>125</v>
      </c>
      <c r="V1455" s="1"/>
      <c r="W1455" s="1"/>
    </row>
    <row r="1456" spans="1:23" s="7" customFormat="1" ht="18" customHeight="1">
      <c r="A1456" s="7" t="s">
        <v>3970</v>
      </c>
      <c r="C1456" s="1483" t="s">
        <v>3956</v>
      </c>
      <c r="D1456" s="13" t="s">
        <v>3957</v>
      </c>
      <c r="E1456" s="21" t="s">
        <v>3961</v>
      </c>
      <c r="F1456" s="596"/>
      <c r="G1456" s="38" t="s">
        <v>3960</v>
      </c>
      <c r="H1456" s="39"/>
      <c r="I1456" s="94"/>
      <c r="J1456" s="39">
        <v>1</v>
      </c>
      <c r="K1456" s="1573">
        <v>6</v>
      </c>
      <c r="L1456" s="1573">
        <f t="shared" si="88"/>
        <v>6</v>
      </c>
      <c r="M1456" s="97" t="s">
        <v>224</v>
      </c>
      <c r="N1456" s="33">
        <v>45159</v>
      </c>
      <c r="O1456" s="32">
        <v>5448</v>
      </c>
      <c r="P1456" s="83">
        <v>500</v>
      </c>
      <c r="Q1456" s="83">
        <f t="shared" si="89"/>
        <v>500</v>
      </c>
      <c r="R1456" s="1"/>
      <c r="S1456" s="7">
        <f t="shared" si="87"/>
        <v>500</v>
      </c>
      <c r="T1456" s="1318">
        <f t="shared" si="87"/>
        <v>500</v>
      </c>
      <c r="U1456" s="83">
        <v>115</v>
      </c>
      <c r="V1456" s="1560">
        <f t="shared" ref="V1456:V1464" si="90">(((K1456*U1456)-P1456)/(K1456*U1456))</f>
        <v>0.27536231884057971</v>
      </c>
      <c r="W1456" s="1"/>
    </row>
    <row r="1457" spans="1:23" s="7" customFormat="1" ht="18" customHeight="1">
      <c r="A1457" s="7" t="s">
        <v>3970</v>
      </c>
      <c r="C1457" s="1483" t="s">
        <v>3956</v>
      </c>
      <c r="D1457" s="13" t="s">
        <v>3957</v>
      </c>
      <c r="E1457" s="21" t="s">
        <v>3962</v>
      </c>
      <c r="F1457" s="596"/>
      <c r="G1457" s="38" t="s">
        <v>3960</v>
      </c>
      <c r="H1457" s="39"/>
      <c r="I1457" s="94"/>
      <c r="J1457" s="39">
        <v>1</v>
      </c>
      <c r="K1457" s="1573">
        <v>6</v>
      </c>
      <c r="L1457" s="1573">
        <f t="shared" si="88"/>
        <v>6</v>
      </c>
      <c r="M1457" s="97" t="s">
        <v>224</v>
      </c>
      <c r="N1457" s="33">
        <v>45159</v>
      </c>
      <c r="O1457" s="32">
        <v>5448</v>
      </c>
      <c r="P1457" s="83">
        <v>500</v>
      </c>
      <c r="Q1457" s="83">
        <f t="shared" si="89"/>
        <v>500</v>
      </c>
      <c r="R1457" s="1"/>
      <c r="S1457" s="7">
        <f t="shared" si="87"/>
        <v>500</v>
      </c>
      <c r="T1457" s="1318">
        <f t="shared" si="87"/>
        <v>500</v>
      </c>
      <c r="U1457" s="83">
        <v>115</v>
      </c>
      <c r="V1457" s="1560">
        <f t="shared" si="90"/>
        <v>0.27536231884057971</v>
      </c>
      <c r="W1457" s="1"/>
    </row>
    <row r="1458" spans="1:23" s="7" customFormat="1" ht="18" customHeight="1">
      <c r="A1458" s="7" t="s">
        <v>3970</v>
      </c>
      <c r="C1458" s="1483" t="s">
        <v>3956</v>
      </c>
      <c r="D1458" s="13" t="s">
        <v>3957</v>
      </c>
      <c r="E1458" s="21" t="s">
        <v>3963</v>
      </c>
      <c r="F1458" s="596"/>
      <c r="G1458" s="38" t="s">
        <v>3960</v>
      </c>
      <c r="H1458" s="39"/>
      <c r="I1458" s="94"/>
      <c r="J1458" s="39">
        <v>1</v>
      </c>
      <c r="K1458" s="1573">
        <v>6</v>
      </c>
      <c r="L1458" s="1573">
        <f t="shared" si="88"/>
        <v>6</v>
      </c>
      <c r="M1458" s="97" t="s">
        <v>224</v>
      </c>
      <c r="N1458" s="33">
        <v>45159</v>
      </c>
      <c r="O1458" s="32">
        <v>5448</v>
      </c>
      <c r="P1458" s="83">
        <v>500</v>
      </c>
      <c r="Q1458" s="83">
        <f t="shared" si="89"/>
        <v>500</v>
      </c>
      <c r="R1458" s="1"/>
      <c r="S1458" s="7">
        <f t="shared" si="87"/>
        <v>500</v>
      </c>
      <c r="T1458" s="1318">
        <f t="shared" si="87"/>
        <v>500</v>
      </c>
      <c r="U1458" s="83">
        <v>115</v>
      </c>
      <c r="V1458" s="1560">
        <f t="shared" si="90"/>
        <v>0.27536231884057971</v>
      </c>
      <c r="W1458" s="1"/>
    </row>
    <row r="1459" spans="1:23" s="7" customFormat="1" ht="18" customHeight="1">
      <c r="A1459" s="7" t="s">
        <v>3970</v>
      </c>
      <c r="C1459" s="1483" t="s">
        <v>3956</v>
      </c>
      <c r="D1459" s="13" t="s">
        <v>3957</v>
      </c>
      <c r="E1459" s="21" t="s">
        <v>3964</v>
      </c>
      <c r="F1459" s="596"/>
      <c r="G1459" s="38" t="s">
        <v>3960</v>
      </c>
      <c r="H1459" s="39"/>
      <c r="I1459" s="94"/>
      <c r="J1459" s="39">
        <v>1</v>
      </c>
      <c r="K1459" s="1573">
        <v>6</v>
      </c>
      <c r="L1459" s="1573">
        <f t="shared" si="88"/>
        <v>6</v>
      </c>
      <c r="M1459" s="97" t="s">
        <v>224</v>
      </c>
      <c r="N1459" s="33">
        <v>45159</v>
      </c>
      <c r="O1459" s="32">
        <v>5448</v>
      </c>
      <c r="P1459" s="83">
        <v>500</v>
      </c>
      <c r="Q1459" s="83">
        <f t="shared" si="89"/>
        <v>500</v>
      </c>
      <c r="R1459" s="1"/>
      <c r="S1459" s="7">
        <f t="shared" si="87"/>
        <v>500</v>
      </c>
      <c r="T1459" s="1318">
        <f t="shared" si="87"/>
        <v>500</v>
      </c>
      <c r="U1459" s="83">
        <v>115</v>
      </c>
      <c r="V1459" s="1560">
        <f t="shared" si="90"/>
        <v>0.27536231884057971</v>
      </c>
      <c r="W1459" s="1"/>
    </row>
    <row r="1460" spans="1:23" s="7" customFormat="1" ht="18" customHeight="1">
      <c r="A1460" s="7" t="s">
        <v>3970</v>
      </c>
      <c r="C1460" s="1483" t="s">
        <v>3956</v>
      </c>
      <c r="D1460" s="13" t="s">
        <v>3957</v>
      </c>
      <c r="E1460" s="21" t="s">
        <v>3965</v>
      </c>
      <c r="F1460" s="596"/>
      <c r="G1460" s="38" t="s">
        <v>3960</v>
      </c>
      <c r="H1460" s="39"/>
      <c r="I1460" s="94"/>
      <c r="J1460" s="39">
        <v>1</v>
      </c>
      <c r="K1460" s="1573">
        <v>6</v>
      </c>
      <c r="L1460" s="1573">
        <f t="shared" si="88"/>
        <v>6</v>
      </c>
      <c r="M1460" s="97" t="s">
        <v>224</v>
      </c>
      <c r="N1460" s="33">
        <v>45159</v>
      </c>
      <c r="O1460" s="32">
        <v>5448</v>
      </c>
      <c r="P1460" s="83">
        <v>360</v>
      </c>
      <c r="Q1460" s="83">
        <f t="shared" si="89"/>
        <v>360</v>
      </c>
      <c r="R1460" s="1"/>
      <c r="S1460" s="7">
        <f t="shared" si="87"/>
        <v>360</v>
      </c>
      <c r="T1460" s="1318">
        <f t="shared" si="87"/>
        <v>360</v>
      </c>
      <c r="U1460" s="83">
        <v>115</v>
      </c>
      <c r="V1460" s="1560">
        <f t="shared" si="90"/>
        <v>0.47826086956521741</v>
      </c>
      <c r="W1460" s="1"/>
    </row>
    <row r="1461" spans="1:23" s="7" customFormat="1" ht="18" customHeight="1">
      <c r="A1461" s="7" t="s">
        <v>3970</v>
      </c>
      <c r="C1461" s="1483" t="s">
        <v>3956</v>
      </c>
      <c r="D1461" s="13" t="s">
        <v>3957</v>
      </c>
      <c r="E1461" s="21" t="s">
        <v>3966</v>
      </c>
      <c r="F1461" s="596"/>
      <c r="G1461" s="38" t="s">
        <v>3960</v>
      </c>
      <c r="H1461" s="39"/>
      <c r="I1461" s="94"/>
      <c r="J1461" s="39">
        <v>1</v>
      </c>
      <c r="K1461" s="1573">
        <v>6</v>
      </c>
      <c r="L1461" s="1573">
        <f t="shared" si="88"/>
        <v>6</v>
      </c>
      <c r="M1461" s="97" t="s">
        <v>224</v>
      </c>
      <c r="N1461" s="33">
        <v>45159</v>
      </c>
      <c r="O1461" s="32">
        <v>5448</v>
      </c>
      <c r="P1461" s="83">
        <v>360</v>
      </c>
      <c r="Q1461" s="83">
        <f t="shared" si="89"/>
        <v>360</v>
      </c>
      <c r="R1461" s="1"/>
      <c r="S1461" s="7">
        <f t="shared" si="87"/>
        <v>360</v>
      </c>
      <c r="T1461" s="1318">
        <f t="shared" si="87"/>
        <v>360</v>
      </c>
      <c r="U1461" s="83">
        <v>115</v>
      </c>
      <c r="V1461" s="1560">
        <f t="shared" si="90"/>
        <v>0.47826086956521741</v>
      </c>
      <c r="W1461" s="1"/>
    </row>
    <row r="1462" spans="1:23" s="7" customFormat="1" ht="18" customHeight="1">
      <c r="A1462" s="7" t="s">
        <v>3970</v>
      </c>
      <c r="C1462" s="1483" t="s">
        <v>3956</v>
      </c>
      <c r="D1462" s="13" t="s">
        <v>3957</v>
      </c>
      <c r="E1462" s="21" t="s">
        <v>3967</v>
      </c>
      <c r="F1462" s="596"/>
      <c r="G1462" s="38" t="s">
        <v>3960</v>
      </c>
      <c r="H1462" s="39"/>
      <c r="I1462" s="94"/>
      <c r="J1462" s="39">
        <v>1</v>
      </c>
      <c r="K1462" s="1573">
        <v>6</v>
      </c>
      <c r="L1462" s="1573">
        <f t="shared" si="88"/>
        <v>6</v>
      </c>
      <c r="M1462" s="97" t="s">
        <v>224</v>
      </c>
      <c r="N1462" s="33">
        <v>45159</v>
      </c>
      <c r="O1462" s="32">
        <v>5448</v>
      </c>
      <c r="P1462" s="83">
        <v>300</v>
      </c>
      <c r="Q1462" s="83">
        <f t="shared" si="89"/>
        <v>300</v>
      </c>
      <c r="R1462" s="1"/>
      <c r="S1462" s="7">
        <f t="shared" ref="S1462:S1473" si="91">P1462</f>
        <v>300</v>
      </c>
      <c r="T1462" s="1318">
        <f t="shared" ref="T1462:T1473" si="92">Q1462</f>
        <v>300</v>
      </c>
      <c r="U1462" s="83">
        <v>115</v>
      </c>
      <c r="V1462" s="1560">
        <f t="shared" si="90"/>
        <v>0.56521739130434778</v>
      </c>
      <c r="W1462" s="1"/>
    </row>
    <row r="1463" spans="1:23" s="7" customFormat="1" ht="18" customHeight="1">
      <c r="A1463" s="7" t="s">
        <v>3970</v>
      </c>
      <c r="C1463" s="1483" t="s">
        <v>3956</v>
      </c>
      <c r="D1463" s="13" t="s">
        <v>3957</v>
      </c>
      <c r="E1463" s="21" t="s">
        <v>3968</v>
      </c>
      <c r="F1463" s="596"/>
      <c r="G1463" s="38" t="s">
        <v>3960</v>
      </c>
      <c r="H1463" s="39"/>
      <c r="I1463" s="94"/>
      <c r="J1463" s="39">
        <v>1</v>
      </c>
      <c r="K1463" s="1573">
        <v>6</v>
      </c>
      <c r="L1463" s="1573">
        <f t="shared" si="88"/>
        <v>6</v>
      </c>
      <c r="M1463" s="97" t="s">
        <v>224</v>
      </c>
      <c r="N1463" s="33">
        <v>45159</v>
      </c>
      <c r="O1463" s="32">
        <v>5448</v>
      </c>
      <c r="P1463" s="83">
        <v>420</v>
      </c>
      <c r="Q1463" s="83">
        <f t="shared" si="89"/>
        <v>420</v>
      </c>
      <c r="R1463" s="1"/>
      <c r="S1463" s="7">
        <f t="shared" si="91"/>
        <v>420</v>
      </c>
      <c r="T1463" s="1318">
        <f t="shared" si="92"/>
        <v>420</v>
      </c>
      <c r="U1463" s="83">
        <v>115</v>
      </c>
      <c r="V1463" s="1560">
        <f t="shared" si="90"/>
        <v>0.39130434782608697</v>
      </c>
      <c r="W1463" s="1"/>
    </row>
    <row r="1464" spans="1:23" s="7" customFormat="1" ht="18" customHeight="1">
      <c r="A1464" s="7" t="s">
        <v>3970</v>
      </c>
      <c r="C1464" s="1483" t="s">
        <v>3956</v>
      </c>
      <c r="D1464" s="13" t="s">
        <v>3957</v>
      </c>
      <c r="E1464" s="21" t="s">
        <v>3969</v>
      </c>
      <c r="F1464" s="596"/>
      <c r="G1464" s="38" t="s">
        <v>3960</v>
      </c>
      <c r="H1464" s="39"/>
      <c r="I1464" s="94"/>
      <c r="J1464" s="39">
        <v>1</v>
      </c>
      <c r="K1464" s="1573">
        <v>6</v>
      </c>
      <c r="L1464" s="1573">
        <f t="shared" si="88"/>
        <v>6</v>
      </c>
      <c r="M1464" s="97" t="s">
        <v>224</v>
      </c>
      <c r="N1464" s="33">
        <v>45159</v>
      </c>
      <c r="O1464" s="32">
        <v>5448</v>
      </c>
      <c r="P1464" s="83">
        <v>300</v>
      </c>
      <c r="Q1464" s="83">
        <f t="shared" si="89"/>
        <v>300</v>
      </c>
      <c r="R1464" s="1"/>
      <c r="S1464" s="7">
        <f t="shared" si="91"/>
        <v>300</v>
      </c>
      <c r="T1464" s="1318">
        <f t="shared" si="92"/>
        <v>300</v>
      </c>
      <c r="U1464" s="83">
        <v>115</v>
      </c>
      <c r="V1464" s="1560">
        <f t="shared" si="90"/>
        <v>0.56521739130434778</v>
      </c>
      <c r="W1464" s="1"/>
    </row>
    <row r="1465" spans="1:23" s="7" customFormat="1" ht="18" customHeight="1">
      <c r="C1465" s="1483" t="s">
        <v>3956</v>
      </c>
      <c r="D1465" s="13" t="s">
        <v>3957</v>
      </c>
      <c r="E1465" s="21"/>
      <c r="F1465" s="596"/>
      <c r="G1465" s="38" t="s">
        <v>218</v>
      </c>
      <c r="H1465" s="39"/>
      <c r="I1465" s="94"/>
      <c r="J1465" s="39"/>
      <c r="K1465" s="1573">
        <v>0</v>
      </c>
      <c r="L1465" s="1573">
        <v>0</v>
      </c>
      <c r="M1465" s="97"/>
      <c r="N1465" s="33">
        <v>45159</v>
      </c>
      <c r="O1465" s="32">
        <v>5448</v>
      </c>
      <c r="P1465" s="83">
        <f>1100+650</f>
        <v>1750</v>
      </c>
      <c r="Q1465" s="83">
        <f>1100+650</f>
        <v>1750</v>
      </c>
      <c r="R1465" s="1"/>
      <c r="S1465" s="7">
        <f t="shared" si="91"/>
        <v>1750</v>
      </c>
      <c r="T1465" s="83">
        <f>1100+650</f>
        <v>1750</v>
      </c>
      <c r="U1465" s="83"/>
      <c r="V1465" s="1560"/>
      <c r="W1465" s="1"/>
    </row>
    <row r="1466" spans="1:23" s="159" customFormat="1" ht="18" customHeight="1">
      <c r="A1466" s="7" t="s">
        <v>3970</v>
      </c>
      <c r="C1466" s="1484" t="s">
        <v>3956</v>
      </c>
      <c r="D1466" s="150" t="s">
        <v>3957</v>
      </c>
      <c r="E1466" s="191"/>
      <c r="F1466" s="152"/>
      <c r="G1466" s="152" t="s">
        <v>168</v>
      </c>
      <c r="H1466" s="918" t="s">
        <v>2776</v>
      </c>
      <c r="I1466" s="155"/>
      <c r="J1466" s="153"/>
      <c r="K1466" s="160">
        <v>0</v>
      </c>
      <c r="L1466" s="601"/>
      <c r="M1466" s="601"/>
      <c r="N1466" s="157">
        <v>45159</v>
      </c>
      <c r="O1466" s="156">
        <v>5448</v>
      </c>
      <c r="P1466" s="164">
        <v>0</v>
      </c>
      <c r="Q1466" s="165">
        <v>0</v>
      </c>
      <c r="S1466" s="7">
        <f t="shared" si="91"/>
        <v>0</v>
      </c>
      <c r="T1466" s="1318">
        <f t="shared" si="92"/>
        <v>0</v>
      </c>
      <c r="U1466" s="83">
        <v>125</v>
      </c>
    </row>
    <row r="1467" spans="1:23" s="7" customFormat="1" ht="18" customHeight="1">
      <c r="C1467" s="1483" t="s">
        <v>3985</v>
      </c>
      <c r="D1467" s="13" t="s">
        <v>1812</v>
      </c>
      <c r="E1467" s="18" t="s">
        <v>3986</v>
      </c>
      <c r="F1467" s="23"/>
      <c r="G1467" s="21"/>
      <c r="H1467" s="39"/>
      <c r="I1467" s="56"/>
      <c r="J1467" s="55"/>
      <c r="K1467" s="15" t="s">
        <v>8</v>
      </c>
      <c r="L1467" s="33"/>
      <c r="M1467" s="33"/>
      <c r="N1467" s="33">
        <v>45174</v>
      </c>
      <c r="O1467" s="32">
        <v>5503</v>
      </c>
      <c r="P1467" s="1477"/>
      <c r="Q1467" s="83"/>
      <c r="S1467" s="7">
        <f t="shared" si="91"/>
        <v>0</v>
      </c>
      <c r="T1467" s="1318">
        <f t="shared" si="92"/>
        <v>0</v>
      </c>
      <c r="U1467" s="83">
        <v>125</v>
      </c>
    </row>
    <row r="1468" spans="1:23" s="7" customFormat="1" ht="18" customHeight="1">
      <c r="C1468" s="1483" t="s">
        <v>3985</v>
      </c>
      <c r="D1468" s="13" t="s">
        <v>1812</v>
      </c>
      <c r="E1468" s="21">
        <v>4105</v>
      </c>
      <c r="F1468" s="23">
        <v>3</v>
      </c>
      <c r="G1468" s="21" t="s">
        <v>3987</v>
      </c>
      <c r="H1468" s="93">
        <v>30</v>
      </c>
      <c r="I1468" s="94">
        <v>1</v>
      </c>
      <c r="J1468" s="55">
        <f>H1468*I1468</f>
        <v>30</v>
      </c>
      <c r="K1468" s="597">
        <v>3.45</v>
      </c>
      <c r="L1468" s="598">
        <f>K1468*J1468</f>
        <v>103.5</v>
      </c>
      <c r="M1468" s="97" t="s">
        <v>224</v>
      </c>
      <c r="N1468" s="33">
        <v>45174</v>
      </c>
      <c r="O1468" s="32">
        <v>5503</v>
      </c>
      <c r="P1468" s="83">
        <v>248</v>
      </c>
      <c r="Q1468" s="83">
        <f>P1468*J1468</f>
        <v>7440</v>
      </c>
      <c r="S1468" s="7">
        <f t="shared" si="91"/>
        <v>248</v>
      </c>
      <c r="T1468" s="1318">
        <f t="shared" si="92"/>
        <v>7440</v>
      </c>
      <c r="U1468" s="83">
        <v>125</v>
      </c>
      <c r="V1468" s="1560">
        <f>(((K1468*U1468)-P1468)/(K1468*U1468))</f>
        <v>0.42492753623188406</v>
      </c>
    </row>
    <row r="1469" spans="1:23" ht="18" customHeight="1">
      <c r="C1469" s="1483" t="s">
        <v>3985</v>
      </c>
      <c r="D1469" s="13" t="s">
        <v>1812</v>
      </c>
      <c r="E1469" s="48"/>
      <c r="F1469" s="38"/>
      <c r="G1469" s="38" t="s">
        <v>218</v>
      </c>
      <c r="H1469" s="39"/>
      <c r="I1469" s="94"/>
      <c r="J1469" s="39">
        <v>1</v>
      </c>
      <c r="K1469" s="611">
        <v>12</v>
      </c>
      <c r="L1469" s="598">
        <f>K1469*J1469</f>
        <v>12</v>
      </c>
      <c r="M1469" s="898"/>
      <c r="N1469" s="33">
        <v>45174</v>
      </c>
      <c r="O1469" s="32">
        <v>5503</v>
      </c>
      <c r="P1469" s="83">
        <v>1100</v>
      </c>
      <c r="Q1469" s="83">
        <f>P1469*J1469</f>
        <v>1100</v>
      </c>
      <c r="S1469" s="7">
        <f t="shared" si="91"/>
        <v>1100</v>
      </c>
      <c r="T1469" s="1318">
        <f t="shared" si="92"/>
        <v>1100</v>
      </c>
      <c r="U1469" s="83">
        <v>125</v>
      </c>
    </row>
    <row r="1470" spans="1:23" s="159" customFormat="1" ht="18" customHeight="1">
      <c r="C1470" s="1484" t="s">
        <v>3985</v>
      </c>
      <c r="D1470" s="150" t="s">
        <v>1812</v>
      </c>
      <c r="E1470" s="191"/>
      <c r="F1470" s="152"/>
      <c r="G1470" s="152" t="s">
        <v>168</v>
      </c>
      <c r="H1470" s="918" t="s">
        <v>2776</v>
      </c>
      <c r="I1470" s="155"/>
      <c r="J1470" s="153"/>
      <c r="K1470" s="600">
        <v>0</v>
      </c>
      <c r="L1470" s="601"/>
      <c r="M1470" s="601"/>
      <c r="N1470" s="157">
        <v>45174</v>
      </c>
      <c r="O1470" s="156">
        <v>5503</v>
      </c>
      <c r="P1470" s="164">
        <v>0</v>
      </c>
      <c r="Q1470" s="165">
        <v>0</v>
      </c>
      <c r="S1470" s="7">
        <f t="shared" si="91"/>
        <v>0</v>
      </c>
      <c r="T1470" s="1318">
        <f t="shared" si="92"/>
        <v>0</v>
      </c>
      <c r="U1470" s="83">
        <v>125</v>
      </c>
    </row>
    <row r="1471" spans="1:23" s="7" customFormat="1" ht="18" customHeight="1">
      <c r="C1471" s="6" t="s">
        <v>3988</v>
      </c>
      <c r="D1471" s="13" t="s">
        <v>1812</v>
      </c>
      <c r="E1471" s="18" t="s">
        <v>79</v>
      </c>
      <c r="F1471" s="92"/>
      <c r="G1471" s="21"/>
      <c r="H1471" s="93"/>
      <c r="I1471" s="94"/>
      <c r="J1471" s="93"/>
      <c r="K1471" s="95" t="s">
        <v>8</v>
      </c>
      <c r="L1471" s="33"/>
      <c r="M1471" s="33"/>
      <c r="N1471" s="33">
        <v>45189</v>
      </c>
      <c r="O1471" s="32">
        <v>5534</v>
      </c>
      <c r="P1471" s="83"/>
      <c r="Q1471" s="83"/>
      <c r="S1471" s="7">
        <f t="shared" si="91"/>
        <v>0</v>
      </c>
      <c r="T1471" s="1318">
        <f t="shared" si="92"/>
        <v>0</v>
      </c>
      <c r="U1471" s="83">
        <v>125</v>
      </c>
      <c r="V1471" s="1560" t="e">
        <f t="shared" ref="V1471:V1482" si="93">(((K1471*U1471)-P1471)/(K1471*U1471))</f>
        <v>#VALUE!</v>
      </c>
    </row>
    <row r="1472" spans="1:23" s="7" customFormat="1" ht="18" customHeight="1">
      <c r="C1472" s="6" t="s">
        <v>3988</v>
      </c>
      <c r="D1472" s="13" t="s">
        <v>1812</v>
      </c>
      <c r="E1472" s="21">
        <v>4141</v>
      </c>
      <c r="F1472" s="596">
        <v>9</v>
      </c>
      <c r="G1472" s="21" t="s">
        <v>258</v>
      </c>
      <c r="H1472" s="93">
        <v>20</v>
      </c>
      <c r="I1472" s="94">
        <v>5</v>
      </c>
      <c r="J1472" s="55">
        <f>H1472*I1472</f>
        <v>100</v>
      </c>
      <c r="K1472" s="597">
        <v>1.33</v>
      </c>
      <c r="L1472" s="598">
        <f>K1472*J1472</f>
        <v>133</v>
      </c>
      <c r="M1472" s="97" t="s">
        <v>224</v>
      </c>
      <c r="N1472" s="33">
        <v>45189</v>
      </c>
      <c r="O1472" s="32">
        <v>5534</v>
      </c>
      <c r="P1472" s="83">
        <v>97</v>
      </c>
      <c r="Q1472" s="83">
        <f>P1472*J1472</f>
        <v>9700</v>
      </c>
      <c r="S1472" s="7">
        <f t="shared" si="91"/>
        <v>97</v>
      </c>
      <c r="T1472" s="1318">
        <f t="shared" si="92"/>
        <v>9700</v>
      </c>
      <c r="U1472" s="83">
        <v>125</v>
      </c>
      <c r="V1472" s="1560">
        <f t="shared" si="93"/>
        <v>0.41654135338345866</v>
      </c>
    </row>
    <row r="1473" spans="1:22" ht="18" customHeight="1">
      <c r="C1473" s="6" t="s">
        <v>3988</v>
      </c>
      <c r="D1473" s="13" t="s">
        <v>1812</v>
      </c>
      <c r="E1473" s="21"/>
      <c r="F1473" s="38"/>
      <c r="G1473" s="38" t="s">
        <v>218</v>
      </c>
      <c r="H1473" s="39"/>
      <c r="I1473" s="94"/>
      <c r="J1473" s="39">
        <v>1</v>
      </c>
      <c r="K1473" s="611">
        <v>12</v>
      </c>
      <c r="L1473" s="598">
        <f>K1473*J1473</f>
        <v>12</v>
      </c>
      <c r="M1473" s="898"/>
      <c r="N1473" s="33">
        <v>45189</v>
      </c>
      <c r="O1473" s="32">
        <v>5534</v>
      </c>
      <c r="P1473" s="83">
        <v>0</v>
      </c>
      <c r="Q1473" s="83">
        <f>P1473*J1473</f>
        <v>0</v>
      </c>
      <c r="S1473" s="7">
        <f t="shared" si="91"/>
        <v>0</v>
      </c>
      <c r="T1473" s="1318">
        <f t="shared" si="92"/>
        <v>0</v>
      </c>
      <c r="U1473" s="83">
        <v>125</v>
      </c>
      <c r="V1473" s="1560">
        <f t="shared" si="93"/>
        <v>1</v>
      </c>
    </row>
    <row r="1474" spans="1:22" s="159" customFormat="1" ht="18" customHeight="1">
      <c r="C1474" s="149" t="s">
        <v>3988</v>
      </c>
      <c r="D1474" s="150" t="s">
        <v>1812</v>
      </c>
      <c r="E1474" s="191"/>
      <c r="F1474" s="152"/>
      <c r="G1474" s="152" t="s">
        <v>168</v>
      </c>
      <c r="H1474" s="154" t="s">
        <v>169</v>
      </c>
      <c r="I1474" s="155"/>
      <c r="J1474" s="153"/>
      <c r="K1474" s="600">
        <v>0</v>
      </c>
      <c r="L1474" s="601"/>
      <c r="M1474" s="601"/>
      <c r="N1474" s="157">
        <v>45189</v>
      </c>
      <c r="O1474" s="156">
        <v>5534</v>
      </c>
      <c r="P1474" s="164">
        <v>0</v>
      </c>
      <c r="Q1474" s="165">
        <v>0</v>
      </c>
      <c r="T1474" s="1317"/>
      <c r="U1474" s="83">
        <v>125</v>
      </c>
      <c r="V1474" s="1560" t="e">
        <f t="shared" si="93"/>
        <v>#DIV/0!</v>
      </c>
    </row>
    <row r="1475" spans="1:22" customFormat="1" ht="18.600000000000001" customHeight="1">
      <c r="A1475" s="1"/>
      <c r="B1475" s="25"/>
      <c r="C1475" s="6" t="s">
        <v>4024</v>
      </c>
      <c r="D1475" s="13" t="s">
        <v>2277</v>
      </c>
      <c r="E1475" s="18" t="s">
        <v>4049</v>
      </c>
      <c r="F1475" s="92"/>
      <c r="G1475" s="21"/>
      <c r="H1475" s="93"/>
      <c r="I1475" s="94"/>
      <c r="J1475" s="93"/>
      <c r="K1475" s="95" t="s">
        <v>8</v>
      </c>
      <c r="L1475" s="33"/>
      <c r="M1475" s="33"/>
      <c r="N1475" s="33">
        <v>45306</v>
      </c>
      <c r="O1475" s="32">
        <v>5820</v>
      </c>
      <c r="P1475" s="1603" t="s">
        <v>4044</v>
      </c>
      <c r="Q1475" s="1449"/>
      <c r="R1475" s="1"/>
      <c r="S1475" s="1450"/>
      <c r="T1475" s="83"/>
      <c r="U1475" s="83">
        <v>125</v>
      </c>
      <c r="V1475" s="1560" t="e">
        <f t="shared" si="93"/>
        <v>#VALUE!</v>
      </c>
    </row>
    <row r="1476" spans="1:22" customFormat="1" ht="18.600000000000001" customHeight="1">
      <c r="B1476" s="11"/>
      <c r="C1476" s="6" t="s">
        <v>4024</v>
      </c>
      <c r="D1476" s="13" t="s">
        <v>2277</v>
      </c>
      <c r="E1476" s="18" t="s">
        <v>3623</v>
      </c>
      <c r="F1476" s="92" t="s">
        <v>3624</v>
      </c>
      <c r="G1476" s="21" t="s">
        <v>4043</v>
      </c>
      <c r="H1476" s="8">
        <v>10</v>
      </c>
      <c r="I1476" s="35">
        <v>1</v>
      </c>
      <c r="J1476" s="8">
        <f>H1476*I1476</f>
        <v>10</v>
      </c>
      <c r="K1476" s="611">
        <v>18.23</v>
      </c>
      <c r="L1476" s="598">
        <f>K1476*J1476</f>
        <v>182.3</v>
      </c>
      <c r="M1476" s="97" t="s">
        <v>224</v>
      </c>
      <c r="N1476" s="33">
        <v>45306</v>
      </c>
      <c r="O1476" s="32">
        <v>5820</v>
      </c>
      <c r="P1476" s="83">
        <f>1420+300</f>
        <v>1720</v>
      </c>
      <c r="Q1476" s="83">
        <f>P1476*J1476</f>
        <v>17200</v>
      </c>
      <c r="R1476" s="7"/>
      <c r="S1476" s="7">
        <f>P1476</f>
        <v>1720</v>
      </c>
      <c r="T1476" s="1318">
        <f>Q1476</f>
        <v>17200</v>
      </c>
      <c r="U1476" s="83">
        <v>125</v>
      </c>
      <c r="V1476" s="1560">
        <f t="shared" si="93"/>
        <v>0.24520021941854087</v>
      </c>
    </row>
    <row r="1477" spans="1:22" customFormat="1" ht="18.600000000000001" customHeight="1">
      <c r="B1477" s="11"/>
      <c r="C1477" s="6" t="s">
        <v>4024</v>
      </c>
      <c r="D1477" s="13" t="s">
        <v>2277</v>
      </c>
      <c r="E1477" s="18" t="s">
        <v>3623</v>
      </c>
      <c r="F1477" s="92" t="s">
        <v>3624</v>
      </c>
      <c r="G1477" s="21" t="s">
        <v>4043</v>
      </c>
      <c r="H1477" s="8">
        <v>10</v>
      </c>
      <c r="I1477" s="35">
        <v>1</v>
      </c>
      <c r="J1477" s="8">
        <f>H1477*I1477</f>
        <v>10</v>
      </c>
      <c r="K1477" s="611">
        <v>18.23</v>
      </c>
      <c r="L1477" s="598">
        <f>K1477*J1477</f>
        <v>182.3</v>
      </c>
      <c r="M1477" s="97" t="s">
        <v>224</v>
      </c>
      <c r="N1477" s="33">
        <v>45306</v>
      </c>
      <c r="O1477" s="32">
        <v>5820</v>
      </c>
      <c r="P1477" s="83">
        <f>1420+300</f>
        <v>1720</v>
      </c>
      <c r="Q1477" s="83">
        <f>P1477*J1477</f>
        <v>17200</v>
      </c>
      <c r="R1477" s="7"/>
      <c r="S1477" s="7">
        <f>P1477</f>
        <v>1720</v>
      </c>
      <c r="T1477" s="1318">
        <f>Q1477</f>
        <v>17200</v>
      </c>
      <c r="U1477" s="83">
        <v>125</v>
      </c>
      <c r="V1477" s="1560">
        <f>(((K1477*U1477)-P1477)/(K1477*U1477))</f>
        <v>0.24520021941854087</v>
      </c>
    </row>
    <row r="1478" spans="1:22" ht="18.600000000000001" customHeight="1">
      <c r="C1478" s="6" t="s">
        <v>4024</v>
      </c>
      <c r="D1478" s="13" t="s">
        <v>2277</v>
      </c>
      <c r="E1478" s="21"/>
      <c r="F1478" s="38"/>
      <c r="G1478" s="38" t="s">
        <v>218</v>
      </c>
      <c r="H1478" s="39"/>
      <c r="I1478" s="94"/>
      <c r="J1478" s="39">
        <v>1</v>
      </c>
      <c r="K1478" s="611">
        <v>12</v>
      </c>
      <c r="L1478" s="598">
        <f>K1478*J1478</f>
        <v>12</v>
      </c>
      <c r="M1478" s="898"/>
      <c r="N1478" s="33">
        <v>45306</v>
      </c>
      <c r="O1478" s="32">
        <v>5820</v>
      </c>
      <c r="P1478" s="83"/>
      <c r="Q1478" s="83"/>
      <c r="S1478" s="7"/>
      <c r="T1478" s="1318"/>
      <c r="U1478" s="83">
        <v>125</v>
      </c>
      <c r="V1478" s="1560">
        <f t="shared" si="93"/>
        <v>1</v>
      </c>
    </row>
    <row r="1479" spans="1:22" s="159" customFormat="1" ht="18.600000000000001" customHeight="1">
      <c r="C1479" s="149" t="s">
        <v>4024</v>
      </c>
      <c r="D1479" s="150" t="s">
        <v>2277</v>
      </c>
      <c r="E1479" s="151"/>
      <c r="F1479" s="152"/>
      <c r="G1479" s="152" t="s">
        <v>168</v>
      </c>
      <c r="H1479" s="154" t="s">
        <v>169</v>
      </c>
      <c r="I1479" s="155"/>
      <c r="J1479" s="153"/>
      <c r="K1479" s="600">
        <v>0</v>
      </c>
      <c r="L1479" s="601"/>
      <c r="M1479" s="601"/>
      <c r="N1479" s="157">
        <v>45306</v>
      </c>
      <c r="O1479" s="156">
        <v>5820</v>
      </c>
      <c r="P1479" s="164">
        <v>0</v>
      </c>
      <c r="Q1479" s="165">
        <v>0</v>
      </c>
      <c r="S1479" s="7">
        <f t="shared" ref="S1479:T1485" si="94">P1479</f>
        <v>0</v>
      </c>
      <c r="T1479" s="1318">
        <f t="shared" si="94"/>
        <v>0</v>
      </c>
      <c r="U1479" s="83">
        <v>125</v>
      </c>
      <c r="V1479" s="1560" t="e">
        <f t="shared" si="93"/>
        <v>#DIV/0!</v>
      </c>
    </row>
    <row r="1480" spans="1:22" s="7" customFormat="1" ht="18" customHeight="1">
      <c r="C1480" s="6" t="s">
        <v>4025</v>
      </c>
      <c r="D1480" s="13" t="s">
        <v>1812</v>
      </c>
      <c r="E1480" s="18" t="s">
        <v>2745</v>
      </c>
      <c r="F1480" s="23"/>
      <c r="G1480" s="21"/>
      <c r="H1480" s="55"/>
      <c r="I1480" s="56"/>
      <c r="J1480" s="55"/>
      <c r="K1480" s="15" t="s">
        <v>8</v>
      </c>
      <c r="L1480" s="33"/>
      <c r="M1480" s="33"/>
      <c r="N1480" s="33">
        <v>45209</v>
      </c>
      <c r="O1480" s="32">
        <v>5575</v>
      </c>
      <c r="P1480" s="83"/>
      <c r="Q1480" s="83"/>
      <c r="S1480" s="7">
        <f t="shared" si="94"/>
        <v>0</v>
      </c>
      <c r="T1480" s="1318">
        <f t="shared" si="94"/>
        <v>0</v>
      </c>
      <c r="U1480" s="83">
        <v>125</v>
      </c>
    </row>
    <row r="1481" spans="1:22" ht="18" customHeight="1">
      <c r="C1481" s="6" t="s">
        <v>4025</v>
      </c>
      <c r="D1481" s="13" t="s">
        <v>1812</v>
      </c>
      <c r="E1481" s="21">
        <v>5636</v>
      </c>
      <c r="F1481" s="23" t="s">
        <v>1808</v>
      </c>
      <c r="G1481" s="21" t="s">
        <v>3690</v>
      </c>
      <c r="H1481" s="93">
        <v>50</v>
      </c>
      <c r="I1481" s="94">
        <v>2</v>
      </c>
      <c r="J1481" s="55">
        <f>H1481*I1481</f>
        <v>100</v>
      </c>
      <c r="K1481" s="597">
        <v>0.46</v>
      </c>
      <c r="L1481" s="598">
        <f>K1481*J1481</f>
        <v>46</v>
      </c>
      <c r="M1481" s="97" t="s">
        <v>224</v>
      </c>
      <c r="N1481" s="33">
        <v>45209</v>
      </c>
      <c r="O1481" s="32">
        <v>5575</v>
      </c>
      <c r="P1481" s="83">
        <v>30</v>
      </c>
      <c r="Q1481" s="83">
        <f>P1481*J1481</f>
        <v>3000</v>
      </c>
      <c r="R1481" s="700"/>
      <c r="S1481" s="7">
        <f t="shared" si="94"/>
        <v>30</v>
      </c>
      <c r="T1481" s="1318">
        <f t="shared" si="94"/>
        <v>3000</v>
      </c>
      <c r="U1481" s="83">
        <v>125</v>
      </c>
      <c r="V1481" s="1560">
        <f t="shared" si="93"/>
        <v>0.47826086956521741</v>
      </c>
    </row>
    <row r="1482" spans="1:22" ht="18" customHeight="1">
      <c r="C1482" s="6" t="s">
        <v>4025</v>
      </c>
      <c r="D1482" s="13" t="s">
        <v>1812</v>
      </c>
      <c r="E1482" s="21"/>
      <c r="F1482" s="38"/>
      <c r="G1482" s="38" t="s">
        <v>218</v>
      </c>
      <c r="H1482" s="39"/>
      <c r="I1482" s="94"/>
      <c r="J1482" s="39">
        <v>1</v>
      </c>
      <c r="K1482" s="611">
        <v>12</v>
      </c>
      <c r="L1482" s="598">
        <f>K1482*J1482</f>
        <v>12</v>
      </c>
      <c r="M1482" s="33"/>
      <c r="N1482" s="33">
        <v>45209</v>
      </c>
      <c r="O1482" s="32">
        <v>5575</v>
      </c>
      <c r="P1482" s="83">
        <v>1100</v>
      </c>
      <c r="Q1482" s="83">
        <f>P1482*J1482</f>
        <v>1100</v>
      </c>
      <c r="S1482" s="7">
        <f t="shared" si="94"/>
        <v>1100</v>
      </c>
      <c r="T1482" s="1318">
        <f t="shared" si="94"/>
        <v>1100</v>
      </c>
      <c r="U1482" s="83">
        <v>125</v>
      </c>
      <c r="V1482" s="1560">
        <f t="shared" si="93"/>
        <v>0.26666666666666666</v>
      </c>
    </row>
    <row r="1483" spans="1:22" s="159" customFormat="1" ht="18" customHeight="1">
      <c r="C1483" s="149" t="s">
        <v>4025</v>
      </c>
      <c r="D1483" s="150" t="s">
        <v>1812</v>
      </c>
      <c r="E1483" s="151"/>
      <c r="F1483" s="152"/>
      <c r="G1483" s="152" t="s">
        <v>168</v>
      </c>
      <c r="H1483" s="154" t="s">
        <v>169</v>
      </c>
      <c r="I1483" s="155"/>
      <c r="J1483" s="153"/>
      <c r="K1483" s="600">
        <v>0</v>
      </c>
      <c r="L1483" s="601"/>
      <c r="M1483" s="601"/>
      <c r="N1483" s="157">
        <v>45209</v>
      </c>
      <c r="O1483" s="156">
        <v>5575</v>
      </c>
      <c r="P1483" s="164">
        <v>0</v>
      </c>
      <c r="Q1483" s="165">
        <v>0</v>
      </c>
      <c r="S1483" s="7">
        <f t="shared" si="94"/>
        <v>0</v>
      </c>
      <c r="T1483" s="1318">
        <f t="shared" si="94"/>
        <v>0</v>
      </c>
      <c r="U1483" s="83">
        <v>125</v>
      </c>
    </row>
    <row r="1484" spans="1:22" s="7" customFormat="1" ht="18" customHeight="1">
      <c r="C1484" s="6" t="s">
        <v>4033</v>
      </c>
      <c r="D1484" s="13" t="s">
        <v>4034</v>
      </c>
      <c r="E1484" s="18" t="s">
        <v>2185</v>
      </c>
      <c r="F1484" s="23"/>
      <c r="G1484" s="21"/>
      <c r="H1484" s="55"/>
      <c r="I1484" s="56"/>
      <c r="J1484" s="55"/>
      <c r="K1484" s="15" t="s">
        <v>8</v>
      </c>
      <c r="L1484" s="10"/>
      <c r="M1484" s="10"/>
      <c r="N1484" s="10">
        <v>45210</v>
      </c>
      <c r="O1484" s="1592">
        <v>5581</v>
      </c>
      <c r="P1484" s="83"/>
      <c r="Q1484" s="83"/>
      <c r="S1484" s="7">
        <f t="shared" si="94"/>
        <v>0</v>
      </c>
      <c r="T1484" s="1318">
        <f t="shared" si="94"/>
        <v>0</v>
      </c>
      <c r="U1484" s="83">
        <v>125</v>
      </c>
    </row>
    <row r="1485" spans="1:22" s="7" customFormat="1" ht="18" customHeight="1">
      <c r="C1485" s="6" t="s">
        <v>4033</v>
      </c>
      <c r="D1485" s="13" t="s">
        <v>4034</v>
      </c>
      <c r="E1485" s="1598">
        <v>71658</v>
      </c>
      <c r="F1485" s="23"/>
      <c r="G1485" s="1593" t="s">
        <v>4039</v>
      </c>
      <c r="H1485" s="93"/>
      <c r="I1485" s="94"/>
      <c r="J1485" s="55">
        <v>3</v>
      </c>
      <c r="K1485" s="597">
        <v>2.1399999999999997</v>
      </c>
      <c r="L1485" s="598">
        <f t="shared" ref="L1485:L1495" si="95">K1485*J1485</f>
        <v>6.419999999999999</v>
      </c>
      <c r="M1485" s="97" t="s">
        <v>224</v>
      </c>
      <c r="N1485" s="10">
        <v>45210</v>
      </c>
      <c r="O1485" s="1592">
        <v>5581</v>
      </c>
      <c r="P1485" s="591">
        <v>154</v>
      </c>
      <c r="Q1485" s="83">
        <f t="shared" ref="Q1485:Q1495" si="96">P1485*J1485</f>
        <v>462</v>
      </c>
      <c r="R1485" s="1594"/>
      <c r="S1485" s="7">
        <f t="shared" si="94"/>
        <v>154</v>
      </c>
      <c r="T1485" s="1318">
        <f t="shared" si="94"/>
        <v>462</v>
      </c>
      <c r="U1485" s="83">
        <v>125</v>
      </c>
      <c r="V1485" s="1560">
        <f>(((K1485*U1485)-P1485)/(K1485*U1485))</f>
        <v>0.42429906542056062</v>
      </c>
    </row>
    <row r="1486" spans="1:22" s="7" customFormat="1" ht="18" customHeight="1">
      <c r="C1486" s="6" t="s">
        <v>4033</v>
      </c>
      <c r="D1486" s="13" t="s">
        <v>4034</v>
      </c>
      <c r="E1486" s="1598">
        <v>71623</v>
      </c>
      <c r="F1486" s="23"/>
      <c r="G1486" s="1593" t="s">
        <v>4039</v>
      </c>
      <c r="H1486" s="93"/>
      <c r="I1486" s="94"/>
      <c r="J1486" s="55">
        <v>3</v>
      </c>
      <c r="K1486" s="597">
        <v>4.6899999999999995</v>
      </c>
      <c r="L1486" s="598">
        <f t="shared" si="95"/>
        <v>14.069999999999999</v>
      </c>
      <c r="M1486" s="97" t="s">
        <v>224</v>
      </c>
      <c r="N1486" s="10">
        <v>45210</v>
      </c>
      <c r="O1486" s="1592">
        <v>5581</v>
      </c>
      <c r="P1486" s="591">
        <v>337</v>
      </c>
      <c r="Q1486" s="83">
        <f t="shared" si="96"/>
        <v>1011</v>
      </c>
      <c r="R1486" s="1594"/>
      <c r="S1486" s="7">
        <f t="shared" ref="S1486:S1495" si="97">P1486</f>
        <v>337</v>
      </c>
      <c r="T1486" s="1318">
        <f t="shared" ref="T1486:T1495" si="98">Q1486</f>
        <v>1011</v>
      </c>
      <c r="U1486" s="83">
        <v>125</v>
      </c>
      <c r="V1486" s="1560">
        <f t="shared" ref="V1486:V1495" si="99">(((K1486*U1486)-P1486)/(K1486*U1486))</f>
        <v>0.42515991471215342</v>
      </c>
    </row>
    <row r="1487" spans="1:22" s="7" customFormat="1" ht="18" customHeight="1">
      <c r="C1487" s="6" t="s">
        <v>4033</v>
      </c>
      <c r="D1487" s="13" t="s">
        <v>4034</v>
      </c>
      <c r="E1487" s="1598">
        <v>71633</v>
      </c>
      <c r="F1487" s="23"/>
      <c r="G1487" s="1593" t="s">
        <v>4039</v>
      </c>
      <c r="H1487" s="93"/>
      <c r="I1487" s="94"/>
      <c r="J1487" s="55">
        <v>3</v>
      </c>
      <c r="K1487" s="597">
        <v>4.3499999999999996</v>
      </c>
      <c r="L1487" s="598">
        <f t="shared" si="95"/>
        <v>13.049999999999999</v>
      </c>
      <c r="M1487" s="97" t="s">
        <v>224</v>
      </c>
      <c r="N1487" s="10">
        <v>45210</v>
      </c>
      <c r="O1487" s="1592">
        <v>5581</v>
      </c>
      <c r="P1487" s="591">
        <v>313</v>
      </c>
      <c r="Q1487" s="83">
        <f t="shared" si="96"/>
        <v>939</v>
      </c>
      <c r="R1487" s="1594"/>
      <c r="S1487" s="7">
        <f t="shared" si="97"/>
        <v>313</v>
      </c>
      <c r="T1487" s="1318">
        <f t="shared" si="98"/>
        <v>939</v>
      </c>
      <c r="U1487" s="83">
        <v>125</v>
      </c>
      <c r="V1487" s="1560">
        <f t="shared" si="99"/>
        <v>0.42436781609195401</v>
      </c>
    </row>
    <row r="1488" spans="1:22" s="7" customFormat="1" ht="15.75">
      <c r="C1488" s="6" t="s">
        <v>4033</v>
      </c>
      <c r="D1488" s="13" t="s">
        <v>4034</v>
      </c>
      <c r="E1488" s="1598">
        <v>71637</v>
      </c>
      <c r="F1488" s="23"/>
      <c r="G1488" s="1593" t="s">
        <v>4040</v>
      </c>
      <c r="H1488" s="93"/>
      <c r="I1488" s="94"/>
      <c r="J1488" s="55">
        <v>3</v>
      </c>
      <c r="K1488" s="597">
        <v>4.12</v>
      </c>
      <c r="L1488" s="598">
        <f t="shared" si="95"/>
        <v>12.36</v>
      </c>
      <c r="M1488" s="97" t="s">
        <v>224</v>
      </c>
      <c r="N1488" s="10">
        <v>45210</v>
      </c>
      <c r="O1488" s="1592">
        <v>5581</v>
      </c>
      <c r="P1488" s="1602">
        <v>391</v>
      </c>
      <c r="Q1488" s="83">
        <f t="shared" si="96"/>
        <v>1173</v>
      </c>
      <c r="R1488" s="1594"/>
      <c r="S1488" s="7">
        <f t="shared" si="97"/>
        <v>391</v>
      </c>
      <c r="T1488" s="1318">
        <f t="shared" si="98"/>
        <v>1173</v>
      </c>
      <c r="U1488" s="83">
        <v>125</v>
      </c>
      <c r="V1488" s="1560">
        <f t="shared" si="99"/>
        <v>0.24077669902912621</v>
      </c>
    </row>
    <row r="1489" spans="3:22" s="7" customFormat="1" ht="18" customHeight="1">
      <c r="C1489" s="6" t="s">
        <v>4033</v>
      </c>
      <c r="D1489" s="13" t="s">
        <v>4034</v>
      </c>
      <c r="E1489" s="1598">
        <v>71680</v>
      </c>
      <c r="F1489" s="23"/>
      <c r="G1489" s="1593" t="s">
        <v>4040</v>
      </c>
      <c r="H1489" s="93"/>
      <c r="I1489" s="94"/>
      <c r="J1489" s="55">
        <v>3</v>
      </c>
      <c r="K1489" s="597">
        <v>3.28</v>
      </c>
      <c r="L1489" s="598">
        <f t="shared" si="95"/>
        <v>9.84</v>
      </c>
      <c r="M1489" s="97" t="s">
        <v>224</v>
      </c>
      <c r="N1489" s="10">
        <v>45210</v>
      </c>
      <c r="O1489" s="1592">
        <v>5581</v>
      </c>
      <c r="P1489" s="1602">
        <v>312</v>
      </c>
      <c r="Q1489" s="83">
        <f t="shared" si="96"/>
        <v>936</v>
      </c>
      <c r="R1489" s="1594"/>
      <c r="S1489" s="7">
        <f t="shared" si="97"/>
        <v>312</v>
      </c>
      <c r="T1489" s="1318">
        <f t="shared" si="98"/>
        <v>936</v>
      </c>
      <c r="U1489" s="83">
        <v>125</v>
      </c>
      <c r="V1489" s="1560">
        <f t="shared" si="99"/>
        <v>0.23902439024390243</v>
      </c>
    </row>
    <row r="1490" spans="3:22" s="7" customFormat="1" ht="18" customHeight="1">
      <c r="C1490" s="6" t="s">
        <v>4033</v>
      </c>
      <c r="D1490" s="13" t="s">
        <v>4034</v>
      </c>
      <c r="E1490" s="1598">
        <v>71634</v>
      </c>
      <c r="F1490" s="23"/>
      <c r="G1490" s="1593" t="s">
        <v>4039</v>
      </c>
      <c r="H1490" s="93"/>
      <c r="I1490" s="94"/>
      <c r="J1490" s="55">
        <v>3</v>
      </c>
      <c r="K1490" s="597">
        <v>5.24</v>
      </c>
      <c r="L1490" s="598">
        <f t="shared" si="95"/>
        <v>15.72</v>
      </c>
      <c r="M1490" s="97" t="s">
        <v>224</v>
      </c>
      <c r="N1490" s="10">
        <v>45210</v>
      </c>
      <c r="O1490" s="1592">
        <v>5581</v>
      </c>
      <c r="P1490" s="591">
        <v>377</v>
      </c>
      <c r="Q1490" s="83">
        <f t="shared" si="96"/>
        <v>1131</v>
      </c>
      <c r="R1490" s="1594"/>
      <c r="S1490" s="7">
        <f t="shared" si="97"/>
        <v>377</v>
      </c>
      <c r="T1490" s="1318">
        <f t="shared" si="98"/>
        <v>1131</v>
      </c>
      <c r="U1490" s="83">
        <v>125</v>
      </c>
      <c r="V1490" s="1560">
        <f t="shared" si="99"/>
        <v>0.42442748091603055</v>
      </c>
    </row>
    <row r="1491" spans="3:22" s="7" customFormat="1" ht="18" customHeight="1">
      <c r="C1491" s="6" t="s">
        <v>4033</v>
      </c>
      <c r="D1491" s="13" t="s">
        <v>4034</v>
      </c>
      <c r="E1491" s="1599">
        <v>24509</v>
      </c>
      <c r="F1491" s="23"/>
      <c r="G1491" s="1593" t="s">
        <v>4039</v>
      </c>
      <c r="H1491" s="93"/>
      <c r="I1491" s="94"/>
      <c r="J1491" s="55">
        <v>3</v>
      </c>
      <c r="K1491" s="597">
        <v>2.3499999999999996</v>
      </c>
      <c r="L1491" s="598">
        <f t="shared" si="95"/>
        <v>7.0499999999999989</v>
      </c>
      <c r="M1491" s="97" t="s">
        <v>224</v>
      </c>
      <c r="N1491" s="10">
        <v>45210</v>
      </c>
      <c r="O1491" s="1592">
        <v>5581</v>
      </c>
      <c r="P1491" s="591">
        <v>169</v>
      </c>
      <c r="Q1491" s="83">
        <f t="shared" si="96"/>
        <v>507</v>
      </c>
      <c r="R1491" s="1594"/>
      <c r="S1491" s="7">
        <f t="shared" si="97"/>
        <v>169</v>
      </c>
      <c r="T1491" s="1318">
        <f t="shared" si="98"/>
        <v>507</v>
      </c>
      <c r="U1491" s="83">
        <v>125</v>
      </c>
      <c r="V1491" s="1560">
        <f t="shared" si="99"/>
        <v>0.42468085106382969</v>
      </c>
    </row>
    <row r="1492" spans="3:22" s="7" customFormat="1" ht="18" customHeight="1">
      <c r="C1492" s="6" t="s">
        <v>4033</v>
      </c>
      <c r="D1492" s="13" t="s">
        <v>4034</v>
      </c>
      <c r="E1492" s="1599">
        <v>24409</v>
      </c>
      <c r="F1492" s="23"/>
      <c r="G1492" s="1593" t="s">
        <v>4039</v>
      </c>
      <c r="H1492" s="93"/>
      <c r="I1492" s="94"/>
      <c r="J1492" s="55">
        <v>3</v>
      </c>
      <c r="K1492" s="597">
        <v>3.1399999999999997</v>
      </c>
      <c r="L1492" s="598">
        <f t="shared" si="95"/>
        <v>9.4199999999999982</v>
      </c>
      <c r="M1492" s="97" t="s">
        <v>224</v>
      </c>
      <c r="N1492" s="10">
        <v>45210</v>
      </c>
      <c r="O1492" s="1592">
        <v>5581</v>
      </c>
      <c r="P1492" s="591">
        <v>226</v>
      </c>
      <c r="Q1492" s="83">
        <f t="shared" si="96"/>
        <v>678</v>
      </c>
      <c r="R1492" s="1594"/>
      <c r="S1492" s="7">
        <f t="shared" si="97"/>
        <v>226</v>
      </c>
      <c r="T1492" s="1318">
        <f t="shared" si="98"/>
        <v>678</v>
      </c>
      <c r="U1492" s="83">
        <v>125</v>
      </c>
      <c r="V1492" s="1560">
        <f t="shared" si="99"/>
        <v>0.42420382165605086</v>
      </c>
    </row>
    <row r="1493" spans="3:22" s="7" customFormat="1" ht="18" customHeight="1">
      <c r="C1493" s="6" t="s">
        <v>4033</v>
      </c>
      <c r="D1493" s="13" t="s">
        <v>4034</v>
      </c>
      <c r="E1493" s="1599">
        <v>71574</v>
      </c>
      <c r="F1493" s="23"/>
      <c r="G1493" s="1593" t="s">
        <v>4039</v>
      </c>
      <c r="H1493" s="93"/>
      <c r="I1493" s="94"/>
      <c r="J1493" s="55">
        <v>3</v>
      </c>
      <c r="K1493" s="597">
        <v>2.71</v>
      </c>
      <c r="L1493" s="598">
        <f t="shared" si="95"/>
        <v>8.129999999999999</v>
      </c>
      <c r="M1493" s="97" t="s">
        <v>224</v>
      </c>
      <c r="N1493" s="10">
        <v>45210</v>
      </c>
      <c r="O1493" s="1592">
        <v>5581</v>
      </c>
      <c r="P1493" s="591">
        <v>195</v>
      </c>
      <c r="Q1493" s="83">
        <f t="shared" si="96"/>
        <v>585</v>
      </c>
      <c r="R1493" s="1594"/>
      <c r="S1493" s="7">
        <f t="shared" si="97"/>
        <v>195</v>
      </c>
      <c r="T1493" s="1318">
        <f t="shared" si="98"/>
        <v>585</v>
      </c>
      <c r="U1493" s="83">
        <v>125</v>
      </c>
      <c r="V1493" s="1560">
        <f t="shared" si="99"/>
        <v>0.42435424354243545</v>
      </c>
    </row>
    <row r="1494" spans="3:22" s="7" customFormat="1" ht="18" customHeight="1">
      <c r="C1494" s="6" t="s">
        <v>4033</v>
      </c>
      <c r="D1494" s="13" t="s">
        <v>4034</v>
      </c>
      <c r="E1494" s="1599">
        <v>71571</v>
      </c>
      <c r="F1494" s="23"/>
      <c r="G1494" s="1593" t="s">
        <v>4039</v>
      </c>
      <c r="H1494" s="93"/>
      <c r="I1494" s="94"/>
      <c r="J1494" s="55">
        <v>3</v>
      </c>
      <c r="K1494" s="597">
        <v>2.6599999999999997</v>
      </c>
      <c r="L1494" s="598">
        <f t="shared" si="95"/>
        <v>7.9799999999999986</v>
      </c>
      <c r="M1494" s="97" t="s">
        <v>224</v>
      </c>
      <c r="N1494" s="10">
        <v>45210</v>
      </c>
      <c r="O1494" s="1592">
        <v>5581</v>
      </c>
      <c r="P1494" s="591">
        <v>191</v>
      </c>
      <c r="Q1494" s="83">
        <f t="shared" si="96"/>
        <v>573</v>
      </c>
      <c r="R1494" s="1594"/>
      <c r="S1494" s="7">
        <f t="shared" si="97"/>
        <v>191</v>
      </c>
      <c r="T1494" s="1318">
        <f t="shared" si="98"/>
        <v>573</v>
      </c>
      <c r="U1494" s="83">
        <v>125</v>
      </c>
      <c r="V1494" s="1560">
        <f t="shared" si="99"/>
        <v>0.42556390977443598</v>
      </c>
    </row>
    <row r="1495" spans="3:22" s="7" customFormat="1" ht="18" customHeight="1">
      <c r="C1495" s="6" t="s">
        <v>4033</v>
      </c>
      <c r="D1495" s="13" t="s">
        <v>4034</v>
      </c>
      <c r="E1495" s="1599" t="s">
        <v>4038</v>
      </c>
      <c r="F1495" s="23"/>
      <c r="G1495" s="1593" t="s">
        <v>4041</v>
      </c>
      <c r="H1495" s="93"/>
      <c r="I1495" s="94"/>
      <c r="J1495" s="55">
        <v>3</v>
      </c>
      <c r="K1495" s="597">
        <v>2.2399999999999998</v>
      </c>
      <c r="L1495" s="598">
        <f t="shared" si="95"/>
        <v>6.7199999999999989</v>
      </c>
      <c r="M1495" s="97" t="s">
        <v>224</v>
      </c>
      <c r="N1495" s="10">
        <v>45210</v>
      </c>
      <c r="O1495" s="1592">
        <v>5581</v>
      </c>
      <c r="P1495" s="1602">
        <v>206</v>
      </c>
      <c r="Q1495" s="83">
        <f t="shared" si="96"/>
        <v>618</v>
      </c>
      <c r="R1495" s="1594"/>
      <c r="S1495" s="7">
        <f t="shared" si="97"/>
        <v>206</v>
      </c>
      <c r="T1495" s="1318">
        <f t="shared" si="98"/>
        <v>618</v>
      </c>
      <c r="U1495" s="83">
        <v>125</v>
      </c>
      <c r="V1495" s="1560">
        <f t="shared" si="99"/>
        <v>0.26428571428571412</v>
      </c>
    </row>
    <row r="1496" spans="3:22" s="7" customFormat="1" ht="18" customHeight="1">
      <c r="C1496" s="6" t="s">
        <v>4032</v>
      </c>
      <c r="D1496" s="13" t="s">
        <v>4034</v>
      </c>
      <c r="E1496" s="1600">
        <v>77015</v>
      </c>
      <c r="F1496" s="23"/>
      <c r="G1496" s="1593" t="s">
        <v>4041</v>
      </c>
      <c r="H1496" s="93"/>
      <c r="I1496" s="94"/>
      <c r="J1496" s="55">
        <v>3</v>
      </c>
      <c r="K1496" s="597">
        <v>2.8</v>
      </c>
      <c r="L1496" s="598">
        <f t="shared" ref="L1496:L1501" si="100">K1496*J1496</f>
        <v>8.3999999999999986</v>
      </c>
      <c r="M1496" s="97" t="s">
        <v>224</v>
      </c>
      <c r="N1496" s="10">
        <v>45210</v>
      </c>
      <c r="O1496" s="1592">
        <v>5581</v>
      </c>
      <c r="P1496" s="1602">
        <v>266</v>
      </c>
      <c r="Q1496" s="83">
        <f t="shared" ref="Q1496:Q1501" si="101">P1496*J1496</f>
        <v>798</v>
      </c>
      <c r="R1496" s="1594"/>
      <c r="S1496" s="7">
        <f t="shared" ref="S1496:S1501" si="102">P1496</f>
        <v>266</v>
      </c>
      <c r="T1496" s="1318">
        <f t="shared" ref="T1496:T1501" si="103">Q1496</f>
        <v>798</v>
      </c>
      <c r="U1496" s="83">
        <v>125</v>
      </c>
      <c r="V1496" s="1560">
        <f t="shared" ref="V1496:V1501" si="104">(((K1496*U1496)-P1496)/(K1496*U1496))</f>
        <v>0.24</v>
      </c>
    </row>
    <row r="1497" spans="3:22" s="7" customFormat="1" ht="18" customHeight="1">
      <c r="C1497" s="6" t="s">
        <v>4032</v>
      </c>
      <c r="D1497" s="13" t="s">
        <v>4034</v>
      </c>
      <c r="E1497" s="741">
        <v>24308</v>
      </c>
      <c r="F1497" s="23"/>
      <c r="G1497" s="1593" t="s">
        <v>4039</v>
      </c>
      <c r="H1497" s="93"/>
      <c r="I1497" s="94"/>
      <c r="J1497" s="55">
        <v>3</v>
      </c>
      <c r="K1497" s="597">
        <v>2.88</v>
      </c>
      <c r="L1497" s="598">
        <f t="shared" si="100"/>
        <v>8.64</v>
      </c>
      <c r="M1497" s="97" t="s">
        <v>224</v>
      </c>
      <c r="N1497" s="10">
        <v>45210</v>
      </c>
      <c r="O1497" s="1592">
        <v>5581</v>
      </c>
      <c r="P1497" s="591">
        <v>207</v>
      </c>
      <c r="Q1497" s="83">
        <f t="shared" si="101"/>
        <v>621</v>
      </c>
      <c r="R1497" s="1594"/>
      <c r="S1497" s="7">
        <f t="shared" si="102"/>
        <v>207</v>
      </c>
      <c r="T1497" s="1318">
        <f t="shared" si="103"/>
        <v>621</v>
      </c>
      <c r="U1497" s="83">
        <v>125</v>
      </c>
      <c r="V1497" s="1560">
        <f t="shared" si="104"/>
        <v>0.42499999999999999</v>
      </c>
    </row>
    <row r="1498" spans="3:22" s="7" customFormat="1" ht="18" customHeight="1">
      <c r="C1498" s="6" t="s">
        <v>4032</v>
      </c>
      <c r="D1498" s="13" t="s">
        <v>4034</v>
      </c>
      <c r="E1498" s="1600" t="s">
        <v>4035</v>
      </c>
      <c r="F1498" s="23"/>
      <c r="G1498" s="1593" t="s">
        <v>4040</v>
      </c>
      <c r="H1498" s="93"/>
      <c r="I1498" s="94"/>
      <c r="J1498" s="55">
        <v>3</v>
      </c>
      <c r="K1498" s="597">
        <v>3.75</v>
      </c>
      <c r="L1498" s="598">
        <f t="shared" si="100"/>
        <v>11.25</v>
      </c>
      <c r="M1498" s="97" t="s">
        <v>224</v>
      </c>
      <c r="N1498" s="10">
        <v>45210</v>
      </c>
      <c r="O1498" s="1592">
        <v>5581</v>
      </c>
      <c r="P1498" s="1602">
        <v>270</v>
      </c>
      <c r="Q1498" s="83">
        <f t="shared" si="101"/>
        <v>810</v>
      </c>
      <c r="R1498" s="1594"/>
      <c r="S1498" s="7">
        <f t="shared" si="102"/>
        <v>270</v>
      </c>
      <c r="T1498" s="1318">
        <f t="shared" si="103"/>
        <v>810</v>
      </c>
      <c r="U1498" s="83">
        <v>125</v>
      </c>
      <c r="V1498" s="1560">
        <f t="shared" si="104"/>
        <v>0.42399999999999999</v>
      </c>
    </row>
    <row r="1499" spans="3:22" s="7" customFormat="1" ht="18" customHeight="1">
      <c r="C1499" s="6" t="s">
        <v>4032</v>
      </c>
      <c r="D1499" s="13" t="s">
        <v>4034</v>
      </c>
      <c r="E1499" s="741">
        <v>24259</v>
      </c>
      <c r="F1499" s="23"/>
      <c r="G1499" s="1593" t="s">
        <v>4039</v>
      </c>
      <c r="H1499" s="93"/>
      <c r="I1499" s="94"/>
      <c r="J1499" s="55">
        <v>3</v>
      </c>
      <c r="K1499" s="597">
        <v>5.42</v>
      </c>
      <c r="L1499" s="598">
        <f t="shared" si="100"/>
        <v>16.259999999999998</v>
      </c>
      <c r="M1499" s="97" t="s">
        <v>224</v>
      </c>
      <c r="N1499" s="10">
        <v>45210</v>
      </c>
      <c r="O1499" s="1592">
        <v>5581</v>
      </c>
      <c r="P1499" s="591">
        <v>390</v>
      </c>
      <c r="Q1499" s="83">
        <f t="shared" si="101"/>
        <v>1170</v>
      </c>
      <c r="R1499" s="1594"/>
      <c r="S1499" s="7">
        <f t="shared" si="102"/>
        <v>390</v>
      </c>
      <c r="T1499" s="1318">
        <f t="shared" si="103"/>
        <v>1170</v>
      </c>
      <c r="U1499" s="83">
        <v>125</v>
      </c>
      <c r="V1499" s="1560">
        <f t="shared" si="104"/>
        <v>0.42435424354243545</v>
      </c>
    </row>
    <row r="1500" spans="3:22" s="7" customFormat="1" ht="18" customHeight="1">
      <c r="C1500" s="6" t="s">
        <v>4032</v>
      </c>
      <c r="D1500" s="13" t="s">
        <v>4034</v>
      </c>
      <c r="E1500" s="1600">
        <v>24257</v>
      </c>
      <c r="F1500" s="23"/>
      <c r="G1500" s="1593" t="s">
        <v>4039</v>
      </c>
      <c r="H1500" s="93"/>
      <c r="I1500" s="94"/>
      <c r="J1500" s="55">
        <v>3</v>
      </c>
      <c r="K1500" s="597">
        <v>5.39</v>
      </c>
      <c r="L1500" s="598">
        <f t="shared" si="100"/>
        <v>16.169999999999998</v>
      </c>
      <c r="M1500" s="97" t="s">
        <v>224</v>
      </c>
      <c r="N1500" s="10">
        <v>45210</v>
      </c>
      <c r="O1500" s="1592">
        <v>5581</v>
      </c>
      <c r="P1500" s="591">
        <v>388</v>
      </c>
      <c r="Q1500" s="83">
        <f t="shared" si="101"/>
        <v>1164</v>
      </c>
      <c r="R1500" s="1594"/>
      <c r="S1500" s="7">
        <f t="shared" si="102"/>
        <v>388</v>
      </c>
      <c r="T1500" s="1318">
        <f t="shared" si="103"/>
        <v>1164</v>
      </c>
      <c r="U1500" s="83">
        <v>125</v>
      </c>
      <c r="V1500" s="1560">
        <f t="shared" si="104"/>
        <v>0.42411873840445269</v>
      </c>
    </row>
    <row r="1501" spans="3:22" s="7" customFormat="1" ht="18" customHeight="1">
      <c r="C1501" s="6" t="s">
        <v>4032</v>
      </c>
      <c r="D1501" s="13" t="s">
        <v>4034</v>
      </c>
      <c r="E1501" s="203" t="s">
        <v>4036</v>
      </c>
      <c r="F1501" s="23"/>
      <c r="G1501" s="1593" t="s">
        <v>4040</v>
      </c>
      <c r="H1501" s="93"/>
      <c r="I1501" s="94"/>
      <c r="J1501" s="55">
        <v>3</v>
      </c>
      <c r="K1501" s="597">
        <v>2.2999999999999998</v>
      </c>
      <c r="L1501" s="598">
        <f t="shared" si="100"/>
        <v>6.8999999999999995</v>
      </c>
      <c r="M1501" s="97" t="s">
        <v>224</v>
      </c>
      <c r="N1501" s="10">
        <v>45210</v>
      </c>
      <c r="O1501" s="1592">
        <v>5581</v>
      </c>
      <c r="P1501" s="591">
        <v>165</v>
      </c>
      <c r="Q1501" s="83">
        <f t="shared" si="101"/>
        <v>495</v>
      </c>
      <c r="R1501" s="1594"/>
      <c r="S1501" s="7">
        <f t="shared" si="102"/>
        <v>165</v>
      </c>
      <c r="T1501" s="1318">
        <f t="shared" si="103"/>
        <v>495</v>
      </c>
      <c r="U1501" s="83">
        <v>125</v>
      </c>
      <c r="V1501" s="1560">
        <f t="shared" si="104"/>
        <v>0.42608695652173911</v>
      </c>
    </row>
    <row r="1502" spans="3:22" s="7" customFormat="1" ht="18" customHeight="1">
      <c r="C1502" s="6" t="s">
        <v>4032</v>
      </c>
      <c r="D1502" s="13" t="s">
        <v>4034</v>
      </c>
      <c r="E1502" s="1601" t="s">
        <v>4037</v>
      </c>
      <c r="F1502" s="23"/>
      <c r="G1502" s="1593" t="s">
        <v>4040</v>
      </c>
      <c r="H1502" s="93"/>
      <c r="I1502" s="94"/>
      <c r="J1502" s="55">
        <v>3</v>
      </c>
      <c r="K1502" s="597">
        <v>2.44</v>
      </c>
      <c r="L1502" s="598">
        <f>K1502*J1502</f>
        <v>7.32</v>
      </c>
      <c r="M1502" s="97" t="s">
        <v>224</v>
      </c>
      <c r="N1502" s="10">
        <v>45210</v>
      </c>
      <c r="O1502" s="1592">
        <v>5581</v>
      </c>
      <c r="P1502" s="591">
        <v>175</v>
      </c>
      <c r="Q1502" s="83">
        <f>P1502*J1502</f>
        <v>525</v>
      </c>
      <c r="R1502" s="1594"/>
      <c r="S1502" s="7">
        <f t="shared" ref="S1502:S1507" si="105">P1502</f>
        <v>175</v>
      </c>
      <c r="T1502" s="1318">
        <f t="shared" ref="T1502:T1507" si="106">Q1502</f>
        <v>525</v>
      </c>
      <c r="U1502" s="83">
        <v>125</v>
      </c>
      <c r="V1502" s="1560">
        <f>(((K1502*U1502)-P1502)/(K1502*U1502))</f>
        <v>0.42622950819672129</v>
      </c>
    </row>
    <row r="1503" spans="3:22" s="7" customFormat="1" ht="18" customHeight="1">
      <c r="C1503" s="6" t="s">
        <v>4032</v>
      </c>
      <c r="D1503" s="13" t="s">
        <v>4034</v>
      </c>
      <c r="E1503" s="21"/>
      <c r="F1503" s="38"/>
      <c r="G1503" s="38" t="s">
        <v>218</v>
      </c>
      <c r="H1503" s="39"/>
      <c r="I1503" s="94"/>
      <c r="J1503" s="39">
        <v>1</v>
      </c>
      <c r="K1503" s="611">
        <v>12</v>
      </c>
      <c r="L1503" s="598">
        <f>K1503*J1503</f>
        <v>12</v>
      </c>
      <c r="M1503" s="10"/>
      <c r="N1503" s="10">
        <v>45210</v>
      </c>
      <c r="O1503" s="1592">
        <v>5581</v>
      </c>
      <c r="P1503" s="83">
        <v>900</v>
      </c>
      <c r="Q1503" s="83">
        <f>P1503*J1503</f>
        <v>900</v>
      </c>
      <c r="S1503" s="7">
        <f t="shared" si="105"/>
        <v>900</v>
      </c>
      <c r="T1503" s="1318">
        <f t="shared" si="106"/>
        <v>900</v>
      </c>
      <c r="U1503" s="83">
        <v>125</v>
      </c>
      <c r="V1503" s="1560">
        <f>(((K1503*U1503)-P1503)/(K1503*U1503))</f>
        <v>0.4</v>
      </c>
    </row>
    <row r="1504" spans="3:22" s="193" customFormat="1" ht="18" customHeight="1">
      <c r="C1504" s="149" t="s">
        <v>4032</v>
      </c>
      <c r="D1504" s="150" t="s">
        <v>4034</v>
      </c>
      <c r="E1504" s="151"/>
      <c r="F1504" s="152"/>
      <c r="G1504" s="152" t="s">
        <v>168</v>
      </c>
      <c r="H1504" s="154" t="s">
        <v>169</v>
      </c>
      <c r="I1504" s="155"/>
      <c r="J1504" s="153"/>
      <c r="K1504" s="600">
        <v>0</v>
      </c>
      <c r="L1504" s="1595"/>
      <c r="M1504" s="1595"/>
      <c r="N1504" s="1596">
        <v>45210</v>
      </c>
      <c r="O1504" s="1597">
        <v>5581</v>
      </c>
      <c r="P1504" s="164">
        <v>0</v>
      </c>
      <c r="Q1504" s="164">
        <v>0</v>
      </c>
      <c r="S1504" s="7">
        <f t="shared" si="105"/>
        <v>0</v>
      </c>
      <c r="T1504" s="1318">
        <f t="shared" si="106"/>
        <v>0</v>
      </c>
      <c r="U1504" s="83">
        <v>125</v>
      </c>
    </row>
    <row r="1505" spans="3:22" s="7" customFormat="1" ht="18" customHeight="1">
      <c r="C1505" s="6" t="s">
        <v>4045</v>
      </c>
      <c r="D1505" s="13" t="s">
        <v>1812</v>
      </c>
      <c r="E1505" s="18" t="s">
        <v>79</v>
      </c>
      <c r="F1505" s="92"/>
      <c r="G1505" s="21"/>
      <c r="H1505" s="93"/>
      <c r="I1505" s="94"/>
      <c r="J1505" s="93"/>
      <c r="K1505" s="95" t="s">
        <v>4048</v>
      </c>
      <c r="L1505" s="33"/>
      <c r="M1505" s="33"/>
      <c r="N1505" s="33">
        <v>45229</v>
      </c>
      <c r="O1505" s="32">
        <v>5634</v>
      </c>
      <c r="P1505" s="83"/>
      <c r="Q1505" s="83"/>
      <c r="S1505" s="7">
        <f t="shared" si="105"/>
        <v>0</v>
      </c>
      <c r="T1505" s="1318">
        <f t="shared" si="106"/>
        <v>0</v>
      </c>
      <c r="U1505" s="83">
        <v>125</v>
      </c>
      <c r="V1505" s="1560" t="e">
        <f t="shared" ref="V1505:V1510" si="107">(((K1505*U1505)-P1505)/(K1505*U1505))</f>
        <v>#VALUE!</v>
      </c>
    </row>
    <row r="1506" spans="3:22" s="7" customFormat="1" ht="18" customHeight="1">
      <c r="C1506" s="6" t="s">
        <v>4045</v>
      </c>
      <c r="D1506" s="13" t="s">
        <v>1812</v>
      </c>
      <c r="E1506" s="21" t="s">
        <v>4046</v>
      </c>
      <c r="F1506" s="596">
        <v>9</v>
      </c>
      <c r="G1506" s="21" t="s">
        <v>4047</v>
      </c>
      <c r="H1506" s="39"/>
      <c r="I1506" s="94"/>
      <c r="J1506" s="39">
        <v>1</v>
      </c>
      <c r="K1506" s="611">
        <v>65</v>
      </c>
      <c r="L1506" s="598">
        <f>K1506*J1506</f>
        <v>65</v>
      </c>
      <c r="M1506" s="97" t="s">
        <v>224</v>
      </c>
      <c r="N1506" s="33">
        <v>45229</v>
      </c>
      <c r="O1506" s="32">
        <v>5634</v>
      </c>
      <c r="P1506" s="83">
        <v>6000</v>
      </c>
      <c r="Q1506" s="83">
        <f>P1506*J1506</f>
        <v>6000</v>
      </c>
      <c r="S1506" s="7">
        <f t="shared" si="105"/>
        <v>6000</v>
      </c>
      <c r="T1506" s="1318">
        <f t="shared" si="106"/>
        <v>6000</v>
      </c>
      <c r="U1506" s="83">
        <v>125</v>
      </c>
      <c r="V1506" s="1560">
        <f t="shared" si="107"/>
        <v>0.26153846153846155</v>
      </c>
    </row>
    <row r="1507" spans="3:22" s="117" customFormat="1" ht="18" customHeight="1">
      <c r="C1507" s="116" t="s">
        <v>4045</v>
      </c>
      <c r="D1507" s="81" t="s">
        <v>1812</v>
      </c>
      <c r="E1507" s="21">
        <v>4141</v>
      </c>
      <c r="F1507" s="1618">
        <v>9</v>
      </c>
      <c r="G1507" s="126" t="s">
        <v>4047</v>
      </c>
      <c r="H1507" s="723"/>
      <c r="I1507" s="166"/>
      <c r="J1507" s="1619">
        <v>2</v>
      </c>
      <c r="K1507" s="1620">
        <v>1.33</v>
      </c>
      <c r="L1507" s="1621">
        <v>0</v>
      </c>
      <c r="M1507" s="1622" t="s">
        <v>224</v>
      </c>
      <c r="N1507" s="33">
        <v>45229</v>
      </c>
      <c r="O1507" s="32">
        <v>5634</v>
      </c>
      <c r="P1507" s="225">
        <v>97</v>
      </c>
      <c r="Q1507" s="225">
        <f>P1507*J1507</f>
        <v>194</v>
      </c>
      <c r="R1507" s="118"/>
      <c r="S1507" s="118">
        <f t="shared" si="105"/>
        <v>97</v>
      </c>
      <c r="T1507" s="1623">
        <f t="shared" si="106"/>
        <v>194</v>
      </c>
      <c r="U1507" s="225">
        <v>125</v>
      </c>
    </row>
    <row r="1508" spans="3:22" s="159" customFormat="1" ht="18" customHeight="1">
      <c r="C1508" s="149" t="s">
        <v>4045</v>
      </c>
      <c r="D1508" s="150" t="s">
        <v>1812</v>
      </c>
      <c r="E1508" s="191"/>
      <c r="F1508" s="152"/>
      <c r="G1508" s="152" t="s">
        <v>168</v>
      </c>
      <c r="H1508" s="154" t="s">
        <v>169</v>
      </c>
      <c r="I1508" s="155"/>
      <c r="J1508" s="153"/>
      <c r="K1508" s="600">
        <v>0</v>
      </c>
      <c r="L1508" s="601"/>
      <c r="M1508" s="601"/>
      <c r="N1508" s="157">
        <v>45229</v>
      </c>
      <c r="O1508" s="156">
        <v>5634</v>
      </c>
      <c r="P1508" s="164">
        <v>0</v>
      </c>
      <c r="Q1508" s="165">
        <v>0</v>
      </c>
      <c r="T1508" s="1317"/>
      <c r="U1508" s="83">
        <v>125</v>
      </c>
      <c r="V1508" s="1560" t="e">
        <f t="shared" si="107"/>
        <v>#DIV/0!</v>
      </c>
    </row>
    <row r="1509" spans="3:22" s="7" customFormat="1" ht="18" customHeight="1">
      <c r="C1509" s="1483" t="s">
        <v>4063</v>
      </c>
      <c r="D1509" s="13" t="s">
        <v>2771</v>
      </c>
      <c r="E1509" s="18" t="s">
        <v>2772</v>
      </c>
      <c r="F1509" s="23"/>
      <c r="G1509" s="21"/>
      <c r="H1509" s="39"/>
      <c r="I1509" s="56"/>
      <c r="J1509" s="55"/>
      <c r="K1509" s="15" t="s">
        <v>8</v>
      </c>
      <c r="L1509" s="33"/>
      <c r="M1509" s="33"/>
      <c r="N1509" s="33">
        <v>45240</v>
      </c>
      <c r="O1509" s="32">
        <v>5666</v>
      </c>
      <c r="P1509" s="1477" t="s">
        <v>4065</v>
      </c>
      <c r="Q1509" s="83"/>
      <c r="S1509" s="7" t="str">
        <f t="shared" ref="S1509:S1527" si="108">P1509</f>
        <v>新単価 + 小口代</v>
      </c>
      <c r="T1509" s="1318">
        <f t="shared" ref="T1509:T1527" si="109">Q1509</f>
        <v>0</v>
      </c>
      <c r="U1509" s="83">
        <v>125</v>
      </c>
    </row>
    <row r="1510" spans="3:22" s="7" customFormat="1" ht="18" customHeight="1">
      <c r="C1510" s="1483" t="s">
        <v>4063</v>
      </c>
      <c r="D1510" s="13" t="s">
        <v>2771</v>
      </c>
      <c r="E1510" s="886" t="s">
        <v>3529</v>
      </c>
      <c r="F1510" s="23" t="s">
        <v>2491</v>
      </c>
      <c r="G1510" s="21" t="s">
        <v>4064</v>
      </c>
      <c r="H1510" s="93">
        <v>41</v>
      </c>
      <c r="I1510" s="94">
        <v>1</v>
      </c>
      <c r="J1510" s="55">
        <f>H1510*I1510</f>
        <v>41</v>
      </c>
      <c r="K1510" s="597">
        <v>23.38</v>
      </c>
      <c r="L1510" s="598">
        <f>K1510*J1510</f>
        <v>958.57999999999993</v>
      </c>
      <c r="M1510" s="97" t="s">
        <v>224</v>
      </c>
      <c r="N1510" s="33">
        <v>45240</v>
      </c>
      <c r="O1510" s="32">
        <v>5666</v>
      </c>
      <c r="P1510" s="83">
        <f>1860+300</f>
        <v>2160</v>
      </c>
      <c r="Q1510" s="83">
        <f>P1510*J1510</f>
        <v>88560</v>
      </c>
      <c r="S1510" s="7">
        <f t="shared" si="108"/>
        <v>2160</v>
      </c>
      <c r="T1510" s="1318">
        <f t="shared" si="109"/>
        <v>88560</v>
      </c>
      <c r="U1510" s="83">
        <v>120</v>
      </c>
      <c r="V1510" s="1560">
        <f t="shared" si="107"/>
        <v>0.23011120615911032</v>
      </c>
    </row>
    <row r="1511" spans="3:22" ht="18" customHeight="1">
      <c r="C1511" s="1483" t="s">
        <v>4063</v>
      </c>
      <c r="D1511" s="13" t="s">
        <v>2771</v>
      </c>
      <c r="E1511" s="48"/>
      <c r="F1511" s="38"/>
      <c r="G1511" s="38" t="s">
        <v>218</v>
      </c>
      <c r="H1511" s="39"/>
      <c r="I1511" s="94"/>
      <c r="J1511" s="39">
        <v>1</v>
      </c>
      <c r="K1511" s="611">
        <v>12</v>
      </c>
      <c r="L1511" s="598">
        <f>K1511*J1511</f>
        <v>12</v>
      </c>
      <c r="M1511" s="898"/>
      <c r="N1511" s="33">
        <v>45240</v>
      </c>
      <c r="O1511" s="32">
        <v>5666</v>
      </c>
      <c r="P1511" s="83">
        <v>0</v>
      </c>
      <c r="Q1511" s="83">
        <f>P1511*J1511</f>
        <v>0</v>
      </c>
      <c r="S1511" s="7">
        <f t="shared" si="108"/>
        <v>0</v>
      </c>
      <c r="T1511" s="1318">
        <f t="shared" si="109"/>
        <v>0</v>
      </c>
      <c r="U1511" s="83">
        <v>120</v>
      </c>
    </row>
    <row r="1512" spans="3:22" s="159" customFormat="1" ht="18" customHeight="1">
      <c r="C1512" s="1484" t="s">
        <v>4063</v>
      </c>
      <c r="D1512" s="150" t="s">
        <v>2771</v>
      </c>
      <c r="E1512" s="151"/>
      <c r="F1512" s="152"/>
      <c r="G1512" s="152" t="s">
        <v>168</v>
      </c>
      <c r="H1512" s="918" t="s">
        <v>2776</v>
      </c>
      <c r="I1512" s="155"/>
      <c r="J1512" s="153"/>
      <c r="K1512" s="600">
        <v>0</v>
      </c>
      <c r="L1512" s="601"/>
      <c r="M1512" s="601"/>
      <c r="N1512" s="157">
        <v>45240</v>
      </c>
      <c r="O1512" s="156">
        <v>5666</v>
      </c>
      <c r="P1512" s="164">
        <v>0</v>
      </c>
      <c r="Q1512" s="165">
        <v>0</v>
      </c>
      <c r="S1512" s="7">
        <f t="shared" si="108"/>
        <v>0</v>
      </c>
      <c r="T1512" s="1318">
        <f t="shared" si="109"/>
        <v>0</v>
      </c>
      <c r="U1512" s="83">
        <v>120</v>
      </c>
    </row>
    <row r="1513" spans="3:22" s="7" customFormat="1" ht="18" customHeight="1">
      <c r="C1513" s="6" t="s">
        <v>4117</v>
      </c>
      <c r="D1513" s="13" t="s">
        <v>2277</v>
      </c>
      <c r="E1513" s="18" t="s">
        <v>19</v>
      </c>
      <c r="F1513" s="23"/>
      <c r="G1513" s="21"/>
      <c r="H1513" s="55"/>
      <c r="I1513" s="56"/>
      <c r="J1513" s="55"/>
      <c r="K1513" s="15" t="s">
        <v>8</v>
      </c>
      <c r="L1513" s="688"/>
      <c r="M1513" s="688"/>
      <c r="N1513" s="33">
        <v>45236</v>
      </c>
      <c r="O1513" s="32">
        <v>5645</v>
      </c>
      <c r="P1513" s="83"/>
      <c r="Q1513" s="83"/>
      <c r="S1513" s="7">
        <f t="shared" si="108"/>
        <v>0</v>
      </c>
      <c r="T1513" s="1318">
        <f t="shared" si="109"/>
        <v>0</v>
      </c>
      <c r="U1513" s="83">
        <v>125</v>
      </c>
    </row>
    <row r="1514" spans="3:22" s="7" customFormat="1" ht="18" customHeight="1">
      <c r="C1514" s="6" t="s">
        <v>4117</v>
      </c>
      <c r="D1514" s="13" t="s">
        <v>2277</v>
      </c>
      <c r="E1514" s="740" t="s">
        <v>2280</v>
      </c>
      <c r="F1514" s="23"/>
      <c r="G1514" s="21" t="s">
        <v>25</v>
      </c>
      <c r="H1514" s="93">
        <v>13.7</v>
      </c>
      <c r="I1514" s="94">
        <v>7</v>
      </c>
      <c r="J1514" s="108">
        <f>H1514*I1514</f>
        <v>95.899999999999991</v>
      </c>
      <c r="K1514" s="597">
        <v>5.94</v>
      </c>
      <c r="L1514" s="598">
        <f>K1514*J1514</f>
        <v>569.64599999999996</v>
      </c>
      <c r="M1514" s="97" t="s">
        <v>224</v>
      </c>
      <c r="N1514" s="33">
        <v>45236</v>
      </c>
      <c r="O1514" s="32">
        <v>5645</v>
      </c>
      <c r="P1514" s="83">
        <v>490</v>
      </c>
      <c r="Q1514" s="83">
        <f>P1514*J1514</f>
        <v>46990.999999999993</v>
      </c>
      <c r="S1514" s="7">
        <f t="shared" si="108"/>
        <v>490</v>
      </c>
      <c r="T1514" s="1318">
        <f t="shared" si="109"/>
        <v>46990.999999999993</v>
      </c>
      <c r="U1514" s="83">
        <v>125</v>
      </c>
      <c r="V1514" s="1560">
        <f>(((K1514*U1514)-P1514)/(K1514*U1514))</f>
        <v>0.34006734006734007</v>
      </c>
    </row>
    <row r="1515" spans="3:22" s="7" customFormat="1" ht="18" customHeight="1">
      <c r="C1515" s="6" t="s">
        <v>4117</v>
      </c>
      <c r="D1515" s="13" t="s">
        <v>2277</v>
      </c>
      <c r="E1515" s="740" t="s">
        <v>2280</v>
      </c>
      <c r="F1515" s="23"/>
      <c r="G1515" s="21" t="s">
        <v>25</v>
      </c>
      <c r="H1515" s="93">
        <v>10.7</v>
      </c>
      <c r="I1515" s="94">
        <v>1</v>
      </c>
      <c r="J1515" s="108">
        <f>H1515*I1515</f>
        <v>10.7</v>
      </c>
      <c r="K1515" s="597">
        <v>5.94</v>
      </c>
      <c r="L1515" s="598">
        <f>K1515*J1515</f>
        <v>63.558</v>
      </c>
      <c r="M1515" s="97" t="s">
        <v>224</v>
      </c>
      <c r="N1515" s="33">
        <v>45236</v>
      </c>
      <c r="O1515" s="32">
        <v>5645</v>
      </c>
      <c r="P1515" s="83">
        <v>490</v>
      </c>
      <c r="Q1515" s="83">
        <f>P1515*J1515</f>
        <v>5243</v>
      </c>
      <c r="S1515" s="7">
        <f>P1515</f>
        <v>490</v>
      </c>
      <c r="T1515" s="1318">
        <f>Q1515</f>
        <v>5243</v>
      </c>
      <c r="U1515" s="83">
        <v>125</v>
      </c>
      <c r="V1515" s="1560">
        <f>(((K1515*U1515)-P1515)/(K1515*U1515))</f>
        <v>0.34006734006734007</v>
      </c>
    </row>
    <row r="1516" spans="3:22" s="159" customFormat="1" ht="18" customHeight="1">
      <c r="C1516" s="149" t="s">
        <v>4117</v>
      </c>
      <c r="D1516" s="150" t="s">
        <v>2277</v>
      </c>
      <c r="E1516" s="151"/>
      <c r="F1516" s="152"/>
      <c r="G1516" s="152" t="s">
        <v>168</v>
      </c>
      <c r="H1516" s="154" t="s">
        <v>169</v>
      </c>
      <c r="I1516" s="155"/>
      <c r="J1516" s="153"/>
      <c r="K1516" s="600">
        <v>0</v>
      </c>
      <c r="L1516" s="601"/>
      <c r="M1516" s="601"/>
      <c r="N1516" s="157">
        <v>45236</v>
      </c>
      <c r="O1516" s="156">
        <v>5645</v>
      </c>
      <c r="P1516" s="164">
        <v>0</v>
      </c>
      <c r="Q1516" s="165">
        <v>0</v>
      </c>
      <c r="S1516" s="7">
        <f t="shared" si="108"/>
        <v>0</v>
      </c>
      <c r="T1516" s="1318">
        <f t="shared" si="109"/>
        <v>0</v>
      </c>
      <c r="U1516" s="83">
        <v>125</v>
      </c>
    </row>
    <row r="1517" spans="3:22" s="7" customFormat="1" ht="18" customHeight="1">
      <c r="C1517" s="6" t="s">
        <v>4127</v>
      </c>
      <c r="D1517" s="13" t="s">
        <v>1812</v>
      </c>
      <c r="E1517" s="18" t="s">
        <v>79</v>
      </c>
      <c r="F1517" s="92"/>
      <c r="G1517" s="21"/>
      <c r="H1517" s="93"/>
      <c r="I1517" s="94"/>
      <c r="J1517" s="93"/>
      <c r="K1517" s="95" t="s">
        <v>8</v>
      </c>
      <c r="L1517" s="33"/>
      <c r="M1517" s="33"/>
      <c r="N1517" s="33">
        <v>45239</v>
      </c>
      <c r="O1517" s="32">
        <v>5663</v>
      </c>
      <c r="P1517" s="83"/>
      <c r="Q1517" s="83"/>
      <c r="S1517" s="7">
        <f t="shared" si="108"/>
        <v>0</v>
      </c>
      <c r="T1517" s="1318">
        <f t="shared" si="109"/>
        <v>0</v>
      </c>
      <c r="U1517" s="83">
        <v>125</v>
      </c>
      <c r="V1517" s="1560" t="e">
        <f>(((K1517*U1517)-P1517)/(K1517*U1517))</f>
        <v>#VALUE!</v>
      </c>
    </row>
    <row r="1518" spans="3:22" s="7" customFormat="1" ht="18" customHeight="1">
      <c r="C1518" s="6" t="s">
        <v>4127</v>
      </c>
      <c r="D1518" s="13" t="s">
        <v>1812</v>
      </c>
      <c r="E1518" s="21">
        <v>4141</v>
      </c>
      <c r="F1518" s="596">
        <v>12</v>
      </c>
      <c r="G1518" s="21" t="s">
        <v>4128</v>
      </c>
      <c r="H1518" s="93">
        <v>20</v>
      </c>
      <c r="I1518" s="94">
        <v>3</v>
      </c>
      <c r="J1518" s="55">
        <f t="shared" ref="J1518:J1523" si="110">H1518*I1518</f>
        <v>60</v>
      </c>
      <c r="K1518" s="597">
        <v>1.52</v>
      </c>
      <c r="L1518" s="598">
        <f t="shared" ref="L1518:L1523" si="111">K1518*J1518</f>
        <v>91.2</v>
      </c>
      <c r="M1518" s="97" t="s">
        <v>224</v>
      </c>
      <c r="N1518" s="33">
        <v>45239</v>
      </c>
      <c r="O1518" s="32">
        <v>5663</v>
      </c>
      <c r="P1518" s="83">
        <v>110</v>
      </c>
      <c r="Q1518" s="83">
        <f t="shared" ref="Q1518:Q1523" si="112">P1518*J1518</f>
        <v>6600</v>
      </c>
      <c r="S1518" s="7">
        <f t="shared" si="108"/>
        <v>110</v>
      </c>
      <c r="T1518" s="1318">
        <f t="shared" si="109"/>
        <v>6600</v>
      </c>
      <c r="U1518" s="83">
        <v>125</v>
      </c>
      <c r="V1518" s="1560">
        <f>(((K1518*U1518)-P1518)/(K1518*U1518))</f>
        <v>0.42105263157894735</v>
      </c>
    </row>
    <row r="1519" spans="3:22" s="7" customFormat="1" ht="18" customHeight="1">
      <c r="C1519" s="6" t="s">
        <v>4127</v>
      </c>
      <c r="D1519" s="13" t="s">
        <v>1812</v>
      </c>
      <c r="E1519" s="21">
        <v>4141</v>
      </c>
      <c r="F1519" s="596">
        <v>6</v>
      </c>
      <c r="G1519" s="21" t="s">
        <v>4129</v>
      </c>
      <c r="H1519" s="93">
        <v>20</v>
      </c>
      <c r="I1519" s="94">
        <v>3</v>
      </c>
      <c r="J1519" s="55">
        <f t="shared" si="110"/>
        <v>60</v>
      </c>
      <c r="K1519" s="597">
        <v>1.2</v>
      </c>
      <c r="L1519" s="598">
        <f t="shared" si="111"/>
        <v>72</v>
      </c>
      <c r="M1519" s="97" t="s">
        <v>224</v>
      </c>
      <c r="N1519" s="33">
        <v>45239</v>
      </c>
      <c r="O1519" s="32">
        <v>5663</v>
      </c>
      <c r="P1519" s="83">
        <v>87</v>
      </c>
      <c r="Q1519" s="83">
        <f t="shared" si="112"/>
        <v>5220</v>
      </c>
      <c r="S1519" s="7">
        <f t="shared" ref="S1519:T1526" si="113">P1519</f>
        <v>87</v>
      </c>
      <c r="T1519" s="1318">
        <f t="shared" si="113"/>
        <v>5220</v>
      </c>
      <c r="U1519" s="83">
        <v>125</v>
      </c>
      <c r="V1519" s="1560">
        <f>(((K1519*U1519)-P1519)/(K1519*U1519))</f>
        <v>0.42</v>
      </c>
    </row>
    <row r="1520" spans="3:22" s="7" customFormat="1" ht="18" customHeight="1">
      <c r="C1520" s="6" t="s">
        <v>4127</v>
      </c>
      <c r="D1520" s="13" t="s">
        <v>1812</v>
      </c>
      <c r="E1520" s="21">
        <v>4141</v>
      </c>
      <c r="F1520" s="596">
        <v>6</v>
      </c>
      <c r="G1520" s="21" t="s">
        <v>4130</v>
      </c>
      <c r="H1520" s="93">
        <v>20</v>
      </c>
      <c r="I1520" s="94">
        <v>3</v>
      </c>
      <c r="J1520" s="55">
        <f t="shared" si="110"/>
        <v>60</v>
      </c>
      <c r="K1520" s="597">
        <v>1.2</v>
      </c>
      <c r="L1520" s="598">
        <f t="shared" si="111"/>
        <v>72</v>
      </c>
      <c r="M1520" s="97" t="s">
        <v>224</v>
      </c>
      <c r="N1520" s="33">
        <v>45239</v>
      </c>
      <c r="O1520" s="32">
        <v>5663</v>
      </c>
      <c r="P1520" s="83">
        <v>87</v>
      </c>
      <c r="Q1520" s="83">
        <f t="shared" si="112"/>
        <v>5220</v>
      </c>
      <c r="S1520" s="7">
        <f t="shared" si="113"/>
        <v>87</v>
      </c>
      <c r="T1520" s="1318">
        <f t="shared" si="113"/>
        <v>5220</v>
      </c>
      <c r="U1520" s="83">
        <v>125</v>
      </c>
      <c r="V1520" s="1560">
        <f t="shared" ref="V1520:V1525" si="114">(((K1520*U1520)-P1520)/(K1520*U1520))</f>
        <v>0.42</v>
      </c>
    </row>
    <row r="1521" spans="3:22" s="7" customFormat="1" ht="18" customHeight="1">
      <c r="C1521" s="6" t="s">
        <v>4127</v>
      </c>
      <c r="D1521" s="13" t="s">
        <v>1812</v>
      </c>
      <c r="E1521" s="21">
        <v>4141</v>
      </c>
      <c r="F1521" s="596">
        <v>6</v>
      </c>
      <c r="G1521" s="21" t="s">
        <v>4131</v>
      </c>
      <c r="H1521" s="93">
        <v>20</v>
      </c>
      <c r="I1521" s="94">
        <v>4</v>
      </c>
      <c r="J1521" s="55">
        <f t="shared" si="110"/>
        <v>80</v>
      </c>
      <c r="K1521" s="597">
        <v>1.2</v>
      </c>
      <c r="L1521" s="598">
        <f t="shared" si="111"/>
        <v>96</v>
      </c>
      <c r="M1521" s="97" t="s">
        <v>224</v>
      </c>
      <c r="N1521" s="33">
        <v>45239</v>
      </c>
      <c r="O1521" s="32">
        <v>5663</v>
      </c>
      <c r="P1521" s="83">
        <v>87</v>
      </c>
      <c r="Q1521" s="83">
        <f t="shared" si="112"/>
        <v>6960</v>
      </c>
      <c r="S1521" s="7">
        <f t="shared" si="113"/>
        <v>87</v>
      </c>
      <c r="T1521" s="1318">
        <f t="shared" si="113"/>
        <v>6960</v>
      </c>
      <c r="U1521" s="83">
        <v>125</v>
      </c>
      <c r="V1521" s="1560">
        <f t="shared" si="114"/>
        <v>0.42</v>
      </c>
    </row>
    <row r="1522" spans="3:22" s="7" customFormat="1" ht="18" customHeight="1">
      <c r="C1522" s="6" t="s">
        <v>4127</v>
      </c>
      <c r="D1522" s="13" t="s">
        <v>1812</v>
      </c>
      <c r="E1522" s="21">
        <v>4141</v>
      </c>
      <c r="F1522" s="596">
        <v>6</v>
      </c>
      <c r="G1522" s="21" t="s">
        <v>4132</v>
      </c>
      <c r="H1522" s="93">
        <v>20</v>
      </c>
      <c r="I1522" s="94">
        <v>2</v>
      </c>
      <c r="J1522" s="55">
        <f t="shared" si="110"/>
        <v>40</v>
      </c>
      <c r="K1522" s="597">
        <v>1.2</v>
      </c>
      <c r="L1522" s="598">
        <f t="shared" si="111"/>
        <v>48</v>
      </c>
      <c r="M1522" s="97" t="s">
        <v>224</v>
      </c>
      <c r="N1522" s="33">
        <v>45239</v>
      </c>
      <c r="O1522" s="32">
        <v>5663</v>
      </c>
      <c r="P1522" s="83">
        <v>87</v>
      </c>
      <c r="Q1522" s="83">
        <f t="shared" si="112"/>
        <v>3480</v>
      </c>
      <c r="S1522" s="7">
        <f t="shared" si="113"/>
        <v>87</v>
      </c>
      <c r="T1522" s="1318">
        <f t="shared" si="113"/>
        <v>3480</v>
      </c>
      <c r="U1522" s="83">
        <v>125</v>
      </c>
      <c r="V1522" s="1560">
        <f t="shared" si="114"/>
        <v>0.42</v>
      </c>
    </row>
    <row r="1523" spans="3:22" s="7" customFormat="1" ht="18" customHeight="1">
      <c r="C1523" s="6" t="s">
        <v>4127</v>
      </c>
      <c r="D1523" s="13" t="s">
        <v>1812</v>
      </c>
      <c r="E1523" s="21">
        <v>4141</v>
      </c>
      <c r="F1523" s="596">
        <v>6</v>
      </c>
      <c r="G1523" s="21" t="s">
        <v>4128</v>
      </c>
      <c r="H1523" s="93">
        <v>20</v>
      </c>
      <c r="I1523" s="94">
        <v>25</v>
      </c>
      <c r="J1523" s="55">
        <f t="shared" si="110"/>
        <v>500</v>
      </c>
      <c r="K1523" s="597">
        <v>1.2</v>
      </c>
      <c r="L1523" s="598">
        <f t="shared" si="111"/>
        <v>600</v>
      </c>
      <c r="M1523" s="97" t="s">
        <v>224</v>
      </c>
      <c r="N1523" s="33">
        <v>45239</v>
      </c>
      <c r="O1523" s="32">
        <v>5663</v>
      </c>
      <c r="P1523" s="83">
        <v>87</v>
      </c>
      <c r="Q1523" s="83">
        <f t="shared" si="112"/>
        <v>43500</v>
      </c>
      <c r="S1523" s="7">
        <f t="shared" si="113"/>
        <v>87</v>
      </c>
      <c r="T1523" s="1318">
        <f t="shared" si="113"/>
        <v>43500</v>
      </c>
      <c r="U1523" s="83">
        <v>125</v>
      </c>
      <c r="V1523" s="1560">
        <f t="shared" si="114"/>
        <v>0.42</v>
      </c>
    </row>
    <row r="1524" spans="3:22" s="7" customFormat="1" ht="18" customHeight="1">
      <c r="C1524" s="6" t="s">
        <v>4127</v>
      </c>
      <c r="D1524" s="13" t="s">
        <v>1812</v>
      </c>
      <c r="E1524" s="18" t="s">
        <v>156</v>
      </c>
      <c r="F1524" s="23"/>
      <c r="G1524" s="21"/>
      <c r="H1524" s="39"/>
      <c r="I1524" s="56"/>
      <c r="J1524" s="55"/>
      <c r="K1524" s="15" t="s">
        <v>8</v>
      </c>
      <c r="L1524" s="33"/>
      <c r="M1524" s="33"/>
      <c r="N1524" s="33">
        <v>45239</v>
      </c>
      <c r="O1524" s="32">
        <v>5663</v>
      </c>
      <c r="P1524" s="83"/>
      <c r="Q1524" s="83"/>
      <c r="S1524" s="7">
        <f t="shared" si="113"/>
        <v>0</v>
      </c>
      <c r="T1524" s="1318">
        <f t="shared" si="113"/>
        <v>0</v>
      </c>
      <c r="U1524" s="83">
        <v>125</v>
      </c>
      <c r="V1524" s="1560" t="e">
        <f t="shared" si="114"/>
        <v>#VALUE!</v>
      </c>
    </row>
    <row r="1525" spans="3:22" ht="18" customHeight="1">
      <c r="C1525" s="6" t="s">
        <v>4127</v>
      </c>
      <c r="D1525" s="13" t="s">
        <v>1812</v>
      </c>
      <c r="E1525" s="21">
        <v>3717</v>
      </c>
      <c r="F1525" s="134">
        <v>15</v>
      </c>
      <c r="G1525" s="21" t="s">
        <v>2727</v>
      </c>
      <c r="H1525" s="93">
        <v>30</v>
      </c>
      <c r="I1525" s="94">
        <v>1</v>
      </c>
      <c r="J1525" s="55">
        <f>H1525*I1525</f>
        <v>30</v>
      </c>
      <c r="K1525" s="597">
        <v>0.36</v>
      </c>
      <c r="L1525" s="598">
        <f>K1525*J1525</f>
        <v>10.799999999999999</v>
      </c>
      <c r="M1525" s="97" t="s">
        <v>224</v>
      </c>
      <c r="N1525" s="33">
        <v>45239</v>
      </c>
      <c r="O1525" s="32">
        <v>5663</v>
      </c>
      <c r="P1525" s="83">
        <v>22</v>
      </c>
      <c r="Q1525" s="83">
        <f>P1525*J1525</f>
        <v>660</v>
      </c>
      <c r="R1525" s="700"/>
      <c r="S1525" s="7">
        <f t="shared" si="113"/>
        <v>22</v>
      </c>
      <c r="T1525" s="1318">
        <f t="shared" si="113"/>
        <v>660</v>
      </c>
      <c r="U1525" s="83">
        <v>125</v>
      </c>
      <c r="V1525" s="1560">
        <f t="shared" si="114"/>
        <v>0.51111111111111107</v>
      </c>
    </row>
    <row r="1526" spans="3:22" ht="18" customHeight="1">
      <c r="C1526" s="6" t="s">
        <v>4127</v>
      </c>
      <c r="D1526" s="13" t="s">
        <v>1812</v>
      </c>
      <c r="E1526" s="21">
        <v>3717</v>
      </c>
      <c r="F1526" s="134">
        <v>32</v>
      </c>
      <c r="G1526" s="21" t="s">
        <v>2727</v>
      </c>
      <c r="H1526" s="93">
        <v>30</v>
      </c>
      <c r="I1526" s="94">
        <v>1</v>
      </c>
      <c r="J1526" s="55">
        <f>H1526*I1526</f>
        <v>30</v>
      </c>
      <c r="K1526" s="597">
        <v>0.71</v>
      </c>
      <c r="L1526" s="598">
        <f>K1526*J1526</f>
        <v>21.299999999999997</v>
      </c>
      <c r="M1526" s="97" t="s">
        <v>224</v>
      </c>
      <c r="N1526" s="33">
        <v>45239</v>
      </c>
      <c r="O1526" s="32">
        <v>5663</v>
      </c>
      <c r="P1526" s="83">
        <v>44</v>
      </c>
      <c r="Q1526" s="83">
        <f>P1526*J1526</f>
        <v>1320</v>
      </c>
      <c r="R1526" s="700"/>
      <c r="S1526" s="7">
        <f t="shared" si="113"/>
        <v>44</v>
      </c>
      <c r="T1526" s="1318">
        <f t="shared" si="113"/>
        <v>1320</v>
      </c>
      <c r="U1526" s="83">
        <v>125</v>
      </c>
      <c r="V1526" s="1560">
        <f t="shared" ref="V1526:V1531" si="115">(((K1526*U1526)-P1526)/(K1526*U1526))</f>
        <v>0.50422535211267605</v>
      </c>
    </row>
    <row r="1527" spans="3:22" ht="18" customHeight="1">
      <c r="C1527" s="6" t="s">
        <v>4127</v>
      </c>
      <c r="D1527" s="13" t="s">
        <v>1812</v>
      </c>
      <c r="E1527" s="21"/>
      <c r="F1527" s="38"/>
      <c r="G1527" s="38" t="s">
        <v>218</v>
      </c>
      <c r="H1527" s="39"/>
      <c r="I1527" s="94"/>
      <c r="J1527" s="39">
        <v>1</v>
      </c>
      <c r="K1527" s="611">
        <v>12</v>
      </c>
      <c r="L1527" s="598">
        <f>K1527*J1527</f>
        <v>12</v>
      </c>
      <c r="M1527" s="898"/>
      <c r="N1527" s="33">
        <v>45239</v>
      </c>
      <c r="O1527" s="32">
        <v>5663</v>
      </c>
      <c r="P1527" s="83">
        <v>0</v>
      </c>
      <c r="Q1527" s="83">
        <f>P1527*J1527</f>
        <v>0</v>
      </c>
      <c r="S1527" s="7">
        <f t="shared" si="108"/>
        <v>0</v>
      </c>
      <c r="T1527" s="1318">
        <f t="shared" si="109"/>
        <v>0</v>
      </c>
      <c r="U1527" s="83">
        <v>125</v>
      </c>
      <c r="V1527" s="1560">
        <f t="shared" si="115"/>
        <v>1</v>
      </c>
    </row>
    <row r="1528" spans="3:22" s="159" customFormat="1" ht="18" customHeight="1">
      <c r="C1528" s="149" t="s">
        <v>4127</v>
      </c>
      <c r="D1528" s="150" t="s">
        <v>1812</v>
      </c>
      <c r="E1528" s="191"/>
      <c r="F1528" s="152"/>
      <c r="G1528" s="152" t="s">
        <v>168</v>
      </c>
      <c r="H1528" s="154" t="s">
        <v>169</v>
      </c>
      <c r="I1528" s="155"/>
      <c r="J1528" s="153"/>
      <c r="K1528" s="600">
        <v>0</v>
      </c>
      <c r="L1528" s="601"/>
      <c r="M1528" s="601"/>
      <c r="N1528" s="157">
        <v>45239</v>
      </c>
      <c r="O1528" s="156">
        <v>5663</v>
      </c>
      <c r="P1528" s="164">
        <v>0</v>
      </c>
      <c r="Q1528" s="165">
        <v>0</v>
      </c>
      <c r="T1528" s="1317"/>
      <c r="U1528" s="83">
        <v>125</v>
      </c>
      <c r="V1528" s="1560" t="e">
        <f t="shared" si="115"/>
        <v>#DIV/0!</v>
      </c>
    </row>
    <row r="1529" spans="3:22" s="7" customFormat="1" ht="18" customHeight="1">
      <c r="C1529" s="6" t="s">
        <v>4150</v>
      </c>
      <c r="D1529" s="13" t="s">
        <v>1812</v>
      </c>
      <c r="E1529" s="18" t="s">
        <v>79</v>
      </c>
      <c r="F1529" s="92"/>
      <c r="G1529" s="21"/>
      <c r="H1529" s="93"/>
      <c r="I1529" s="94"/>
      <c r="J1529" s="93"/>
      <c r="K1529" s="95" t="s">
        <v>8</v>
      </c>
      <c r="L1529" s="33"/>
      <c r="M1529" s="33"/>
      <c r="N1529" s="33">
        <v>45259</v>
      </c>
      <c r="O1529" s="32">
        <v>5707</v>
      </c>
      <c r="P1529" s="83"/>
      <c r="Q1529" s="83"/>
      <c r="S1529" s="7">
        <f t="shared" ref="S1529:T1531" si="116">P1529</f>
        <v>0</v>
      </c>
      <c r="T1529" s="1318">
        <f t="shared" si="116"/>
        <v>0</v>
      </c>
      <c r="U1529" s="83">
        <v>125</v>
      </c>
      <c r="V1529" s="1560" t="e">
        <f t="shared" si="115"/>
        <v>#VALUE!</v>
      </c>
    </row>
    <row r="1530" spans="3:22" s="7" customFormat="1" ht="18" customHeight="1">
      <c r="C1530" s="6" t="s">
        <v>4150</v>
      </c>
      <c r="D1530" s="13" t="s">
        <v>1812</v>
      </c>
      <c r="E1530" s="21">
        <v>4141</v>
      </c>
      <c r="F1530" s="596">
        <v>6</v>
      </c>
      <c r="G1530" s="21" t="s">
        <v>4151</v>
      </c>
      <c r="H1530" s="93">
        <v>20</v>
      </c>
      <c r="I1530" s="94">
        <v>1</v>
      </c>
      <c r="J1530" s="55">
        <f>H1530*I1530</f>
        <v>20</v>
      </c>
      <c r="K1530" s="597">
        <v>1.2</v>
      </c>
      <c r="L1530" s="598">
        <f>K1530*J1530</f>
        <v>24</v>
      </c>
      <c r="M1530" s="97" t="s">
        <v>224</v>
      </c>
      <c r="N1530" s="33">
        <v>45259</v>
      </c>
      <c r="O1530" s="32">
        <v>5707</v>
      </c>
      <c r="P1530" s="83">
        <v>87</v>
      </c>
      <c r="Q1530" s="83">
        <f>P1530*J1530</f>
        <v>1740</v>
      </c>
      <c r="S1530" s="7">
        <f t="shared" si="116"/>
        <v>87</v>
      </c>
      <c r="T1530" s="1318">
        <f t="shared" si="116"/>
        <v>1740</v>
      </c>
      <c r="U1530" s="83">
        <v>125</v>
      </c>
      <c r="V1530" s="1560">
        <f t="shared" si="115"/>
        <v>0.42</v>
      </c>
    </row>
    <row r="1531" spans="3:22" s="7" customFormat="1" ht="18" customHeight="1">
      <c r="C1531" s="6" t="s">
        <v>4150</v>
      </c>
      <c r="D1531" s="13" t="s">
        <v>1812</v>
      </c>
      <c r="E1531" s="21">
        <v>4141</v>
      </c>
      <c r="F1531" s="596">
        <v>9</v>
      </c>
      <c r="G1531" s="21" t="s">
        <v>4151</v>
      </c>
      <c r="H1531" s="93">
        <v>20</v>
      </c>
      <c r="I1531" s="94">
        <v>1</v>
      </c>
      <c r="J1531" s="55">
        <f>H1531*I1531</f>
        <v>20</v>
      </c>
      <c r="K1531" s="597">
        <v>1.33</v>
      </c>
      <c r="L1531" s="598">
        <f>K1531*J1531</f>
        <v>26.6</v>
      </c>
      <c r="M1531" s="97" t="s">
        <v>224</v>
      </c>
      <c r="N1531" s="33">
        <v>45259</v>
      </c>
      <c r="O1531" s="32">
        <v>5707</v>
      </c>
      <c r="P1531" s="83">
        <v>97</v>
      </c>
      <c r="Q1531" s="83">
        <f>P1531*J1531</f>
        <v>1940</v>
      </c>
      <c r="S1531" s="7">
        <f t="shared" si="116"/>
        <v>97</v>
      </c>
      <c r="T1531" s="1318">
        <f t="shared" si="116"/>
        <v>1940</v>
      </c>
      <c r="U1531" s="83">
        <v>125</v>
      </c>
      <c r="V1531" s="1560">
        <f t="shared" si="115"/>
        <v>0.41654135338345866</v>
      </c>
    </row>
    <row r="1532" spans="3:22" s="7" customFormat="1" ht="18" customHeight="1">
      <c r="C1532" s="6" t="s">
        <v>4150</v>
      </c>
      <c r="D1532" s="13" t="s">
        <v>1812</v>
      </c>
      <c r="E1532" s="21">
        <v>4141</v>
      </c>
      <c r="F1532" s="596">
        <v>6</v>
      </c>
      <c r="G1532" s="21" t="s">
        <v>4152</v>
      </c>
      <c r="H1532" s="93">
        <v>20</v>
      </c>
      <c r="I1532" s="94">
        <v>1</v>
      </c>
      <c r="J1532" s="55">
        <f t="shared" ref="J1532:J1537" si="117">H1532*I1532</f>
        <v>20</v>
      </c>
      <c r="K1532" s="597">
        <v>1.2</v>
      </c>
      <c r="L1532" s="598">
        <f t="shared" ref="L1532:L1537" si="118">K1532*J1532</f>
        <v>24</v>
      </c>
      <c r="M1532" s="97" t="s">
        <v>224</v>
      </c>
      <c r="N1532" s="33">
        <v>45259</v>
      </c>
      <c r="O1532" s="32">
        <v>5707</v>
      </c>
      <c r="P1532" s="83">
        <v>87</v>
      </c>
      <c r="Q1532" s="83">
        <f t="shared" ref="Q1532:Q1537" si="119">P1532*J1532</f>
        <v>1740</v>
      </c>
      <c r="S1532" s="7">
        <f t="shared" ref="S1532:S1537" si="120">P1532</f>
        <v>87</v>
      </c>
      <c r="T1532" s="1318">
        <f t="shared" ref="T1532:T1537" si="121">Q1532</f>
        <v>1740</v>
      </c>
      <c r="U1532" s="83">
        <v>125</v>
      </c>
      <c r="V1532" s="1560">
        <f t="shared" ref="V1532:V1537" si="122">(((K1532*U1532)-P1532)/(K1532*U1532))</f>
        <v>0.42</v>
      </c>
    </row>
    <row r="1533" spans="3:22" s="7" customFormat="1" ht="18" customHeight="1">
      <c r="C1533" s="6" t="s">
        <v>4150</v>
      </c>
      <c r="D1533" s="13" t="s">
        <v>1812</v>
      </c>
      <c r="E1533" s="21">
        <v>4141</v>
      </c>
      <c r="F1533" s="596">
        <v>9</v>
      </c>
      <c r="G1533" s="21" t="s">
        <v>4152</v>
      </c>
      <c r="H1533" s="93">
        <v>20</v>
      </c>
      <c r="I1533" s="94">
        <v>1</v>
      </c>
      <c r="J1533" s="55">
        <f t="shared" si="117"/>
        <v>20</v>
      </c>
      <c r="K1533" s="597">
        <v>1.33</v>
      </c>
      <c r="L1533" s="598">
        <f t="shared" si="118"/>
        <v>26.6</v>
      </c>
      <c r="M1533" s="97" t="s">
        <v>224</v>
      </c>
      <c r="N1533" s="33">
        <v>45259</v>
      </c>
      <c r="O1533" s="32">
        <v>5707</v>
      </c>
      <c r="P1533" s="83">
        <v>97</v>
      </c>
      <c r="Q1533" s="83">
        <f t="shared" si="119"/>
        <v>1940</v>
      </c>
      <c r="S1533" s="7">
        <f t="shared" si="120"/>
        <v>97</v>
      </c>
      <c r="T1533" s="1318">
        <f t="shared" si="121"/>
        <v>1940</v>
      </c>
      <c r="U1533" s="83">
        <v>125</v>
      </c>
      <c r="V1533" s="1560">
        <f t="shared" si="122"/>
        <v>0.41654135338345866</v>
      </c>
    </row>
    <row r="1534" spans="3:22" s="7" customFormat="1" ht="18" customHeight="1">
      <c r="C1534" s="6" t="s">
        <v>4150</v>
      </c>
      <c r="D1534" s="13" t="s">
        <v>1812</v>
      </c>
      <c r="E1534" s="21">
        <v>4141</v>
      </c>
      <c r="F1534" s="596">
        <v>6</v>
      </c>
      <c r="G1534" s="21" t="s">
        <v>4153</v>
      </c>
      <c r="H1534" s="93">
        <v>20</v>
      </c>
      <c r="I1534" s="94">
        <v>1</v>
      </c>
      <c r="J1534" s="55">
        <f t="shared" si="117"/>
        <v>20</v>
      </c>
      <c r="K1534" s="597">
        <v>1.2</v>
      </c>
      <c r="L1534" s="598">
        <f t="shared" si="118"/>
        <v>24</v>
      </c>
      <c r="M1534" s="97" t="s">
        <v>224</v>
      </c>
      <c r="N1534" s="33">
        <v>45259</v>
      </c>
      <c r="O1534" s="32">
        <v>5707</v>
      </c>
      <c r="P1534" s="83">
        <v>87</v>
      </c>
      <c r="Q1534" s="83">
        <f t="shared" si="119"/>
        <v>1740</v>
      </c>
      <c r="S1534" s="7">
        <f t="shared" si="120"/>
        <v>87</v>
      </c>
      <c r="T1534" s="1318">
        <f t="shared" si="121"/>
        <v>1740</v>
      </c>
      <c r="U1534" s="83">
        <v>125</v>
      </c>
      <c r="V1534" s="1560">
        <f t="shared" si="122"/>
        <v>0.42</v>
      </c>
    </row>
    <row r="1535" spans="3:22" s="7" customFormat="1" ht="18" customHeight="1">
      <c r="C1535" s="6" t="s">
        <v>4150</v>
      </c>
      <c r="D1535" s="13" t="s">
        <v>1812</v>
      </c>
      <c r="E1535" s="21">
        <v>4141</v>
      </c>
      <c r="F1535" s="596">
        <v>9</v>
      </c>
      <c r="G1535" s="21" t="s">
        <v>4153</v>
      </c>
      <c r="H1535" s="93">
        <v>20</v>
      </c>
      <c r="I1535" s="94">
        <v>1</v>
      </c>
      <c r="J1535" s="55">
        <f t="shared" si="117"/>
        <v>20</v>
      </c>
      <c r="K1535" s="597">
        <v>1.33</v>
      </c>
      <c r="L1535" s="598">
        <f t="shared" si="118"/>
        <v>26.6</v>
      </c>
      <c r="M1535" s="97" t="s">
        <v>224</v>
      </c>
      <c r="N1535" s="33">
        <v>45259</v>
      </c>
      <c r="O1535" s="32">
        <v>5707</v>
      </c>
      <c r="P1535" s="83">
        <v>97</v>
      </c>
      <c r="Q1535" s="83">
        <f t="shared" si="119"/>
        <v>1940</v>
      </c>
      <c r="S1535" s="7">
        <f t="shared" si="120"/>
        <v>97</v>
      </c>
      <c r="T1535" s="1318">
        <f t="shared" si="121"/>
        <v>1940</v>
      </c>
      <c r="U1535" s="83">
        <v>125</v>
      </c>
      <c r="V1535" s="1560">
        <f t="shared" si="122"/>
        <v>0.41654135338345866</v>
      </c>
    </row>
    <row r="1536" spans="3:22" s="7" customFormat="1" ht="18" customHeight="1">
      <c r="C1536" s="6" t="s">
        <v>4150</v>
      </c>
      <c r="D1536" s="13" t="s">
        <v>1812</v>
      </c>
      <c r="E1536" s="21">
        <v>4141</v>
      </c>
      <c r="F1536" s="596">
        <v>6</v>
      </c>
      <c r="G1536" s="21" t="s">
        <v>4154</v>
      </c>
      <c r="H1536" s="93">
        <v>20</v>
      </c>
      <c r="I1536" s="94">
        <v>1</v>
      </c>
      <c r="J1536" s="55">
        <f t="shared" si="117"/>
        <v>20</v>
      </c>
      <c r="K1536" s="597">
        <v>1.2</v>
      </c>
      <c r="L1536" s="598">
        <f t="shared" si="118"/>
        <v>24</v>
      </c>
      <c r="M1536" s="97" t="s">
        <v>224</v>
      </c>
      <c r="N1536" s="33">
        <v>45259</v>
      </c>
      <c r="O1536" s="32">
        <v>5707</v>
      </c>
      <c r="P1536" s="83">
        <v>87</v>
      </c>
      <c r="Q1536" s="83">
        <f t="shared" si="119"/>
        <v>1740</v>
      </c>
      <c r="S1536" s="7">
        <f t="shared" si="120"/>
        <v>87</v>
      </c>
      <c r="T1536" s="1318">
        <f t="shared" si="121"/>
        <v>1740</v>
      </c>
      <c r="U1536" s="83">
        <v>125</v>
      </c>
      <c r="V1536" s="1560">
        <f t="shared" si="122"/>
        <v>0.42</v>
      </c>
    </row>
    <row r="1537" spans="3:22" s="7" customFormat="1" ht="18" customHeight="1">
      <c r="C1537" s="6" t="s">
        <v>4150</v>
      </c>
      <c r="D1537" s="13" t="s">
        <v>1812</v>
      </c>
      <c r="E1537" s="21">
        <v>4141</v>
      </c>
      <c r="F1537" s="596">
        <v>9</v>
      </c>
      <c r="G1537" s="21" t="s">
        <v>4154</v>
      </c>
      <c r="H1537" s="93">
        <v>20</v>
      </c>
      <c r="I1537" s="94">
        <v>1</v>
      </c>
      <c r="J1537" s="55">
        <f t="shared" si="117"/>
        <v>20</v>
      </c>
      <c r="K1537" s="597">
        <v>1.33</v>
      </c>
      <c r="L1537" s="598">
        <f t="shared" si="118"/>
        <v>26.6</v>
      </c>
      <c r="M1537" s="97" t="s">
        <v>224</v>
      </c>
      <c r="N1537" s="33">
        <v>45259</v>
      </c>
      <c r="O1537" s="32">
        <v>5707</v>
      </c>
      <c r="P1537" s="83">
        <v>97</v>
      </c>
      <c r="Q1537" s="83">
        <f t="shared" si="119"/>
        <v>1940</v>
      </c>
      <c r="S1537" s="7">
        <f t="shared" si="120"/>
        <v>97</v>
      </c>
      <c r="T1537" s="1318">
        <f t="shared" si="121"/>
        <v>1940</v>
      </c>
      <c r="U1537" s="83">
        <v>125</v>
      </c>
      <c r="V1537" s="1560">
        <f t="shared" si="122"/>
        <v>0.41654135338345866</v>
      </c>
    </row>
    <row r="1538" spans="3:22" s="7" customFormat="1" ht="18" customHeight="1">
      <c r="C1538" s="6" t="s">
        <v>4150</v>
      </c>
      <c r="D1538" s="13" t="s">
        <v>1812</v>
      </c>
      <c r="E1538" s="21">
        <v>4141</v>
      </c>
      <c r="F1538" s="596">
        <v>6</v>
      </c>
      <c r="G1538" s="21" t="s">
        <v>4163</v>
      </c>
      <c r="H1538" s="93">
        <v>20</v>
      </c>
      <c r="I1538" s="94">
        <v>1</v>
      </c>
      <c r="J1538" s="55">
        <f>H1538*I1538</f>
        <v>20</v>
      </c>
      <c r="K1538" s="597">
        <v>1.2</v>
      </c>
      <c r="L1538" s="598">
        <f>K1538*J1538</f>
        <v>24</v>
      </c>
      <c r="M1538" s="97" t="s">
        <v>224</v>
      </c>
      <c r="N1538" s="33">
        <v>45259</v>
      </c>
      <c r="O1538" s="32">
        <v>5707</v>
      </c>
      <c r="P1538" s="83">
        <v>87</v>
      </c>
      <c r="Q1538" s="83">
        <f>P1538*J1538</f>
        <v>1740</v>
      </c>
      <c r="S1538" s="7">
        <f t="shared" ref="S1538:T1541" si="123">P1538</f>
        <v>87</v>
      </c>
      <c r="T1538" s="1318">
        <f t="shared" si="123"/>
        <v>1740</v>
      </c>
      <c r="U1538" s="83">
        <v>125</v>
      </c>
      <c r="V1538" s="1560">
        <f>(((K1538*U1538)-P1538)/(K1538*U1538))</f>
        <v>0.42</v>
      </c>
    </row>
    <row r="1539" spans="3:22" s="7" customFormat="1" ht="18" customHeight="1">
      <c r="C1539" s="6" t="s">
        <v>4150</v>
      </c>
      <c r="D1539" s="13" t="s">
        <v>1812</v>
      </c>
      <c r="E1539" s="21">
        <v>4141</v>
      </c>
      <c r="F1539" s="596">
        <v>9</v>
      </c>
      <c r="G1539" s="21" t="s">
        <v>4155</v>
      </c>
      <c r="H1539" s="93">
        <v>20</v>
      </c>
      <c r="I1539" s="94">
        <v>1</v>
      </c>
      <c r="J1539" s="55">
        <f>H1539*I1539</f>
        <v>20</v>
      </c>
      <c r="K1539" s="597">
        <v>1.33</v>
      </c>
      <c r="L1539" s="598">
        <f>K1539*J1539</f>
        <v>26.6</v>
      </c>
      <c r="M1539" s="97" t="s">
        <v>224</v>
      </c>
      <c r="N1539" s="33">
        <v>45259</v>
      </c>
      <c r="O1539" s="32">
        <v>5707</v>
      </c>
      <c r="P1539" s="83">
        <v>97</v>
      </c>
      <c r="Q1539" s="83">
        <f>P1539*J1539</f>
        <v>1940</v>
      </c>
      <c r="S1539" s="7">
        <f t="shared" si="123"/>
        <v>97</v>
      </c>
      <c r="T1539" s="1318">
        <f t="shared" si="123"/>
        <v>1940</v>
      </c>
      <c r="U1539" s="83">
        <v>125</v>
      </c>
      <c r="V1539" s="1560">
        <f>(((K1539*U1539)-P1539)/(K1539*U1539))</f>
        <v>0.41654135338345866</v>
      </c>
    </row>
    <row r="1540" spans="3:22" s="7" customFormat="1" ht="18" customHeight="1">
      <c r="C1540" s="6" t="s">
        <v>4150</v>
      </c>
      <c r="D1540" s="13" t="s">
        <v>1812</v>
      </c>
      <c r="E1540" s="21">
        <v>4141</v>
      </c>
      <c r="F1540" s="596">
        <v>6</v>
      </c>
      <c r="G1540" s="21" t="s">
        <v>4164</v>
      </c>
      <c r="H1540" s="93">
        <v>20</v>
      </c>
      <c r="I1540" s="94">
        <v>1</v>
      </c>
      <c r="J1540" s="55">
        <f>H1540*I1540</f>
        <v>20</v>
      </c>
      <c r="K1540" s="597">
        <v>1.2</v>
      </c>
      <c r="L1540" s="598">
        <f>K1540*J1540</f>
        <v>24</v>
      </c>
      <c r="M1540" s="97" t="s">
        <v>224</v>
      </c>
      <c r="N1540" s="33">
        <v>45259</v>
      </c>
      <c r="O1540" s="32">
        <v>5707</v>
      </c>
      <c r="P1540" s="83">
        <v>87</v>
      </c>
      <c r="Q1540" s="83">
        <f>P1540*J1540</f>
        <v>1740</v>
      </c>
      <c r="S1540" s="7">
        <f t="shared" si="123"/>
        <v>87</v>
      </c>
      <c r="T1540" s="1318">
        <f t="shared" si="123"/>
        <v>1740</v>
      </c>
      <c r="U1540" s="83">
        <v>125</v>
      </c>
      <c r="V1540" s="1560">
        <f>(((K1540*U1540)-P1540)/(K1540*U1540))</f>
        <v>0.42</v>
      </c>
    </row>
    <row r="1541" spans="3:22" s="7" customFormat="1" ht="18" customHeight="1">
      <c r="C1541" s="6" t="s">
        <v>4150</v>
      </c>
      <c r="D1541" s="13" t="s">
        <v>1812</v>
      </c>
      <c r="E1541" s="21">
        <v>4141</v>
      </c>
      <c r="F1541" s="596">
        <v>9</v>
      </c>
      <c r="G1541" s="21" t="s">
        <v>4164</v>
      </c>
      <c r="H1541" s="93">
        <v>20</v>
      </c>
      <c r="I1541" s="94">
        <v>1</v>
      </c>
      <c r="J1541" s="55">
        <f>H1541*I1541</f>
        <v>20</v>
      </c>
      <c r="K1541" s="597">
        <v>1.33</v>
      </c>
      <c r="L1541" s="598">
        <f>K1541*J1541</f>
        <v>26.6</v>
      </c>
      <c r="M1541" s="97" t="s">
        <v>224</v>
      </c>
      <c r="N1541" s="33">
        <v>45259</v>
      </c>
      <c r="O1541" s="32">
        <v>5707</v>
      </c>
      <c r="P1541" s="83">
        <v>97</v>
      </c>
      <c r="Q1541" s="83">
        <f>P1541*J1541</f>
        <v>1940</v>
      </c>
      <c r="S1541" s="7">
        <f t="shared" si="123"/>
        <v>97</v>
      </c>
      <c r="T1541" s="1318">
        <f t="shared" si="123"/>
        <v>1940</v>
      </c>
      <c r="U1541" s="83">
        <v>125</v>
      </c>
      <c r="V1541" s="1560">
        <f>(((K1541*U1541)-P1541)/(K1541*U1541))</f>
        <v>0.41654135338345866</v>
      </c>
    </row>
    <row r="1542" spans="3:22" s="7" customFormat="1" ht="18" customHeight="1">
      <c r="C1542" s="6" t="s">
        <v>4150</v>
      </c>
      <c r="D1542" s="13" t="s">
        <v>1812</v>
      </c>
      <c r="E1542" s="21">
        <v>4141</v>
      </c>
      <c r="F1542" s="596">
        <v>6</v>
      </c>
      <c r="G1542" s="21" t="s">
        <v>4156</v>
      </c>
      <c r="H1542" s="93">
        <v>20</v>
      </c>
      <c r="I1542" s="94">
        <v>1</v>
      </c>
      <c r="J1542" s="55">
        <f t="shared" ref="J1542:J1547" si="124">H1542*I1542</f>
        <v>20</v>
      </c>
      <c r="K1542" s="597">
        <v>1.2</v>
      </c>
      <c r="L1542" s="598">
        <f t="shared" ref="L1542:L1547" si="125">K1542*J1542</f>
        <v>24</v>
      </c>
      <c r="M1542" s="97" t="s">
        <v>224</v>
      </c>
      <c r="N1542" s="33">
        <v>45259</v>
      </c>
      <c r="O1542" s="32">
        <v>5707</v>
      </c>
      <c r="P1542" s="83">
        <v>87</v>
      </c>
      <c r="Q1542" s="83">
        <f t="shared" ref="Q1542:Q1547" si="126">P1542*J1542</f>
        <v>1740</v>
      </c>
      <c r="S1542" s="7">
        <f t="shared" ref="S1542:S1547" si="127">P1542</f>
        <v>87</v>
      </c>
      <c r="T1542" s="1318">
        <f t="shared" ref="T1542:T1547" si="128">Q1542</f>
        <v>1740</v>
      </c>
      <c r="U1542" s="83">
        <v>125</v>
      </c>
      <c r="V1542" s="1560">
        <f t="shared" ref="V1542:V1547" si="129">(((K1542*U1542)-P1542)/(K1542*U1542))</f>
        <v>0.42</v>
      </c>
    </row>
    <row r="1543" spans="3:22" s="7" customFormat="1" ht="18" customHeight="1">
      <c r="C1543" s="6" t="s">
        <v>4150</v>
      </c>
      <c r="D1543" s="13" t="s">
        <v>1812</v>
      </c>
      <c r="E1543" s="21">
        <v>4141</v>
      </c>
      <c r="F1543" s="596">
        <v>9</v>
      </c>
      <c r="G1543" s="21" t="s">
        <v>4156</v>
      </c>
      <c r="H1543" s="93">
        <v>20</v>
      </c>
      <c r="I1543" s="94">
        <v>1</v>
      </c>
      <c r="J1543" s="55">
        <f t="shared" si="124"/>
        <v>20</v>
      </c>
      <c r="K1543" s="597">
        <v>1.33</v>
      </c>
      <c r="L1543" s="598">
        <f t="shared" si="125"/>
        <v>26.6</v>
      </c>
      <c r="M1543" s="97" t="s">
        <v>224</v>
      </c>
      <c r="N1543" s="33">
        <v>45259</v>
      </c>
      <c r="O1543" s="32">
        <v>5707</v>
      </c>
      <c r="P1543" s="83">
        <v>97</v>
      </c>
      <c r="Q1543" s="83">
        <f t="shared" si="126"/>
        <v>1940</v>
      </c>
      <c r="S1543" s="7">
        <f t="shared" si="127"/>
        <v>97</v>
      </c>
      <c r="T1543" s="1318">
        <f t="shared" si="128"/>
        <v>1940</v>
      </c>
      <c r="U1543" s="83">
        <v>125</v>
      </c>
      <c r="V1543" s="1560">
        <f t="shared" si="129"/>
        <v>0.41654135338345866</v>
      </c>
    </row>
    <row r="1544" spans="3:22" s="7" customFormat="1" ht="18" customHeight="1">
      <c r="C1544" s="6" t="s">
        <v>4150</v>
      </c>
      <c r="D1544" s="13" t="s">
        <v>1812</v>
      </c>
      <c r="E1544" s="21">
        <v>4141</v>
      </c>
      <c r="F1544" s="596">
        <v>6</v>
      </c>
      <c r="G1544" s="21" t="s">
        <v>4157</v>
      </c>
      <c r="H1544" s="93">
        <v>20</v>
      </c>
      <c r="I1544" s="94">
        <v>1</v>
      </c>
      <c r="J1544" s="55">
        <f t="shared" si="124"/>
        <v>20</v>
      </c>
      <c r="K1544" s="597">
        <v>1.2</v>
      </c>
      <c r="L1544" s="598">
        <f t="shared" si="125"/>
        <v>24</v>
      </c>
      <c r="M1544" s="97" t="s">
        <v>224</v>
      </c>
      <c r="N1544" s="33">
        <v>45259</v>
      </c>
      <c r="O1544" s="32">
        <v>5707</v>
      </c>
      <c r="P1544" s="83">
        <v>87</v>
      </c>
      <c r="Q1544" s="83">
        <f t="shared" si="126"/>
        <v>1740</v>
      </c>
      <c r="S1544" s="7">
        <f t="shared" si="127"/>
        <v>87</v>
      </c>
      <c r="T1544" s="1318">
        <f t="shared" si="128"/>
        <v>1740</v>
      </c>
      <c r="U1544" s="83">
        <v>125</v>
      </c>
      <c r="V1544" s="1560">
        <f t="shared" si="129"/>
        <v>0.42</v>
      </c>
    </row>
    <row r="1545" spans="3:22" s="7" customFormat="1" ht="18" customHeight="1">
      <c r="C1545" s="6" t="s">
        <v>4150</v>
      </c>
      <c r="D1545" s="13" t="s">
        <v>1812</v>
      </c>
      <c r="E1545" s="21">
        <v>4141</v>
      </c>
      <c r="F1545" s="596">
        <v>9</v>
      </c>
      <c r="G1545" s="21" t="s">
        <v>4157</v>
      </c>
      <c r="H1545" s="93">
        <v>20</v>
      </c>
      <c r="I1545" s="94">
        <v>1</v>
      </c>
      <c r="J1545" s="55">
        <f t="shared" si="124"/>
        <v>20</v>
      </c>
      <c r="K1545" s="597">
        <v>1.33</v>
      </c>
      <c r="L1545" s="598">
        <f t="shared" si="125"/>
        <v>26.6</v>
      </c>
      <c r="M1545" s="97" t="s">
        <v>224</v>
      </c>
      <c r="N1545" s="33">
        <v>45259</v>
      </c>
      <c r="O1545" s="32">
        <v>5707</v>
      </c>
      <c r="P1545" s="83">
        <v>97</v>
      </c>
      <c r="Q1545" s="83">
        <f t="shared" si="126"/>
        <v>1940</v>
      </c>
      <c r="S1545" s="7">
        <f t="shared" si="127"/>
        <v>97</v>
      </c>
      <c r="T1545" s="1318">
        <f t="shared" si="128"/>
        <v>1940</v>
      </c>
      <c r="U1545" s="83">
        <v>125</v>
      </c>
      <c r="V1545" s="1560">
        <f t="shared" si="129"/>
        <v>0.41654135338345866</v>
      </c>
    </row>
    <row r="1546" spans="3:22" s="7" customFormat="1" ht="18" customHeight="1">
      <c r="C1546" s="6" t="s">
        <v>4150</v>
      </c>
      <c r="D1546" s="13" t="s">
        <v>1812</v>
      </c>
      <c r="E1546" s="21">
        <v>4141</v>
      </c>
      <c r="F1546" s="596">
        <v>6</v>
      </c>
      <c r="G1546" s="21" t="s">
        <v>4158</v>
      </c>
      <c r="H1546" s="93">
        <v>20</v>
      </c>
      <c r="I1546" s="94">
        <v>1</v>
      </c>
      <c r="J1546" s="55">
        <f t="shared" si="124"/>
        <v>20</v>
      </c>
      <c r="K1546" s="597">
        <v>1.2</v>
      </c>
      <c r="L1546" s="598">
        <f t="shared" si="125"/>
        <v>24</v>
      </c>
      <c r="M1546" s="97" t="s">
        <v>224</v>
      </c>
      <c r="N1546" s="33">
        <v>45259</v>
      </c>
      <c r="O1546" s="32">
        <v>5707</v>
      </c>
      <c r="P1546" s="83">
        <v>87</v>
      </c>
      <c r="Q1546" s="83">
        <f t="shared" si="126"/>
        <v>1740</v>
      </c>
      <c r="S1546" s="7">
        <f t="shared" si="127"/>
        <v>87</v>
      </c>
      <c r="T1546" s="1318">
        <f t="shared" si="128"/>
        <v>1740</v>
      </c>
      <c r="U1546" s="83">
        <v>125</v>
      </c>
      <c r="V1546" s="1560">
        <f t="shared" si="129"/>
        <v>0.42</v>
      </c>
    </row>
    <row r="1547" spans="3:22" s="7" customFormat="1" ht="18" customHeight="1">
      <c r="C1547" s="6" t="s">
        <v>4150</v>
      </c>
      <c r="D1547" s="13" t="s">
        <v>1812</v>
      </c>
      <c r="E1547" s="21">
        <v>4141</v>
      </c>
      <c r="F1547" s="596">
        <v>9</v>
      </c>
      <c r="G1547" s="21" t="s">
        <v>4158</v>
      </c>
      <c r="H1547" s="93">
        <v>20</v>
      </c>
      <c r="I1547" s="94">
        <v>1</v>
      </c>
      <c r="J1547" s="55">
        <f t="shared" si="124"/>
        <v>20</v>
      </c>
      <c r="K1547" s="597">
        <v>1.33</v>
      </c>
      <c r="L1547" s="598">
        <f t="shared" si="125"/>
        <v>26.6</v>
      </c>
      <c r="M1547" s="97" t="s">
        <v>224</v>
      </c>
      <c r="N1547" s="33">
        <v>45259</v>
      </c>
      <c r="O1547" s="32">
        <v>5707</v>
      </c>
      <c r="P1547" s="83">
        <v>97</v>
      </c>
      <c r="Q1547" s="83">
        <f t="shared" si="126"/>
        <v>1940</v>
      </c>
      <c r="S1547" s="7">
        <f t="shared" si="127"/>
        <v>97</v>
      </c>
      <c r="T1547" s="1318">
        <f t="shared" si="128"/>
        <v>1940</v>
      </c>
      <c r="U1547" s="83">
        <v>125</v>
      </c>
      <c r="V1547" s="1560">
        <f t="shared" si="129"/>
        <v>0.41654135338345866</v>
      </c>
    </row>
    <row r="1548" spans="3:22" s="7" customFormat="1" ht="18" customHeight="1">
      <c r="C1548" s="6" t="s">
        <v>4150</v>
      </c>
      <c r="D1548" s="13" t="s">
        <v>1812</v>
      </c>
      <c r="E1548" s="21">
        <v>4141</v>
      </c>
      <c r="F1548" s="596">
        <v>6</v>
      </c>
      <c r="G1548" s="21" t="s">
        <v>4159</v>
      </c>
      <c r="H1548" s="93">
        <v>20</v>
      </c>
      <c r="I1548" s="94">
        <v>1</v>
      </c>
      <c r="J1548" s="55">
        <f t="shared" ref="J1548:J1555" si="130">H1548*I1548</f>
        <v>20</v>
      </c>
      <c r="K1548" s="597">
        <v>1.2</v>
      </c>
      <c r="L1548" s="598">
        <f t="shared" ref="L1548:L1555" si="131">K1548*J1548</f>
        <v>24</v>
      </c>
      <c r="M1548" s="97" t="s">
        <v>224</v>
      </c>
      <c r="N1548" s="33">
        <v>45259</v>
      </c>
      <c r="O1548" s="32">
        <v>5707</v>
      </c>
      <c r="P1548" s="83">
        <v>87</v>
      </c>
      <c r="Q1548" s="83">
        <f t="shared" ref="Q1548:Q1555" si="132">P1548*J1548</f>
        <v>1740</v>
      </c>
      <c r="S1548" s="7">
        <f t="shared" ref="S1548:S1556" si="133">P1548</f>
        <v>87</v>
      </c>
      <c r="T1548" s="1318">
        <f t="shared" ref="T1548:T1556" si="134">Q1548</f>
        <v>1740</v>
      </c>
      <c r="U1548" s="83">
        <v>125</v>
      </c>
      <c r="V1548" s="1560">
        <f t="shared" ref="V1548:V1561" si="135">(((K1548*U1548)-P1548)/(K1548*U1548))</f>
        <v>0.42</v>
      </c>
    </row>
    <row r="1549" spans="3:22" s="7" customFormat="1" ht="18" customHeight="1">
      <c r="C1549" s="6" t="s">
        <v>4150</v>
      </c>
      <c r="D1549" s="13" t="s">
        <v>1812</v>
      </c>
      <c r="E1549" s="21">
        <v>4141</v>
      </c>
      <c r="F1549" s="596">
        <v>9</v>
      </c>
      <c r="G1549" s="21" t="s">
        <v>4159</v>
      </c>
      <c r="H1549" s="93">
        <v>20</v>
      </c>
      <c r="I1549" s="94">
        <v>1</v>
      </c>
      <c r="J1549" s="55">
        <f t="shared" si="130"/>
        <v>20</v>
      </c>
      <c r="K1549" s="597">
        <v>1.33</v>
      </c>
      <c r="L1549" s="598">
        <f t="shared" si="131"/>
        <v>26.6</v>
      </c>
      <c r="M1549" s="97" t="s">
        <v>224</v>
      </c>
      <c r="N1549" s="33">
        <v>45259</v>
      </c>
      <c r="O1549" s="32">
        <v>5707</v>
      </c>
      <c r="P1549" s="83">
        <v>97</v>
      </c>
      <c r="Q1549" s="83">
        <f t="shared" si="132"/>
        <v>1940</v>
      </c>
      <c r="S1549" s="7">
        <f t="shared" si="133"/>
        <v>97</v>
      </c>
      <c r="T1549" s="1318">
        <f t="shared" si="134"/>
        <v>1940</v>
      </c>
      <c r="U1549" s="83">
        <v>125</v>
      </c>
      <c r="V1549" s="1560">
        <f t="shared" si="135"/>
        <v>0.41654135338345866</v>
      </c>
    </row>
    <row r="1550" spans="3:22" s="7" customFormat="1" ht="18" customHeight="1">
      <c r="C1550" s="6" t="s">
        <v>4150</v>
      </c>
      <c r="D1550" s="13" t="s">
        <v>1812</v>
      </c>
      <c r="E1550" s="21">
        <v>4141</v>
      </c>
      <c r="F1550" s="596">
        <v>6</v>
      </c>
      <c r="G1550" s="21" t="s">
        <v>4160</v>
      </c>
      <c r="H1550" s="93">
        <v>20</v>
      </c>
      <c r="I1550" s="94">
        <v>1</v>
      </c>
      <c r="J1550" s="55">
        <f t="shared" si="130"/>
        <v>20</v>
      </c>
      <c r="K1550" s="597">
        <v>1.2</v>
      </c>
      <c r="L1550" s="598">
        <f t="shared" si="131"/>
        <v>24</v>
      </c>
      <c r="M1550" s="97" t="s">
        <v>224</v>
      </c>
      <c r="N1550" s="33">
        <v>45259</v>
      </c>
      <c r="O1550" s="32">
        <v>5707</v>
      </c>
      <c r="P1550" s="83">
        <v>87</v>
      </c>
      <c r="Q1550" s="83">
        <f t="shared" si="132"/>
        <v>1740</v>
      </c>
      <c r="S1550" s="7">
        <f t="shared" si="133"/>
        <v>87</v>
      </c>
      <c r="T1550" s="1318">
        <f t="shared" si="134"/>
        <v>1740</v>
      </c>
      <c r="U1550" s="83">
        <v>125</v>
      </c>
      <c r="V1550" s="1560">
        <f t="shared" si="135"/>
        <v>0.42</v>
      </c>
    </row>
    <row r="1551" spans="3:22" s="7" customFormat="1" ht="18" customHeight="1">
      <c r="C1551" s="6" t="s">
        <v>4150</v>
      </c>
      <c r="D1551" s="13" t="s">
        <v>1812</v>
      </c>
      <c r="E1551" s="21">
        <v>4141</v>
      </c>
      <c r="F1551" s="596">
        <v>9</v>
      </c>
      <c r="G1551" s="21" t="s">
        <v>4160</v>
      </c>
      <c r="H1551" s="93">
        <v>20</v>
      </c>
      <c r="I1551" s="94">
        <v>1</v>
      </c>
      <c r="J1551" s="55">
        <f t="shared" si="130"/>
        <v>20</v>
      </c>
      <c r="K1551" s="597">
        <v>1.33</v>
      </c>
      <c r="L1551" s="598">
        <f t="shared" si="131"/>
        <v>26.6</v>
      </c>
      <c r="M1551" s="97" t="s">
        <v>224</v>
      </c>
      <c r="N1551" s="33">
        <v>45259</v>
      </c>
      <c r="O1551" s="32">
        <v>5707</v>
      </c>
      <c r="P1551" s="83">
        <v>97</v>
      </c>
      <c r="Q1551" s="83">
        <f t="shared" si="132"/>
        <v>1940</v>
      </c>
      <c r="S1551" s="7">
        <f t="shared" si="133"/>
        <v>97</v>
      </c>
      <c r="T1551" s="1318">
        <f t="shared" si="134"/>
        <v>1940</v>
      </c>
      <c r="U1551" s="83">
        <v>125</v>
      </c>
      <c r="V1551" s="1560">
        <f t="shared" si="135"/>
        <v>0.41654135338345866</v>
      </c>
    </row>
    <row r="1552" spans="3:22" s="7" customFormat="1" ht="18" customHeight="1">
      <c r="C1552" s="6" t="s">
        <v>4150</v>
      </c>
      <c r="D1552" s="13" t="s">
        <v>1812</v>
      </c>
      <c r="E1552" s="21">
        <v>4141</v>
      </c>
      <c r="F1552" s="596">
        <v>6</v>
      </c>
      <c r="G1552" s="21" t="s">
        <v>4161</v>
      </c>
      <c r="H1552" s="93">
        <v>20</v>
      </c>
      <c r="I1552" s="94">
        <v>1</v>
      </c>
      <c r="J1552" s="55">
        <f t="shared" si="130"/>
        <v>20</v>
      </c>
      <c r="K1552" s="597">
        <v>1.2</v>
      </c>
      <c r="L1552" s="598">
        <f t="shared" si="131"/>
        <v>24</v>
      </c>
      <c r="M1552" s="97" t="s">
        <v>224</v>
      </c>
      <c r="N1552" s="33">
        <v>45259</v>
      </c>
      <c r="O1552" s="32">
        <v>5707</v>
      </c>
      <c r="P1552" s="83">
        <v>87</v>
      </c>
      <c r="Q1552" s="83">
        <f t="shared" si="132"/>
        <v>1740</v>
      </c>
      <c r="S1552" s="7">
        <f t="shared" si="133"/>
        <v>87</v>
      </c>
      <c r="T1552" s="1318">
        <f t="shared" si="134"/>
        <v>1740</v>
      </c>
      <c r="U1552" s="83">
        <v>125</v>
      </c>
      <c r="V1552" s="1560">
        <f t="shared" si="135"/>
        <v>0.42</v>
      </c>
    </row>
    <row r="1553" spans="1:22" s="7" customFormat="1" ht="18" customHeight="1">
      <c r="C1553" s="6" t="s">
        <v>4150</v>
      </c>
      <c r="D1553" s="13" t="s">
        <v>1812</v>
      </c>
      <c r="E1553" s="21">
        <v>4141</v>
      </c>
      <c r="F1553" s="596">
        <v>9</v>
      </c>
      <c r="G1553" s="21" t="s">
        <v>4161</v>
      </c>
      <c r="H1553" s="93">
        <v>20</v>
      </c>
      <c r="I1553" s="94">
        <v>1</v>
      </c>
      <c r="J1553" s="55">
        <f t="shared" si="130"/>
        <v>20</v>
      </c>
      <c r="K1553" s="597">
        <v>1.33</v>
      </c>
      <c r="L1553" s="598">
        <f t="shared" si="131"/>
        <v>26.6</v>
      </c>
      <c r="M1553" s="97" t="s">
        <v>224</v>
      </c>
      <c r="N1553" s="33">
        <v>45259</v>
      </c>
      <c r="O1553" s="32">
        <v>5707</v>
      </c>
      <c r="P1553" s="83">
        <v>97</v>
      </c>
      <c r="Q1553" s="83">
        <f t="shared" si="132"/>
        <v>1940</v>
      </c>
      <c r="S1553" s="7">
        <f t="shared" si="133"/>
        <v>97</v>
      </c>
      <c r="T1553" s="1318">
        <f t="shared" si="134"/>
        <v>1940</v>
      </c>
      <c r="U1553" s="83">
        <v>125</v>
      </c>
      <c r="V1553" s="1560">
        <f t="shared" si="135"/>
        <v>0.41654135338345866</v>
      </c>
    </row>
    <row r="1554" spans="1:22" s="7" customFormat="1" ht="18" customHeight="1">
      <c r="C1554" s="6" t="s">
        <v>4150</v>
      </c>
      <c r="D1554" s="13" t="s">
        <v>1812</v>
      </c>
      <c r="E1554" s="21">
        <v>4141</v>
      </c>
      <c r="F1554" s="596">
        <v>6</v>
      </c>
      <c r="G1554" s="21" t="s">
        <v>4162</v>
      </c>
      <c r="H1554" s="93">
        <v>20</v>
      </c>
      <c r="I1554" s="94">
        <v>1</v>
      </c>
      <c r="J1554" s="55">
        <f t="shared" si="130"/>
        <v>20</v>
      </c>
      <c r="K1554" s="597">
        <v>1.2</v>
      </c>
      <c r="L1554" s="598">
        <f t="shared" si="131"/>
        <v>24</v>
      </c>
      <c r="M1554" s="97" t="s">
        <v>224</v>
      </c>
      <c r="N1554" s="33">
        <v>45259</v>
      </c>
      <c r="O1554" s="32">
        <v>5707</v>
      </c>
      <c r="P1554" s="83">
        <v>87</v>
      </c>
      <c r="Q1554" s="83">
        <f t="shared" si="132"/>
        <v>1740</v>
      </c>
      <c r="S1554" s="7">
        <f t="shared" si="133"/>
        <v>87</v>
      </c>
      <c r="T1554" s="1318">
        <f t="shared" si="134"/>
        <v>1740</v>
      </c>
      <c r="U1554" s="83">
        <v>125</v>
      </c>
      <c r="V1554" s="1560">
        <f t="shared" si="135"/>
        <v>0.42</v>
      </c>
    </row>
    <row r="1555" spans="1:22" s="7" customFormat="1" ht="18" customHeight="1">
      <c r="C1555" s="6" t="s">
        <v>4150</v>
      </c>
      <c r="D1555" s="13" t="s">
        <v>1812</v>
      </c>
      <c r="E1555" s="21">
        <v>4141</v>
      </c>
      <c r="F1555" s="596">
        <v>9</v>
      </c>
      <c r="G1555" s="21" t="s">
        <v>4162</v>
      </c>
      <c r="H1555" s="93">
        <v>20</v>
      </c>
      <c r="I1555" s="94">
        <v>1</v>
      </c>
      <c r="J1555" s="55">
        <f t="shared" si="130"/>
        <v>20</v>
      </c>
      <c r="K1555" s="597">
        <v>1.33</v>
      </c>
      <c r="L1555" s="598">
        <f t="shared" si="131"/>
        <v>26.6</v>
      </c>
      <c r="M1555" s="97" t="s">
        <v>224</v>
      </c>
      <c r="N1555" s="33">
        <v>45259</v>
      </c>
      <c r="O1555" s="32">
        <v>5707</v>
      </c>
      <c r="P1555" s="83">
        <v>97</v>
      </c>
      <c r="Q1555" s="83">
        <f t="shared" si="132"/>
        <v>1940</v>
      </c>
      <c r="S1555" s="7">
        <f t="shared" si="133"/>
        <v>97</v>
      </c>
      <c r="T1555" s="1318">
        <f t="shared" si="134"/>
        <v>1940</v>
      </c>
      <c r="U1555" s="83">
        <v>125</v>
      </c>
      <c r="V1555" s="1560">
        <f t="shared" si="135"/>
        <v>0.41654135338345866</v>
      </c>
    </row>
    <row r="1556" spans="1:22" ht="18" customHeight="1">
      <c r="C1556" s="6" t="s">
        <v>4150</v>
      </c>
      <c r="D1556" s="13" t="s">
        <v>1812</v>
      </c>
      <c r="E1556" s="21"/>
      <c r="F1556" s="38"/>
      <c r="G1556" s="38" t="s">
        <v>218</v>
      </c>
      <c r="H1556" s="39"/>
      <c r="I1556" s="94"/>
      <c r="J1556" s="39">
        <v>1</v>
      </c>
      <c r="K1556" s="611">
        <v>12</v>
      </c>
      <c r="L1556" s="598">
        <f>K1556*J1556</f>
        <v>12</v>
      </c>
      <c r="M1556" s="898"/>
      <c r="N1556" s="33">
        <v>45259</v>
      </c>
      <c r="O1556" s="32">
        <v>5707</v>
      </c>
      <c r="P1556" s="83">
        <v>0</v>
      </c>
      <c r="Q1556" s="83">
        <f>P1556*J1556</f>
        <v>0</v>
      </c>
      <c r="S1556" s="7">
        <f t="shared" si="133"/>
        <v>0</v>
      </c>
      <c r="T1556" s="1318">
        <f t="shared" si="134"/>
        <v>0</v>
      </c>
      <c r="U1556" s="83">
        <v>125</v>
      </c>
      <c r="V1556" s="1560">
        <f t="shared" si="135"/>
        <v>1</v>
      </c>
    </row>
    <row r="1557" spans="1:22" s="159" customFormat="1" ht="18" customHeight="1">
      <c r="C1557" s="149" t="s">
        <v>4150</v>
      </c>
      <c r="D1557" s="150" t="s">
        <v>1812</v>
      </c>
      <c r="E1557" s="191"/>
      <c r="F1557" s="152"/>
      <c r="G1557" s="152" t="s">
        <v>168</v>
      </c>
      <c r="H1557" s="154" t="s">
        <v>169</v>
      </c>
      <c r="I1557" s="155"/>
      <c r="J1557" s="153"/>
      <c r="K1557" s="600">
        <v>0</v>
      </c>
      <c r="L1557" s="601"/>
      <c r="M1557" s="601"/>
      <c r="N1557" s="157">
        <v>45259</v>
      </c>
      <c r="O1557" s="156">
        <v>5707</v>
      </c>
      <c r="P1557" s="164">
        <v>0</v>
      </c>
      <c r="Q1557" s="165">
        <v>0</v>
      </c>
      <c r="T1557" s="1317"/>
      <c r="U1557" s="83">
        <v>125</v>
      </c>
      <c r="V1557" s="1560" t="e">
        <f t="shared" si="135"/>
        <v>#DIV/0!</v>
      </c>
    </row>
    <row r="1558" spans="1:22" customFormat="1" ht="18.600000000000001" customHeight="1">
      <c r="A1558" s="1"/>
      <c r="B1558" s="25"/>
      <c r="C1558" s="6" t="s">
        <v>4172</v>
      </c>
      <c r="D1558" s="13" t="s">
        <v>4173</v>
      </c>
      <c r="E1558" s="18" t="s">
        <v>4049</v>
      </c>
      <c r="F1558" s="92"/>
      <c r="G1558" s="21"/>
      <c r="H1558" s="93"/>
      <c r="I1558" s="94"/>
      <c r="J1558" s="93"/>
      <c r="K1558" s="95" t="s">
        <v>8</v>
      </c>
      <c r="L1558" s="33"/>
      <c r="M1558" s="33"/>
      <c r="N1558" s="33">
        <v>45265</v>
      </c>
      <c r="O1558" s="32">
        <v>5724</v>
      </c>
      <c r="P1558" s="1603"/>
      <c r="Q1558" s="1449"/>
      <c r="R1558" s="1"/>
      <c r="S1558" s="1450"/>
      <c r="T1558" s="83"/>
      <c r="U1558" s="83">
        <v>125</v>
      </c>
      <c r="V1558" s="1560" t="e">
        <f t="shared" si="135"/>
        <v>#VALUE!</v>
      </c>
    </row>
    <row r="1559" spans="1:22" customFormat="1" ht="18.600000000000001" customHeight="1">
      <c r="B1559" s="11"/>
      <c r="C1559" s="6" t="s">
        <v>4172</v>
      </c>
      <c r="D1559" s="13" t="s">
        <v>4173</v>
      </c>
      <c r="E1559" s="18" t="s">
        <v>4134</v>
      </c>
      <c r="F1559" s="92" t="s">
        <v>3624</v>
      </c>
      <c r="G1559" s="21" t="s">
        <v>4174</v>
      </c>
      <c r="H1559" s="8">
        <v>60</v>
      </c>
      <c r="I1559" s="35">
        <v>1</v>
      </c>
      <c r="J1559" s="8">
        <f>H1559*I1559</f>
        <v>60</v>
      </c>
      <c r="K1559" s="611">
        <v>15.11</v>
      </c>
      <c r="L1559" s="598">
        <f>K1559*J1559</f>
        <v>906.59999999999991</v>
      </c>
      <c r="M1559" s="97" t="s">
        <v>224</v>
      </c>
      <c r="N1559" s="33">
        <v>45265</v>
      </c>
      <c r="O1559" s="32">
        <v>5724</v>
      </c>
      <c r="P1559" s="83">
        <v>1420</v>
      </c>
      <c r="Q1559" s="83">
        <f>P1559*J1559</f>
        <v>85200</v>
      </c>
      <c r="R1559" s="7"/>
      <c r="S1559" s="7">
        <f t="shared" ref="S1559:T1563" si="136">P1559</f>
        <v>1420</v>
      </c>
      <c r="T1559" s="1318">
        <f t="shared" si="136"/>
        <v>85200</v>
      </c>
      <c r="U1559" s="83">
        <v>125</v>
      </c>
      <c r="V1559" s="1560">
        <f t="shared" si="135"/>
        <v>0.24818001323626737</v>
      </c>
    </row>
    <row r="1560" spans="1:22" ht="18" customHeight="1">
      <c r="C1560" s="6" t="s">
        <v>4172</v>
      </c>
      <c r="D1560" s="13" t="s">
        <v>4173</v>
      </c>
      <c r="E1560" s="21"/>
      <c r="F1560" s="38"/>
      <c r="G1560" s="38" t="s">
        <v>218</v>
      </c>
      <c r="H1560" s="39"/>
      <c r="I1560" s="94"/>
      <c r="J1560" s="39">
        <v>1</v>
      </c>
      <c r="K1560" s="611">
        <v>12</v>
      </c>
      <c r="L1560" s="598">
        <f>K1560*J1560</f>
        <v>12</v>
      </c>
      <c r="M1560" s="898"/>
      <c r="N1560" s="33">
        <v>45265</v>
      </c>
      <c r="O1560" s="32">
        <v>5724</v>
      </c>
      <c r="P1560" s="83">
        <v>0</v>
      </c>
      <c r="Q1560" s="83">
        <f>P1560*J1560</f>
        <v>0</v>
      </c>
      <c r="S1560" s="7">
        <f t="shared" si="136"/>
        <v>0</v>
      </c>
      <c r="T1560" s="1318">
        <f t="shared" si="136"/>
        <v>0</v>
      </c>
      <c r="U1560" s="83">
        <v>125</v>
      </c>
      <c r="V1560" s="1560">
        <f>(((K1560*U1560)-P1560)/(K1560*U1560))</f>
        <v>1</v>
      </c>
    </row>
    <row r="1561" spans="1:22" s="159" customFormat="1" ht="18.600000000000001" customHeight="1">
      <c r="C1561" s="149" t="s">
        <v>4172</v>
      </c>
      <c r="D1561" s="150" t="s">
        <v>4173</v>
      </c>
      <c r="E1561" s="151"/>
      <c r="F1561" s="152"/>
      <c r="G1561" s="152" t="s">
        <v>168</v>
      </c>
      <c r="H1561" s="154" t="s">
        <v>169</v>
      </c>
      <c r="I1561" s="155"/>
      <c r="J1561" s="153"/>
      <c r="K1561" s="600">
        <v>0</v>
      </c>
      <c r="L1561" s="601"/>
      <c r="M1561" s="601"/>
      <c r="N1561" s="157">
        <v>45265</v>
      </c>
      <c r="O1561" s="156">
        <v>5724</v>
      </c>
      <c r="P1561" s="164">
        <v>0</v>
      </c>
      <c r="Q1561" s="165">
        <v>0</v>
      </c>
      <c r="S1561" s="7">
        <f t="shared" si="136"/>
        <v>0</v>
      </c>
      <c r="T1561" s="1318">
        <f t="shared" si="136"/>
        <v>0</v>
      </c>
      <c r="U1561" s="83">
        <v>125</v>
      </c>
      <c r="V1561" s="1560" t="e">
        <f t="shared" si="135"/>
        <v>#DIV/0!</v>
      </c>
    </row>
    <row r="1562" spans="1:22" s="7" customFormat="1" ht="18" customHeight="1">
      <c r="C1562" s="1483" t="s">
        <v>4180</v>
      </c>
      <c r="D1562" s="13" t="s">
        <v>2771</v>
      </c>
      <c r="E1562" s="18" t="s">
        <v>2772</v>
      </c>
      <c r="F1562" s="23"/>
      <c r="G1562" s="21"/>
      <c r="H1562" s="39"/>
      <c r="I1562" s="56"/>
      <c r="J1562" s="55"/>
      <c r="K1562" s="15" t="s">
        <v>8</v>
      </c>
      <c r="L1562" s="33"/>
      <c r="M1562" s="33"/>
      <c r="N1562" s="33">
        <v>45364</v>
      </c>
      <c r="O1562" s="32">
        <v>5905</v>
      </c>
      <c r="P1562" s="1477"/>
      <c r="Q1562" s="83"/>
      <c r="S1562" s="7">
        <f t="shared" si="136"/>
        <v>0</v>
      </c>
      <c r="T1562" s="1318">
        <f t="shared" si="136"/>
        <v>0</v>
      </c>
      <c r="U1562" s="83">
        <v>125</v>
      </c>
    </row>
    <row r="1563" spans="1:22" s="7" customFormat="1" ht="18" customHeight="1">
      <c r="C1563" s="1483" t="s">
        <v>4180</v>
      </c>
      <c r="D1563" s="13" t="s">
        <v>2771</v>
      </c>
      <c r="E1563" s="886" t="s">
        <v>3529</v>
      </c>
      <c r="F1563" s="23" t="s">
        <v>2491</v>
      </c>
      <c r="G1563" s="21" t="s">
        <v>4304</v>
      </c>
      <c r="H1563" s="93">
        <v>43.9</v>
      </c>
      <c r="I1563" s="94">
        <v>1</v>
      </c>
      <c r="J1563" s="17">
        <f>H1563*I1563</f>
        <v>43.9</v>
      </c>
      <c r="K1563" s="597">
        <v>19.73</v>
      </c>
      <c r="L1563" s="598">
        <f t="shared" ref="L1563:L1581" si="137">K1563*J1563</f>
        <v>866.14699999999993</v>
      </c>
      <c r="M1563" s="97" t="s">
        <v>224</v>
      </c>
      <c r="N1563" s="33">
        <v>45364</v>
      </c>
      <c r="O1563" s="32">
        <v>5905</v>
      </c>
      <c r="P1563" s="83">
        <v>1860</v>
      </c>
      <c r="Q1563" s="83">
        <f t="shared" ref="Q1563:Q1581" si="138">P1563*J1563</f>
        <v>81654</v>
      </c>
      <c r="S1563" s="7">
        <f t="shared" si="136"/>
        <v>1860</v>
      </c>
      <c r="T1563" s="1318">
        <f t="shared" si="136"/>
        <v>81654</v>
      </c>
      <c r="U1563" s="83">
        <v>120</v>
      </c>
      <c r="V1563" s="1560">
        <f>(((K1563*U1563)-P1563)/(K1563*U1563))</f>
        <v>0.21439432336543332</v>
      </c>
    </row>
    <row r="1564" spans="1:22" s="7" customFormat="1" ht="18" customHeight="1">
      <c r="C1564" s="1483" t="s">
        <v>4180</v>
      </c>
      <c r="D1564" s="13" t="s">
        <v>2771</v>
      </c>
      <c r="E1564" s="886" t="s">
        <v>3529</v>
      </c>
      <c r="F1564" s="23" t="s">
        <v>2491</v>
      </c>
      <c r="G1564" s="21" t="s">
        <v>4304</v>
      </c>
      <c r="H1564" s="93">
        <v>43.4</v>
      </c>
      <c r="I1564" s="94">
        <v>1</v>
      </c>
      <c r="J1564" s="17">
        <f t="shared" ref="J1564:J1571" si="139">H1564*I1564</f>
        <v>43.4</v>
      </c>
      <c r="K1564" s="597">
        <v>19.73</v>
      </c>
      <c r="L1564" s="598">
        <f t="shared" si="137"/>
        <v>856.28200000000004</v>
      </c>
      <c r="M1564" s="97" t="s">
        <v>224</v>
      </c>
      <c r="N1564" s="33">
        <v>45364</v>
      </c>
      <c r="O1564" s="32">
        <v>5905</v>
      </c>
      <c r="P1564" s="83">
        <v>1860</v>
      </c>
      <c r="Q1564" s="83">
        <f t="shared" si="138"/>
        <v>80724</v>
      </c>
      <c r="S1564" s="7">
        <f t="shared" ref="S1564:S1571" si="140">P1564</f>
        <v>1860</v>
      </c>
      <c r="T1564" s="1318">
        <f t="shared" ref="T1564:T1571" si="141">Q1564</f>
        <v>80724</v>
      </c>
      <c r="U1564" s="83">
        <v>120</v>
      </c>
      <c r="V1564" s="1560">
        <f t="shared" ref="V1564:V1571" si="142">(((K1564*U1564)-P1564)/(K1564*U1564))</f>
        <v>0.21439432336543332</v>
      </c>
    </row>
    <row r="1565" spans="1:22" s="7" customFormat="1" ht="18" customHeight="1">
      <c r="C1565" s="1483" t="s">
        <v>4180</v>
      </c>
      <c r="D1565" s="13" t="s">
        <v>2771</v>
      </c>
      <c r="E1565" s="886" t="s">
        <v>3529</v>
      </c>
      <c r="F1565" s="23" t="s">
        <v>2491</v>
      </c>
      <c r="G1565" s="21" t="s">
        <v>4304</v>
      </c>
      <c r="H1565" s="93">
        <v>44.2</v>
      </c>
      <c r="I1565" s="94">
        <v>1</v>
      </c>
      <c r="J1565" s="17">
        <f t="shared" si="139"/>
        <v>44.2</v>
      </c>
      <c r="K1565" s="597">
        <v>19.73</v>
      </c>
      <c r="L1565" s="598">
        <f t="shared" si="137"/>
        <v>872.06600000000003</v>
      </c>
      <c r="M1565" s="97" t="s">
        <v>224</v>
      </c>
      <c r="N1565" s="33">
        <v>45364</v>
      </c>
      <c r="O1565" s="32">
        <v>5905</v>
      </c>
      <c r="P1565" s="83">
        <v>1860</v>
      </c>
      <c r="Q1565" s="83">
        <f t="shared" si="138"/>
        <v>82212</v>
      </c>
      <c r="S1565" s="7">
        <f t="shared" si="140"/>
        <v>1860</v>
      </c>
      <c r="T1565" s="1318">
        <f t="shared" si="141"/>
        <v>82212</v>
      </c>
      <c r="U1565" s="83">
        <v>120</v>
      </c>
      <c r="V1565" s="1560">
        <f t="shared" si="142"/>
        <v>0.21439432336543332</v>
      </c>
    </row>
    <row r="1566" spans="1:22" s="7" customFormat="1" ht="18" customHeight="1">
      <c r="C1566" s="1483" t="s">
        <v>4180</v>
      </c>
      <c r="D1566" s="13" t="s">
        <v>2771</v>
      </c>
      <c r="E1566" s="886" t="s">
        <v>3529</v>
      </c>
      <c r="F1566" s="23" t="s">
        <v>2491</v>
      </c>
      <c r="G1566" s="21" t="s">
        <v>4304</v>
      </c>
      <c r="H1566" s="93">
        <v>44.5</v>
      </c>
      <c r="I1566" s="94">
        <v>3</v>
      </c>
      <c r="J1566" s="17">
        <f t="shared" si="139"/>
        <v>133.5</v>
      </c>
      <c r="K1566" s="597">
        <v>19.73</v>
      </c>
      <c r="L1566" s="598">
        <f t="shared" si="137"/>
        <v>2633.9549999999999</v>
      </c>
      <c r="M1566" s="97" t="s">
        <v>224</v>
      </c>
      <c r="N1566" s="33">
        <v>45364</v>
      </c>
      <c r="O1566" s="32">
        <v>5905</v>
      </c>
      <c r="P1566" s="83">
        <v>1860</v>
      </c>
      <c r="Q1566" s="83">
        <f t="shared" si="138"/>
        <v>248310</v>
      </c>
      <c r="S1566" s="7">
        <f t="shared" si="140"/>
        <v>1860</v>
      </c>
      <c r="T1566" s="1318">
        <f t="shared" si="141"/>
        <v>248310</v>
      </c>
      <c r="U1566" s="83">
        <v>120</v>
      </c>
      <c r="V1566" s="1560">
        <f t="shared" si="142"/>
        <v>0.21439432336543332</v>
      </c>
    </row>
    <row r="1567" spans="1:22" s="7" customFormat="1" ht="18" customHeight="1">
      <c r="C1567" s="1483" t="s">
        <v>4180</v>
      </c>
      <c r="D1567" s="13" t="s">
        <v>2771</v>
      </c>
      <c r="E1567" s="886" t="s">
        <v>3529</v>
      </c>
      <c r="F1567" s="23" t="s">
        <v>2491</v>
      </c>
      <c r="G1567" s="21" t="s">
        <v>4304</v>
      </c>
      <c r="H1567" s="93">
        <v>44.4</v>
      </c>
      <c r="I1567" s="94">
        <v>2</v>
      </c>
      <c r="J1567" s="17">
        <f t="shared" si="139"/>
        <v>88.8</v>
      </c>
      <c r="K1567" s="597">
        <v>19.73</v>
      </c>
      <c r="L1567" s="598">
        <f t="shared" si="137"/>
        <v>1752.0239999999999</v>
      </c>
      <c r="M1567" s="97" t="s">
        <v>224</v>
      </c>
      <c r="N1567" s="33">
        <v>45364</v>
      </c>
      <c r="O1567" s="32">
        <v>5905</v>
      </c>
      <c r="P1567" s="83">
        <v>1860</v>
      </c>
      <c r="Q1567" s="83">
        <f t="shared" si="138"/>
        <v>165168</v>
      </c>
      <c r="S1567" s="7">
        <f t="shared" si="140"/>
        <v>1860</v>
      </c>
      <c r="T1567" s="1318">
        <f t="shared" si="141"/>
        <v>165168</v>
      </c>
      <c r="U1567" s="83">
        <v>120</v>
      </c>
      <c r="V1567" s="1560">
        <f t="shared" si="142"/>
        <v>0.21439432336543332</v>
      </c>
    </row>
    <row r="1568" spans="1:22" s="7" customFormat="1" ht="18" customHeight="1">
      <c r="C1568" s="1483" t="s">
        <v>4180</v>
      </c>
      <c r="D1568" s="13" t="s">
        <v>2771</v>
      </c>
      <c r="E1568" s="886" t="s">
        <v>3529</v>
      </c>
      <c r="F1568" s="23" t="s">
        <v>2491</v>
      </c>
      <c r="G1568" s="21" t="s">
        <v>4304</v>
      </c>
      <c r="H1568" s="93">
        <v>45</v>
      </c>
      <c r="I1568" s="94">
        <v>1</v>
      </c>
      <c r="J1568" s="17">
        <f t="shared" si="139"/>
        <v>45</v>
      </c>
      <c r="K1568" s="597">
        <v>19.73</v>
      </c>
      <c r="L1568" s="598">
        <f t="shared" si="137"/>
        <v>887.85</v>
      </c>
      <c r="M1568" s="97" t="s">
        <v>224</v>
      </c>
      <c r="N1568" s="33">
        <v>45364</v>
      </c>
      <c r="O1568" s="32">
        <v>5905</v>
      </c>
      <c r="P1568" s="83">
        <v>1860</v>
      </c>
      <c r="Q1568" s="83">
        <f t="shared" si="138"/>
        <v>83700</v>
      </c>
      <c r="S1568" s="7">
        <f t="shared" si="140"/>
        <v>1860</v>
      </c>
      <c r="T1568" s="1318">
        <f t="shared" si="141"/>
        <v>83700</v>
      </c>
      <c r="U1568" s="83">
        <v>120</v>
      </c>
      <c r="V1568" s="1560">
        <f t="shared" si="142"/>
        <v>0.21439432336543332</v>
      </c>
    </row>
    <row r="1569" spans="3:22" s="7" customFormat="1" ht="18" customHeight="1">
      <c r="C1569" s="1483" t="s">
        <v>4180</v>
      </c>
      <c r="D1569" s="13" t="s">
        <v>2771</v>
      </c>
      <c r="E1569" s="886" t="s">
        <v>3529</v>
      </c>
      <c r="F1569" s="23" t="s">
        <v>2491</v>
      </c>
      <c r="G1569" s="21" t="s">
        <v>4304</v>
      </c>
      <c r="H1569" s="93">
        <v>44.6</v>
      </c>
      <c r="I1569" s="94">
        <v>1</v>
      </c>
      <c r="J1569" s="17">
        <f t="shared" si="139"/>
        <v>44.6</v>
      </c>
      <c r="K1569" s="597">
        <v>19.73</v>
      </c>
      <c r="L1569" s="598">
        <f t="shared" si="137"/>
        <v>879.95800000000008</v>
      </c>
      <c r="M1569" s="97" t="s">
        <v>224</v>
      </c>
      <c r="N1569" s="33">
        <v>45364</v>
      </c>
      <c r="O1569" s="32">
        <v>5905</v>
      </c>
      <c r="P1569" s="83">
        <v>1860</v>
      </c>
      <c r="Q1569" s="83">
        <f t="shared" si="138"/>
        <v>82956</v>
      </c>
      <c r="S1569" s="7">
        <f t="shared" si="140"/>
        <v>1860</v>
      </c>
      <c r="T1569" s="1318">
        <f t="shared" si="141"/>
        <v>82956</v>
      </c>
      <c r="U1569" s="83">
        <v>120</v>
      </c>
      <c r="V1569" s="1560">
        <f t="shared" si="142"/>
        <v>0.21439432336543332</v>
      </c>
    </row>
    <row r="1570" spans="3:22" s="7" customFormat="1" ht="18" customHeight="1">
      <c r="C1570" s="1483" t="s">
        <v>4180</v>
      </c>
      <c r="D1570" s="13" t="s">
        <v>2771</v>
      </c>
      <c r="E1570" s="886" t="s">
        <v>3529</v>
      </c>
      <c r="F1570" s="23" t="s">
        <v>2491</v>
      </c>
      <c r="G1570" s="21" t="s">
        <v>4304</v>
      </c>
      <c r="H1570" s="93">
        <v>44.8</v>
      </c>
      <c r="I1570" s="94">
        <v>1</v>
      </c>
      <c r="J1570" s="17">
        <f t="shared" si="139"/>
        <v>44.8</v>
      </c>
      <c r="K1570" s="597">
        <v>19.73</v>
      </c>
      <c r="L1570" s="598">
        <f t="shared" si="137"/>
        <v>883.904</v>
      </c>
      <c r="M1570" s="97" t="s">
        <v>224</v>
      </c>
      <c r="N1570" s="33">
        <v>45364</v>
      </c>
      <c r="O1570" s="32">
        <v>5905</v>
      </c>
      <c r="P1570" s="83">
        <v>1860</v>
      </c>
      <c r="Q1570" s="83">
        <f t="shared" si="138"/>
        <v>83328</v>
      </c>
      <c r="S1570" s="7">
        <f t="shared" si="140"/>
        <v>1860</v>
      </c>
      <c r="T1570" s="1318">
        <f t="shared" si="141"/>
        <v>83328</v>
      </c>
      <c r="U1570" s="83">
        <v>120</v>
      </c>
      <c r="V1570" s="1560">
        <f t="shared" si="142"/>
        <v>0.21439432336543332</v>
      </c>
    </row>
    <row r="1571" spans="3:22" s="7" customFormat="1" ht="18" customHeight="1">
      <c r="C1571" s="1483" t="s">
        <v>4180</v>
      </c>
      <c r="D1571" s="13" t="s">
        <v>2771</v>
      </c>
      <c r="E1571" s="886" t="s">
        <v>3529</v>
      </c>
      <c r="F1571" s="23" t="s">
        <v>2491</v>
      </c>
      <c r="G1571" s="21" t="s">
        <v>4304</v>
      </c>
      <c r="H1571" s="93">
        <v>43.5</v>
      </c>
      <c r="I1571" s="94">
        <v>1</v>
      </c>
      <c r="J1571" s="17">
        <f t="shared" si="139"/>
        <v>43.5</v>
      </c>
      <c r="K1571" s="597">
        <v>19.73</v>
      </c>
      <c r="L1571" s="598">
        <f t="shared" si="137"/>
        <v>858.255</v>
      </c>
      <c r="M1571" s="97" t="s">
        <v>224</v>
      </c>
      <c r="N1571" s="33">
        <v>45364</v>
      </c>
      <c r="O1571" s="32">
        <v>5905</v>
      </c>
      <c r="P1571" s="83">
        <v>1860</v>
      </c>
      <c r="Q1571" s="83">
        <f t="shared" si="138"/>
        <v>80910</v>
      </c>
      <c r="S1571" s="7">
        <f t="shared" si="140"/>
        <v>1860</v>
      </c>
      <c r="T1571" s="1318">
        <f t="shared" si="141"/>
        <v>80910</v>
      </c>
      <c r="U1571" s="83">
        <v>120</v>
      </c>
      <c r="V1571" s="1560">
        <f t="shared" si="142"/>
        <v>0.21439432336543332</v>
      </c>
    </row>
    <row r="1572" spans="3:22" s="7" customFormat="1" ht="18" customHeight="1">
      <c r="C1572" s="1483" t="s">
        <v>4180</v>
      </c>
      <c r="D1572" s="13" t="s">
        <v>2771</v>
      </c>
      <c r="E1572" s="886" t="s">
        <v>3529</v>
      </c>
      <c r="F1572" s="23" t="s">
        <v>2491</v>
      </c>
      <c r="G1572" s="21" t="s">
        <v>4304</v>
      </c>
      <c r="H1572" s="93">
        <v>43</v>
      </c>
      <c r="I1572" s="94">
        <v>1</v>
      </c>
      <c r="J1572" s="17">
        <f t="shared" ref="J1572:J1581" si="143">H1572*I1572</f>
        <v>43</v>
      </c>
      <c r="K1572" s="597">
        <v>19.73</v>
      </c>
      <c r="L1572" s="598">
        <f t="shared" si="137"/>
        <v>848.39</v>
      </c>
      <c r="M1572" s="97" t="s">
        <v>224</v>
      </c>
      <c r="N1572" s="33">
        <v>45364</v>
      </c>
      <c r="O1572" s="32">
        <v>5905</v>
      </c>
      <c r="P1572" s="83">
        <v>1860</v>
      </c>
      <c r="Q1572" s="83">
        <f t="shared" si="138"/>
        <v>79980</v>
      </c>
      <c r="S1572" s="7">
        <f t="shared" ref="S1572:S1600" si="144">P1572</f>
        <v>1860</v>
      </c>
      <c r="T1572" s="1318">
        <f t="shared" ref="T1572:T1600" si="145">Q1572</f>
        <v>79980</v>
      </c>
      <c r="U1572" s="83">
        <v>120</v>
      </c>
      <c r="V1572" s="1560">
        <f t="shared" ref="V1572:V1581" si="146">(((K1572*U1572)-P1572)/(K1572*U1572))</f>
        <v>0.21439432336543332</v>
      </c>
    </row>
    <row r="1573" spans="3:22" s="7" customFormat="1" ht="18" customHeight="1">
      <c r="C1573" s="1483" t="s">
        <v>4180</v>
      </c>
      <c r="D1573" s="13" t="s">
        <v>2771</v>
      </c>
      <c r="E1573" s="886" t="s">
        <v>3529</v>
      </c>
      <c r="F1573" s="23" t="s">
        <v>2491</v>
      </c>
      <c r="G1573" s="21" t="s">
        <v>4304</v>
      </c>
      <c r="H1573" s="93">
        <v>42.4</v>
      </c>
      <c r="I1573" s="94">
        <v>1</v>
      </c>
      <c r="J1573" s="17">
        <f t="shared" si="143"/>
        <v>42.4</v>
      </c>
      <c r="K1573" s="597">
        <v>19.73</v>
      </c>
      <c r="L1573" s="598">
        <f t="shared" si="137"/>
        <v>836.55200000000002</v>
      </c>
      <c r="M1573" s="97" t="s">
        <v>224</v>
      </c>
      <c r="N1573" s="33">
        <v>45364</v>
      </c>
      <c r="O1573" s="32">
        <v>5905</v>
      </c>
      <c r="P1573" s="83">
        <v>1860</v>
      </c>
      <c r="Q1573" s="83">
        <f t="shared" si="138"/>
        <v>78864</v>
      </c>
      <c r="S1573" s="7">
        <f t="shared" si="144"/>
        <v>1860</v>
      </c>
      <c r="T1573" s="1318">
        <f t="shared" si="145"/>
        <v>78864</v>
      </c>
      <c r="U1573" s="83">
        <v>120</v>
      </c>
      <c r="V1573" s="1560">
        <f t="shared" si="146"/>
        <v>0.21439432336543332</v>
      </c>
    </row>
    <row r="1574" spans="3:22" s="7" customFormat="1" ht="18" customHeight="1">
      <c r="C1574" s="1483" t="s">
        <v>4180</v>
      </c>
      <c r="D1574" s="13" t="s">
        <v>2771</v>
      </c>
      <c r="E1574" s="886" t="s">
        <v>3529</v>
      </c>
      <c r="F1574" s="23" t="s">
        <v>2491</v>
      </c>
      <c r="G1574" s="21" t="s">
        <v>4064</v>
      </c>
      <c r="H1574" s="93">
        <v>42.1</v>
      </c>
      <c r="I1574" s="94">
        <v>1</v>
      </c>
      <c r="J1574" s="17">
        <f t="shared" si="143"/>
        <v>42.1</v>
      </c>
      <c r="K1574" s="597">
        <v>19.73</v>
      </c>
      <c r="L1574" s="598">
        <f t="shared" si="137"/>
        <v>830.63300000000004</v>
      </c>
      <c r="M1574" s="97" t="s">
        <v>224</v>
      </c>
      <c r="N1574" s="33">
        <v>45364</v>
      </c>
      <c r="O1574" s="32">
        <v>5905</v>
      </c>
      <c r="P1574" s="83">
        <v>1860</v>
      </c>
      <c r="Q1574" s="83">
        <f t="shared" si="138"/>
        <v>78306</v>
      </c>
      <c r="S1574" s="7">
        <f t="shared" si="144"/>
        <v>1860</v>
      </c>
      <c r="T1574" s="1318">
        <f t="shared" si="145"/>
        <v>78306</v>
      </c>
      <c r="U1574" s="83">
        <v>120</v>
      </c>
      <c r="V1574" s="1560">
        <f t="shared" si="146"/>
        <v>0.21439432336543332</v>
      </c>
    </row>
    <row r="1575" spans="3:22" s="7" customFormat="1" ht="18" customHeight="1">
      <c r="C1575" s="1483" t="s">
        <v>4180</v>
      </c>
      <c r="D1575" s="13" t="s">
        <v>2771</v>
      </c>
      <c r="E1575" s="886" t="s">
        <v>3529</v>
      </c>
      <c r="F1575" s="23" t="s">
        <v>2491</v>
      </c>
      <c r="G1575" s="21" t="s">
        <v>4064</v>
      </c>
      <c r="H1575" s="93">
        <v>44.8</v>
      </c>
      <c r="I1575" s="94">
        <v>1</v>
      </c>
      <c r="J1575" s="17">
        <f t="shared" si="143"/>
        <v>44.8</v>
      </c>
      <c r="K1575" s="597">
        <v>19.73</v>
      </c>
      <c r="L1575" s="598">
        <f t="shared" si="137"/>
        <v>883.904</v>
      </c>
      <c r="M1575" s="97" t="s">
        <v>224</v>
      </c>
      <c r="N1575" s="33">
        <v>45364</v>
      </c>
      <c r="O1575" s="32">
        <v>5905</v>
      </c>
      <c r="P1575" s="83">
        <v>1860</v>
      </c>
      <c r="Q1575" s="83">
        <f t="shared" si="138"/>
        <v>83328</v>
      </c>
      <c r="S1575" s="7">
        <f t="shared" si="144"/>
        <v>1860</v>
      </c>
      <c r="T1575" s="1318">
        <f t="shared" si="145"/>
        <v>83328</v>
      </c>
      <c r="U1575" s="83">
        <v>120</v>
      </c>
      <c r="V1575" s="1560">
        <f t="shared" si="146"/>
        <v>0.21439432336543332</v>
      </c>
    </row>
    <row r="1576" spans="3:22" s="7" customFormat="1" ht="18" customHeight="1">
      <c r="C1576" s="1483" t="s">
        <v>4180</v>
      </c>
      <c r="D1576" s="13" t="s">
        <v>2771</v>
      </c>
      <c r="E1576" s="886" t="s">
        <v>3529</v>
      </c>
      <c r="F1576" s="23" t="s">
        <v>2491</v>
      </c>
      <c r="G1576" s="21" t="s">
        <v>4064</v>
      </c>
      <c r="H1576" s="93">
        <v>43.2</v>
      </c>
      <c r="I1576" s="94">
        <v>2</v>
      </c>
      <c r="J1576" s="17">
        <f t="shared" si="143"/>
        <v>86.4</v>
      </c>
      <c r="K1576" s="597">
        <v>19.73</v>
      </c>
      <c r="L1576" s="598">
        <f t="shared" si="137"/>
        <v>1704.6720000000003</v>
      </c>
      <c r="M1576" s="97" t="s">
        <v>224</v>
      </c>
      <c r="N1576" s="33">
        <v>45364</v>
      </c>
      <c r="O1576" s="32">
        <v>5905</v>
      </c>
      <c r="P1576" s="83">
        <v>1860</v>
      </c>
      <c r="Q1576" s="83">
        <f t="shared" si="138"/>
        <v>160704</v>
      </c>
      <c r="S1576" s="7">
        <f t="shared" si="144"/>
        <v>1860</v>
      </c>
      <c r="T1576" s="1318">
        <f t="shared" si="145"/>
        <v>160704</v>
      </c>
      <c r="U1576" s="83">
        <v>120</v>
      </c>
      <c r="V1576" s="1560">
        <f t="shared" si="146"/>
        <v>0.21439432336543332</v>
      </c>
    </row>
    <row r="1577" spans="3:22" s="7" customFormat="1" ht="18" customHeight="1">
      <c r="C1577" s="1483" t="s">
        <v>4180</v>
      </c>
      <c r="D1577" s="13" t="s">
        <v>2771</v>
      </c>
      <c r="E1577" s="886" t="s">
        <v>3529</v>
      </c>
      <c r="F1577" s="23" t="s">
        <v>2491</v>
      </c>
      <c r="G1577" s="21" t="s">
        <v>4064</v>
      </c>
      <c r="H1577" s="93">
        <v>42.3</v>
      </c>
      <c r="I1577" s="94">
        <v>1</v>
      </c>
      <c r="J1577" s="17">
        <f t="shared" si="143"/>
        <v>42.3</v>
      </c>
      <c r="K1577" s="597">
        <v>19.73</v>
      </c>
      <c r="L1577" s="598">
        <f t="shared" si="137"/>
        <v>834.57899999999995</v>
      </c>
      <c r="M1577" s="97" t="s">
        <v>224</v>
      </c>
      <c r="N1577" s="33">
        <v>45364</v>
      </c>
      <c r="O1577" s="32">
        <v>5905</v>
      </c>
      <c r="P1577" s="83">
        <v>1860</v>
      </c>
      <c r="Q1577" s="83">
        <f t="shared" si="138"/>
        <v>78678</v>
      </c>
      <c r="S1577" s="7">
        <f t="shared" si="144"/>
        <v>1860</v>
      </c>
      <c r="T1577" s="1318">
        <f t="shared" si="145"/>
        <v>78678</v>
      </c>
      <c r="U1577" s="83">
        <v>120</v>
      </c>
      <c r="V1577" s="1560">
        <f t="shared" si="146"/>
        <v>0.21439432336543332</v>
      </c>
    </row>
    <row r="1578" spans="3:22" s="7" customFormat="1" ht="18" customHeight="1">
      <c r="C1578" s="1483" t="s">
        <v>4180</v>
      </c>
      <c r="D1578" s="13" t="s">
        <v>2771</v>
      </c>
      <c r="E1578" s="886" t="s">
        <v>3529</v>
      </c>
      <c r="F1578" s="23" t="s">
        <v>2491</v>
      </c>
      <c r="G1578" s="21" t="s">
        <v>4064</v>
      </c>
      <c r="H1578" s="93">
        <v>43.3</v>
      </c>
      <c r="I1578" s="94">
        <v>1</v>
      </c>
      <c r="J1578" s="17">
        <f t="shared" si="143"/>
        <v>43.3</v>
      </c>
      <c r="K1578" s="597">
        <v>19.73</v>
      </c>
      <c r="L1578" s="598">
        <f t="shared" si="137"/>
        <v>854.30899999999997</v>
      </c>
      <c r="M1578" s="97" t="s">
        <v>224</v>
      </c>
      <c r="N1578" s="33">
        <v>45364</v>
      </c>
      <c r="O1578" s="32">
        <v>5905</v>
      </c>
      <c r="P1578" s="83">
        <v>1860</v>
      </c>
      <c r="Q1578" s="83">
        <f t="shared" si="138"/>
        <v>80538</v>
      </c>
      <c r="S1578" s="7">
        <f t="shared" si="144"/>
        <v>1860</v>
      </c>
      <c r="T1578" s="1318">
        <f t="shared" si="145"/>
        <v>80538</v>
      </c>
      <c r="U1578" s="83">
        <v>120</v>
      </c>
      <c r="V1578" s="1560">
        <f t="shared" si="146"/>
        <v>0.21439432336543332</v>
      </c>
    </row>
    <row r="1579" spans="3:22" s="7" customFormat="1" ht="18" customHeight="1">
      <c r="C1579" s="1483" t="s">
        <v>4180</v>
      </c>
      <c r="D1579" s="13" t="s">
        <v>2771</v>
      </c>
      <c r="E1579" s="886" t="s">
        <v>3529</v>
      </c>
      <c r="F1579" s="23" t="s">
        <v>2491</v>
      </c>
      <c r="G1579" s="21" t="s">
        <v>4064</v>
      </c>
      <c r="H1579" s="93">
        <v>42.8</v>
      </c>
      <c r="I1579" s="94">
        <v>1</v>
      </c>
      <c r="J1579" s="17">
        <f t="shared" si="143"/>
        <v>42.8</v>
      </c>
      <c r="K1579" s="597">
        <v>19.73</v>
      </c>
      <c r="L1579" s="598">
        <f t="shared" si="137"/>
        <v>844.44399999999996</v>
      </c>
      <c r="M1579" s="97" t="s">
        <v>224</v>
      </c>
      <c r="N1579" s="33">
        <v>45364</v>
      </c>
      <c r="O1579" s="32">
        <v>5905</v>
      </c>
      <c r="P1579" s="83">
        <v>1860</v>
      </c>
      <c r="Q1579" s="83">
        <f t="shared" si="138"/>
        <v>79608</v>
      </c>
      <c r="S1579" s="7">
        <f t="shared" si="144"/>
        <v>1860</v>
      </c>
      <c r="T1579" s="1318">
        <f t="shared" si="145"/>
        <v>79608</v>
      </c>
      <c r="U1579" s="83">
        <v>120</v>
      </c>
      <c r="V1579" s="1560">
        <f t="shared" si="146"/>
        <v>0.21439432336543332</v>
      </c>
    </row>
    <row r="1580" spans="3:22" s="7" customFormat="1" ht="18" customHeight="1">
      <c r="C1580" s="1483" t="s">
        <v>4180</v>
      </c>
      <c r="D1580" s="13" t="s">
        <v>2771</v>
      </c>
      <c r="E1580" s="886" t="s">
        <v>3529</v>
      </c>
      <c r="F1580" s="23" t="s">
        <v>2491</v>
      </c>
      <c r="G1580" s="21" t="s">
        <v>4064</v>
      </c>
      <c r="H1580" s="93">
        <v>42.4</v>
      </c>
      <c r="I1580" s="94">
        <v>1</v>
      </c>
      <c r="J1580" s="17">
        <f t="shared" si="143"/>
        <v>42.4</v>
      </c>
      <c r="K1580" s="597">
        <v>19.73</v>
      </c>
      <c r="L1580" s="598">
        <f t="shared" si="137"/>
        <v>836.55200000000002</v>
      </c>
      <c r="M1580" s="97" t="s">
        <v>224</v>
      </c>
      <c r="N1580" s="33">
        <v>45364</v>
      </c>
      <c r="O1580" s="32">
        <v>5905</v>
      </c>
      <c r="P1580" s="83">
        <v>1860</v>
      </c>
      <c r="Q1580" s="83">
        <f t="shared" si="138"/>
        <v>78864</v>
      </c>
      <c r="S1580" s="7">
        <f t="shared" si="144"/>
        <v>1860</v>
      </c>
      <c r="T1580" s="1318">
        <f t="shared" si="145"/>
        <v>78864</v>
      </c>
      <c r="U1580" s="83">
        <v>120</v>
      </c>
      <c r="V1580" s="1560">
        <f t="shared" si="146"/>
        <v>0.21439432336543332</v>
      </c>
    </row>
    <row r="1581" spans="3:22" s="7" customFormat="1" ht="18" customHeight="1">
      <c r="C1581" s="1483" t="s">
        <v>4180</v>
      </c>
      <c r="D1581" s="13" t="s">
        <v>2771</v>
      </c>
      <c r="E1581" s="886" t="s">
        <v>3529</v>
      </c>
      <c r="F1581" s="23" t="s">
        <v>2491</v>
      </c>
      <c r="G1581" s="21" t="s">
        <v>4064</v>
      </c>
      <c r="H1581" s="93">
        <v>42.6</v>
      </c>
      <c r="I1581" s="94">
        <v>1</v>
      </c>
      <c r="J1581" s="17">
        <f t="shared" si="143"/>
        <v>42.6</v>
      </c>
      <c r="K1581" s="597">
        <v>19.73</v>
      </c>
      <c r="L1581" s="598">
        <f t="shared" si="137"/>
        <v>840.49800000000005</v>
      </c>
      <c r="M1581" s="97" t="s">
        <v>224</v>
      </c>
      <c r="N1581" s="33">
        <v>45364</v>
      </c>
      <c r="O1581" s="32">
        <v>5905</v>
      </c>
      <c r="P1581" s="83">
        <v>1860</v>
      </c>
      <c r="Q1581" s="83">
        <f t="shared" si="138"/>
        <v>79236</v>
      </c>
      <c r="S1581" s="7">
        <f t="shared" si="144"/>
        <v>1860</v>
      </c>
      <c r="T1581" s="1318">
        <f t="shared" si="145"/>
        <v>79236</v>
      </c>
      <c r="U1581" s="83">
        <v>120</v>
      </c>
      <c r="V1581" s="1560">
        <f t="shared" si="146"/>
        <v>0.21439432336543332</v>
      </c>
    </row>
    <row r="1582" spans="3:22" s="159" customFormat="1" ht="18" customHeight="1">
      <c r="C1582" s="1484" t="s">
        <v>4180</v>
      </c>
      <c r="D1582" s="150" t="s">
        <v>2771</v>
      </c>
      <c r="E1582" s="191"/>
      <c r="F1582" s="152"/>
      <c r="G1582" s="152" t="s">
        <v>168</v>
      </c>
      <c r="H1582" s="918" t="s">
        <v>2776</v>
      </c>
      <c r="I1582" s="155"/>
      <c r="J1582" s="153"/>
      <c r="K1582" s="600">
        <v>0</v>
      </c>
      <c r="L1582" s="601"/>
      <c r="M1582" s="601"/>
      <c r="N1582" s="157">
        <v>45364</v>
      </c>
      <c r="O1582" s="156">
        <v>5905</v>
      </c>
      <c r="P1582" s="164">
        <v>0</v>
      </c>
      <c r="Q1582" s="165">
        <v>0</v>
      </c>
      <c r="S1582" s="7">
        <f t="shared" si="144"/>
        <v>0</v>
      </c>
      <c r="T1582" s="1318">
        <f t="shared" si="145"/>
        <v>0</v>
      </c>
      <c r="U1582" s="83">
        <v>120</v>
      </c>
    </row>
    <row r="1583" spans="3:22" s="7" customFormat="1" ht="18" customHeight="1">
      <c r="C1583" s="1483" t="s">
        <v>4180</v>
      </c>
      <c r="D1583" s="13" t="s">
        <v>2771</v>
      </c>
      <c r="E1583" s="18" t="s">
        <v>2772</v>
      </c>
      <c r="F1583" s="23"/>
      <c r="G1583" s="21"/>
      <c r="H1583" s="39"/>
      <c r="I1583" s="56"/>
      <c r="J1583" s="55"/>
      <c r="K1583" s="15" t="s">
        <v>8</v>
      </c>
      <c r="L1583" s="33"/>
      <c r="M1583" s="33"/>
      <c r="N1583" s="33">
        <v>45364</v>
      </c>
      <c r="O1583" s="32">
        <v>5905</v>
      </c>
      <c r="P1583" s="1477"/>
      <c r="Q1583" s="83"/>
      <c r="S1583" s="7">
        <f t="shared" si="144"/>
        <v>0</v>
      </c>
      <c r="T1583" s="1318">
        <f t="shared" si="145"/>
        <v>0</v>
      </c>
      <c r="U1583" s="83">
        <v>125</v>
      </c>
    </row>
    <row r="1584" spans="3:22" s="7" customFormat="1" ht="18" customHeight="1">
      <c r="C1584" s="1483" t="s">
        <v>4180</v>
      </c>
      <c r="D1584" s="13" t="s">
        <v>2771</v>
      </c>
      <c r="E1584" s="886" t="s">
        <v>3529</v>
      </c>
      <c r="F1584" s="23" t="s">
        <v>2491</v>
      </c>
      <c r="G1584" s="21" t="s">
        <v>4064</v>
      </c>
      <c r="H1584" s="93">
        <v>42</v>
      </c>
      <c r="I1584" s="94">
        <v>1</v>
      </c>
      <c r="J1584" s="17">
        <f>H1584*I1584</f>
        <v>42</v>
      </c>
      <c r="K1584" s="597">
        <v>19.73</v>
      </c>
      <c r="L1584" s="598">
        <f>K1584*J1584</f>
        <v>828.66</v>
      </c>
      <c r="M1584" s="97" t="s">
        <v>224</v>
      </c>
      <c r="N1584" s="33">
        <v>45364</v>
      </c>
      <c r="O1584" s="32">
        <v>5905</v>
      </c>
      <c r="P1584" s="83">
        <v>1860</v>
      </c>
      <c r="Q1584" s="83">
        <f>P1584*J1584</f>
        <v>78120</v>
      </c>
      <c r="S1584" s="7">
        <f t="shared" si="144"/>
        <v>1860</v>
      </c>
      <c r="T1584" s="1318">
        <f t="shared" si="145"/>
        <v>78120</v>
      </c>
      <c r="U1584" s="83">
        <v>120</v>
      </c>
      <c r="V1584" s="1560">
        <f>(((K1584*U1584)-P1584)/(K1584*U1584))</f>
        <v>0.21439432336543332</v>
      </c>
    </row>
    <row r="1585" spans="3:22" s="7" customFormat="1" ht="18" customHeight="1">
      <c r="C1585" s="1483" t="s">
        <v>4180</v>
      </c>
      <c r="D1585" s="13" t="s">
        <v>2771</v>
      </c>
      <c r="E1585" s="886" t="s">
        <v>3529</v>
      </c>
      <c r="F1585" s="23" t="s">
        <v>2491</v>
      </c>
      <c r="G1585" s="21" t="s">
        <v>4064</v>
      </c>
      <c r="H1585" s="93">
        <v>43.9</v>
      </c>
      <c r="I1585" s="94">
        <v>1</v>
      </c>
      <c r="J1585" s="17">
        <f>H1585*I1585</f>
        <v>43.9</v>
      </c>
      <c r="K1585" s="597">
        <v>19.73</v>
      </c>
      <c r="L1585" s="598">
        <f>K1585*J1585</f>
        <v>866.14699999999993</v>
      </c>
      <c r="M1585" s="97" t="s">
        <v>224</v>
      </c>
      <c r="N1585" s="33">
        <v>45364</v>
      </c>
      <c r="O1585" s="32">
        <v>5905</v>
      </c>
      <c r="P1585" s="83">
        <v>1860</v>
      </c>
      <c r="Q1585" s="83">
        <f>P1585*J1585</f>
        <v>81654</v>
      </c>
      <c r="S1585" s="7">
        <f t="shared" si="144"/>
        <v>1860</v>
      </c>
      <c r="T1585" s="1318">
        <f t="shared" si="145"/>
        <v>81654</v>
      </c>
      <c r="U1585" s="83">
        <v>120</v>
      </c>
      <c r="V1585" s="1560">
        <f>(((K1585*U1585)-P1585)/(K1585*U1585))</f>
        <v>0.21439432336543332</v>
      </c>
    </row>
    <row r="1586" spans="3:22" s="7" customFormat="1" ht="18" customHeight="1">
      <c r="C1586" s="1483" t="s">
        <v>4180</v>
      </c>
      <c r="D1586" s="13" t="s">
        <v>2771</v>
      </c>
      <c r="E1586" s="886" t="s">
        <v>3529</v>
      </c>
      <c r="F1586" s="23" t="s">
        <v>2491</v>
      </c>
      <c r="G1586" s="21" t="s">
        <v>4064</v>
      </c>
      <c r="H1586" s="93">
        <v>40.1</v>
      </c>
      <c r="I1586" s="94">
        <v>1</v>
      </c>
      <c r="J1586" s="17">
        <f>H1586*I1586</f>
        <v>40.1</v>
      </c>
      <c r="K1586" s="597">
        <v>19.73</v>
      </c>
      <c r="L1586" s="598">
        <f>K1586*J1586</f>
        <v>791.173</v>
      </c>
      <c r="M1586" s="97" t="s">
        <v>224</v>
      </c>
      <c r="N1586" s="33">
        <v>45364</v>
      </c>
      <c r="O1586" s="32">
        <v>5905</v>
      </c>
      <c r="P1586" s="83">
        <v>1860</v>
      </c>
      <c r="Q1586" s="83">
        <f>P1586*J1586</f>
        <v>74586</v>
      </c>
      <c r="S1586" s="7">
        <f t="shared" si="144"/>
        <v>1860</v>
      </c>
      <c r="T1586" s="1318">
        <f t="shared" si="145"/>
        <v>74586</v>
      </c>
      <c r="U1586" s="83">
        <v>120</v>
      </c>
      <c r="V1586" s="1560">
        <f>(((K1586*U1586)-P1586)/(K1586*U1586))</f>
        <v>0.21439432336543332</v>
      </c>
    </row>
    <row r="1587" spans="3:22" s="7" customFormat="1" ht="18" customHeight="1">
      <c r="C1587" s="1483" t="s">
        <v>4180</v>
      </c>
      <c r="D1587" s="13" t="s">
        <v>2771</v>
      </c>
      <c r="E1587" s="886" t="s">
        <v>3529</v>
      </c>
      <c r="F1587" s="23" t="s">
        <v>2491</v>
      </c>
      <c r="G1587" s="21" t="s">
        <v>4064</v>
      </c>
      <c r="H1587" s="93">
        <v>43.8</v>
      </c>
      <c r="I1587" s="94">
        <v>1</v>
      </c>
      <c r="J1587" s="17">
        <f>H1587*I1587</f>
        <v>43.8</v>
      </c>
      <c r="K1587" s="597">
        <v>19.73</v>
      </c>
      <c r="L1587" s="598">
        <f>K1587*J1587</f>
        <v>864.17399999999998</v>
      </c>
      <c r="M1587" s="97" t="s">
        <v>224</v>
      </c>
      <c r="N1587" s="33">
        <v>45364</v>
      </c>
      <c r="O1587" s="32">
        <v>5905</v>
      </c>
      <c r="P1587" s="83">
        <v>1860</v>
      </c>
      <c r="Q1587" s="83">
        <f>P1587*J1587</f>
        <v>81468</v>
      </c>
      <c r="S1587" s="7">
        <f t="shared" si="144"/>
        <v>1860</v>
      </c>
      <c r="T1587" s="1318">
        <f t="shared" si="145"/>
        <v>81468</v>
      </c>
      <c r="U1587" s="83">
        <v>120</v>
      </c>
      <c r="V1587" s="1560">
        <f>(((K1587*U1587)-P1587)/(K1587*U1587))</f>
        <v>0.21439432336543332</v>
      </c>
    </row>
    <row r="1588" spans="3:22" s="7" customFormat="1" ht="18" customHeight="1">
      <c r="C1588" s="1483" t="s">
        <v>4180</v>
      </c>
      <c r="D1588" s="13" t="s">
        <v>2771</v>
      </c>
      <c r="E1588" s="886" t="s">
        <v>3529</v>
      </c>
      <c r="F1588" s="23" t="s">
        <v>2491</v>
      </c>
      <c r="G1588" s="21" t="s">
        <v>4064</v>
      </c>
      <c r="H1588" s="93">
        <v>42.9</v>
      </c>
      <c r="I1588" s="94">
        <v>1</v>
      </c>
      <c r="J1588" s="17">
        <f>H1588*I1588</f>
        <v>42.9</v>
      </c>
      <c r="K1588" s="597">
        <v>19.73</v>
      </c>
      <c r="L1588" s="598">
        <f>K1588*J1588</f>
        <v>846.41700000000003</v>
      </c>
      <c r="M1588" s="97" t="s">
        <v>224</v>
      </c>
      <c r="N1588" s="33">
        <v>45364</v>
      </c>
      <c r="O1588" s="32">
        <v>5905</v>
      </c>
      <c r="P1588" s="83">
        <v>1860</v>
      </c>
      <c r="Q1588" s="83">
        <f>P1588*J1588</f>
        <v>79794</v>
      </c>
      <c r="S1588" s="7">
        <f t="shared" si="144"/>
        <v>1860</v>
      </c>
      <c r="T1588" s="1318">
        <f t="shared" si="145"/>
        <v>79794</v>
      </c>
      <c r="U1588" s="83">
        <v>120</v>
      </c>
      <c r="V1588" s="1560">
        <f>(((K1588*U1588)-P1588)/(K1588*U1588))</f>
        <v>0.21439432336543332</v>
      </c>
    </row>
    <row r="1589" spans="3:22" s="159" customFormat="1" ht="18" customHeight="1">
      <c r="C1589" s="1484" t="s">
        <v>4180</v>
      </c>
      <c r="D1589" s="150" t="s">
        <v>2771</v>
      </c>
      <c r="E1589" s="151"/>
      <c r="F1589" s="152"/>
      <c r="G1589" s="152" t="s">
        <v>168</v>
      </c>
      <c r="H1589" s="918" t="s">
        <v>2776</v>
      </c>
      <c r="I1589" s="155"/>
      <c r="J1589" s="153"/>
      <c r="K1589" s="600">
        <v>0</v>
      </c>
      <c r="L1589" s="601"/>
      <c r="M1589" s="601"/>
      <c r="N1589" s="157">
        <v>45364</v>
      </c>
      <c r="O1589" s="156">
        <v>5905</v>
      </c>
      <c r="P1589" s="164">
        <v>0</v>
      </c>
      <c r="Q1589" s="165">
        <v>0</v>
      </c>
      <c r="S1589" s="7">
        <f t="shared" si="144"/>
        <v>0</v>
      </c>
      <c r="T1589" s="1318">
        <f t="shared" si="145"/>
        <v>0</v>
      </c>
      <c r="U1589" s="83">
        <v>120</v>
      </c>
    </row>
    <row r="1590" spans="3:22" s="7" customFormat="1" ht="18" customHeight="1">
      <c r="C1590" s="1483" t="s">
        <v>4317</v>
      </c>
      <c r="D1590" s="13" t="s">
        <v>2771</v>
      </c>
      <c r="E1590" s="18" t="s">
        <v>2772</v>
      </c>
      <c r="F1590" s="23"/>
      <c r="G1590" s="21"/>
      <c r="H1590" s="39"/>
      <c r="I1590" s="56"/>
      <c r="J1590" s="55"/>
      <c r="K1590" s="15" t="s">
        <v>8</v>
      </c>
      <c r="L1590" s="33"/>
      <c r="M1590" s="33"/>
      <c r="N1590" s="33">
        <v>45390</v>
      </c>
      <c r="O1590" s="32">
        <v>5906</v>
      </c>
      <c r="P1590" s="1477"/>
      <c r="Q1590" s="83"/>
      <c r="S1590" s="7">
        <f t="shared" si="144"/>
        <v>0</v>
      </c>
      <c r="T1590" s="1318">
        <f t="shared" si="145"/>
        <v>0</v>
      </c>
      <c r="U1590" s="83">
        <v>125</v>
      </c>
    </row>
    <row r="1591" spans="3:22" s="7" customFormat="1" ht="18" customHeight="1">
      <c r="C1591" s="1483" t="s">
        <v>4317</v>
      </c>
      <c r="D1591" s="13" t="s">
        <v>2771</v>
      </c>
      <c r="E1591" s="886" t="s">
        <v>3529</v>
      </c>
      <c r="F1591" s="23" t="s">
        <v>2491</v>
      </c>
      <c r="G1591" s="21" t="s">
        <v>4064</v>
      </c>
      <c r="H1591" s="93">
        <v>42.9</v>
      </c>
      <c r="I1591" s="94">
        <v>1</v>
      </c>
      <c r="J1591" s="17">
        <f>H1591*I1591</f>
        <v>42.9</v>
      </c>
      <c r="K1591" s="597">
        <v>19.73</v>
      </c>
      <c r="L1591" s="598">
        <f>K1591*J1591</f>
        <v>846.41700000000003</v>
      </c>
      <c r="M1591" s="97" t="s">
        <v>224</v>
      </c>
      <c r="N1591" s="33">
        <v>45390</v>
      </c>
      <c r="O1591" s="32">
        <v>5906</v>
      </c>
      <c r="P1591" s="83">
        <v>1860</v>
      </c>
      <c r="Q1591" s="83">
        <f>P1591*J1591</f>
        <v>79794</v>
      </c>
      <c r="S1591" s="7">
        <f t="shared" si="144"/>
        <v>1860</v>
      </c>
      <c r="T1591" s="1318">
        <f t="shared" si="145"/>
        <v>79794</v>
      </c>
      <c r="U1591" s="83">
        <v>120</v>
      </c>
      <c r="V1591" s="1560">
        <f>(((K1591*U1591)-P1591)/(K1591*U1591))</f>
        <v>0.21439432336543332</v>
      </c>
    </row>
    <row r="1592" spans="3:22" s="7" customFormat="1" ht="18" customHeight="1">
      <c r="C1592" s="1483" t="s">
        <v>4317</v>
      </c>
      <c r="D1592" s="13" t="s">
        <v>2771</v>
      </c>
      <c r="E1592" s="886" t="s">
        <v>3529</v>
      </c>
      <c r="F1592" s="23" t="s">
        <v>2491</v>
      </c>
      <c r="G1592" s="21" t="s">
        <v>4064</v>
      </c>
      <c r="H1592" s="93">
        <v>42.7</v>
      </c>
      <c r="I1592" s="94">
        <v>1</v>
      </c>
      <c r="J1592" s="17">
        <f>H1592*I1592</f>
        <v>42.7</v>
      </c>
      <c r="K1592" s="597">
        <v>19.73</v>
      </c>
      <c r="L1592" s="598">
        <f>K1592*J1592</f>
        <v>842.47100000000012</v>
      </c>
      <c r="M1592" s="97" t="s">
        <v>224</v>
      </c>
      <c r="N1592" s="33">
        <v>45390</v>
      </c>
      <c r="O1592" s="32">
        <v>5906</v>
      </c>
      <c r="P1592" s="83">
        <v>1860</v>
      </c>
      <c r="Q1592" s="83">
        <f>P1592*J1592</f>
        <v>79422</v>
      </c>
      <c r="S1592" s="7">
        <f t="shared" si="144"/>
        <v>1860</v>
      </c>
      <c r="T1592" s="1318">
        <f t="shared" si="145"/>
        <v>79422</v>
      </c>
      <c r="U1592" s="83">
        <v>120</v>
      </c>
      <c r="V1592" s="1560">
        <f>(((K1592*U1592)-P1592)/(K1592*U1592))</f>
        <v>0.21439432336543332</v>
      </c>
    </row>
    <row r="1593" spans="3:22" s="7" customFormat="1" ht="18" customHeight="1">
      <c r="C1593" s="1483" t="s">
        <v>4317</v>
      </c>
      <c r="D1593" s="13" t="s">
        <v>2771</v>
      </c>
      <c r="E1593" s="886" t="s">
        <v>3529</v>
      </c>
      <c r="F1593" s="23" t="s">
        <v>2491</v>
      </c>
      <c r="G1593" s="21" t="s">
        <v>4064</v>
      </c>
      <c r="H1593" s="93">
        <v>39.4</v>
      </c>
      <c r="I1593" s="94">
        <v>1</v>
      </c>
      <c r="J1593" s="17">
        <f>H1593*I1593</f>
        <v>39.4</v>
      </c>
      <c r="K1593" s="597">
        <v>19.73</v>
      </c>
      <c r="L1593" s="598">
        <f>K1593*J1593</f>
        <v>777.36199999999997</v>
      </c>
      <c r="M1593" s="97" t="s">
        <v>224</v>
      </c>
      <c r="N1593" s="33">
        <v>45390</v>
      </c>
      <c r="O1593" s="32">
        <v>5906</v>
      </c>
      <c r="P1593" s="83">
        <v>1860</v>
      </c>
      <c r="Q1593" s="83">
        <f>P1593*J1593</f>
        <v>73284</v>
      </c>
      <c r="S1593" s="7">
        <f t="shared" si="144"/>
        <v>1860</v>
      </c>
      <c r="T1593" s="1318">
        <f t="shared" si="145"/>
        <v>73284</v>
      </c>
      <c r="U1593" s="83">
        <v>120</v>
      </c>
      <c r="V1593" s="1560">
        <f>(((K1593*U1593)-P1593)/(K1593*U1593))</f>
        <v>0.21439432336543332</v>
      </c>
    </row>
    <row r="1594" spans="3:22" s="7" customFormat="1" ht="18" customHeight="1">
      <c r="C1594" s="1483" t="s">
        <v>4317</v>
      </c>
      <c r="D1594" s="13" t="s">
        <v>2771</v>
      </c>
      <c r="E1594" s="886" t="s">
        <v>3529</v>
      </c>
      <c r="F1594" s="23" t="s">
        <v>2491</v>
      </c>
      <c r="G1594" s="21" t="s">
        <v>4064</v>
      </c>
      <c r="H1594" s="93">
        <v>37.700000000000003</v>
      </c>
      <c r="I1594" s="94">
        <v>1</v>
      </c>
      <c r="J1594" s="17">
        <f>H1594*I1594</f>
        <v>37.700000000000003</v>
      </c>
      <c r="K1594" s="597">
        <v>19.73</v>
      </c>
      <c r="L1594" s="598">
        <f>K1594*J1594</f>
        <v>743.82100000000003</v>
      </c>
      <c r="M1594" s="97" t="s">
        <v>224</v>
      </c>
      <c r="N1594" s="33">
        <v>45390</v>
      </c>
      <c r="O1594" s="32">
        <v>5906</v>
      </c>
      <c r="P1594" s="83">
        <v>1860</v>
      </c>
      <c r="Q1594" s="83">
        <f>P1594*J1594</f>
        <v>70122</v>
      </c>
      <c r="S1594" s="7">
        <f t="shared" si="144"/>
        <v>1860</v>
      </c>
      <c r="T1594" s="1318">
        <f t="shared" si="145"/>
        <v>70122</v>
      </c>
      <c r="U1594" s="83">
        <v>120</v>
      </c>
      <c r="V1594" s="1560">
        <f>(((K1594*U1594)-P1594)/(K1594*U1594))</f>
        <v>0.21439432336543332</v>
      </c>
    </row>
    <row r="1595" spans="3:22" s="7" customFormat="1" ht="18" customHeight="1">
      <c r="C1595" s="1483" t="s">
        <v>4317</v>
      </c>
      <c r="D1595" s="13" t="s">
        <v>2771</v>
      </c>
      <c r="E1595" s="886" t="s">
        <v>3529</v>
      </c>
      <c r="F1595" s="23" t="s">
        <v>2491</v>
      </c>
      <c r="G1595" s="21" t="s">
        <v>4064</v>
      </c>
      <c r="H1595" s="93">
        <v>41.5</v>
      </c>
      <c r="I1595" s="94">
        <v>1</v>
      </c>
      <c r="J1595" s="17">
        <f>H1595*I1595</f>
        <v>41.5</v>
      </c>
      <c r="K1595" s="597">
        <v>19.73</v>
      </c>
      <c r="L1595" s="598">
        <f>K1595*J1595</f>
        <v>818.79500000000007</v>
      </c>
      <c r="M1595" s="97" t="s">
        <v>224</v>
      </c>
      <c r="N1595" s="33">
        <v>45390</v>
      </c>
      <c r="O1595" s="32">
        <v>5906</v>
      </c>
      <c r="P1595" s="83">
        <v>1860</v>
      </c>
      <c r="Q1595" s="83">
        <f>P1595*J1595</f>
        <v>77190</v>
      </c>
      <c r="S1595" s="7">
        <f t="shared" si="144"/>
        <v>1860</v>
      </c>
      <c r="T1595" s="1318">
        <f t="shared" si="145"/>
        <v>77190</v>
      </c>
      <c r="U1595" s="83">
        <v>120</v>
      </c>
      <c r="V1595" s="1560">
        <f>(((K1595*U1595)-P1595)/(K1595*U1595))</f>
        <v>0.21439432336543332</v>
      </c>
    </row>
    <row r="1596" spans="3:22" s="159" customFormat="1" ht="18" customHeight="1">
      <c r="C1596" s="1484" t="s">
        <v>4317</v>
      </c>
      <c r="D1596" s="150" t="s">
        <v>2771</v>
      </c>
      <c r="E1596" s="151"/>
      <c r="F1596" s="152"/>
      <c r="G1596" s="152" t="s">
        <v>168</v>
      </c>
      <c r="H1596" s="918" t="s">
        <v>2776</v>
      </c>
      <c r="I1596" s="155"/>
      <c r="J1596" s="153"/>
      <c r="K1596" s="600">
        <v>0</v>
      </c>
      <c r="L1596" s="601"/>
      <c r="M1596" s="601"/>
      <c r="N1596" s="157">
        <v>45390</v>
      </c>
      <c r="O1596" s="156">
        <v>5906</v>
      </c>
      <c r="P1596" s="164">
        <v>0</v>
      </c>
      <c r="Q1596" s="165">
        <v>0</v>
      </c>
      <c r="S1596" s="7">
        <f t="shared" si="144"/>
        <v>0</v>
      </c>
      <c r="T1596" s="1318">
        <f t="shared" si="145"/>
        <v>0</v>
      </c>
      <c r="U1596" s="83">
        <v>120</v>
      </c>
    </row>
    <row r="1597" spans="3:22" s="7" customFormat="1" ht="18" customHeight="1">
      <c r="C1597" s="6" t="s">
        <v>4208</v>
      </c>
      <c r="D1597" s="13" t="s">
        <v>1812</v>
      </c>
      <c r="E1597" s="18" t="s">
        <v>79</v>
      </c>
      <c r="F1597" s="92"/>
      <c r="G1597" s="21"/>
      <c r="H1597" s="93"/>
      <c r="I1597" s="94"/>
      <c r="J1597" s="93"/>
      <c r="K1597" s="95" t="s">
        <v>8</v>
      </c>
      <c r="L1597" s="33"/>
      <c r="M1597" s="33"/>
      <c r="N1597" s="33">
        <v>45274</v>
      </c>
      <c r="O1597" s="32">
        <v>5751</v>
      </c>
      <c r="P1597" s="83"/>
      <c r="Q1597" s="83"/>
      <c r="S1597" s="7">
        <f t="shared" si="144"/>
        <v>0</v>
      </c>
      <c r="T1597" s="1318">
        <f t="shared" si="145"/>
        <v>0</v>
      </c>
      <c r="U1597" s="83">
        <v>125</v>
      </c>
      <c r="V1597" s="1560" t="e">
        <f t="shared" ref="V1597:V1603" si="147">(((K1597*U1597)-P1597)/(K1597*U1597))</f>
        <v>#VALUE!</v>
      </c>
    </row>
    <row r="1598" spans="3:22" s="7" customFormat="1" ht="18" customHeight="1">
      <c r="C1598" s="6" t="s">
        <v>4208</v>
      </c>
      <c r="D1598" s="13" t="s">
        <v>1812</v>
      </c>
      <c r="E1598" s="21">
        <v>4141</v>
      </c>
      <c r="F1598" s="596">
        <v>6</v>
      </c>
      <c r="G1598" s="21" t="s">
        <v>4207</v>
      </c>
      <c r="H1598" s="93">
        <v>20</v>
      </c>
      <c r="I1598" s="94">
        <v>5</v>
      </c>
      <c r="J1598" s="55">
        <f>H1598*I1598</f>
        <v>100</v>
      </c>
      <c r="K1598" s="597">
        <v>1.2</v>
      </c>
      <c r="L1598" s="598">
        <f>K1598*J1598</f>
        <v>120</v>
      </c>
      <c r="M1598" s="97" t="s">
        <v>224</v>
      </c>
      <c r="N1598" s="33">
        <v>45274</v>
      </c>
      <c r="O1598" s="32">
        <v>5751</v>
      </c>
      <c r="P1598" s="83">
        <v>87</v>
      </c>
      <c r="Q1598" s="83">
        <f>P1598*J1598</f>
        <v>8700</v>
      </c>
      <c r="S1598" s="7">
        <f t="shared" si="144"/>
        <v>87</v>
      </c>
      <c r="T1598" s="1318">
        <f t="shared" si="145"/>
        <v>8700</v>
      </c>
      <c r="U1598" s="83">
        <v>125</v>
      </c>
      <c r="V1598" s="1560">
        <f t="shared" si="147"/>
        <v>0.42</v>
      </c>
    </row>
    <row r="1599" spans="3:22" s="7" customFormat="1" ht="18" customHeight="1">
      <c r="C1599" s="6" t="s">
        <v>4208</v>
      </c>
      <c r="D1599" s="13" t="s">
        <v>1812</v>
      </c>
      <c r="E1599" s="21">
        <v>4141</v>
      </c>
      <c r="F1599" s="596">
        <v>9</v>
      </c>
      <c r="G1599" s="21" t="s">
        <v>4207</v>
      </c>
      <c r="H1599" s="93">
        <v>20</v>
      </c>
      <c r="I1599" s="94">
        <v>5</v>
      </c>
      <c r="J1599" s="55">
        <f>H1599*I1599</f>
        <v>100</v>
      </c>
      <c r="K1599" s="597">
        <v>1.33</v>
      </c>
      <c r="L1599" s="598">
        <f>K1599*J1599</f>
        <v>133</v>
      </c>
      <c r="M1599" s="97" t="s">
        <v>224</v>
      </c>
      <c r="N1599" s="33">
        <v>45274</v>
      </c>
      <c r="O1599" s="32">
        <v>5751</v>
      </c>
      <c r="P1599" s="83">
        <v>97</v>
      </c>
      <c r="Q1599" s="83">
        <f>P1599*J1599</f>
        <v>9700</v>
      </c>
      <c r="S1599" s="7">
        <f t="shared" si="144"/>
        <v>97</v>
      </c>
      <c r="T1599" s="1318">
        <f t="shared" si="145"/>
        <v>9700</v>
      </c>
      <c r="U1599" s="83">
        <v>125</v>
      </c>
      <c r="V1599" s="1560">
        <f t="shared" si="147"/>
        <v>0.41654135338345866</v>
      </c>
    </row>
    <row r="1600" spans="3:22" ht="18" customHeight="1">
      <c r="C1600" s="6" t="s">
        <v>4208</v>
      </c>
      <c r="D1600" s="13" t="s">
        <v>1812</v>
      </c>
      <c r="E1600" s="48"/>
      <c r="F1600" s="38"/>
      <c r="G1600" s="38" t="s">
        <v>218</v>
      </c>
      <c r="H1600" s="39"/>
      <c r="I1600" s="94"/>
      <c r="J1600" s="39">
        <v>1</v>
      </c>
      <c r="K1600" s="611">
        <v>12</v>
      </c>
      <c r="L1600" s="598">
        <f>K1600*J1600</f>
        <v>12</v>
      </c>
      <c r="M1600" s="898"/>
      <c r="N1600" s="33">
        <v>45274</v>
      </c>
      <c r="O1600" s="32">
        <v>5751</v>
      </c>
      <c r="P1600" s="83">
        <v>1100</v>
      </c>
      <c r="Q1600" s="83">
        <f>P1600*J1600</f>
        <v>1100</v>
      </c>
      <c r="S1600" s="7">
        <f t="shared" si="144"/>
        <v>1100</v>
      </c>
      <c r="T1600" s="1318">
        <f t="shared" si="145"/>
        <v>1100</v>
      </c>
      <c r="U1600" s="83">
        <v>125</v>
      </c>
      <c r="V1600" s="1560">
        <f t="shared" si="147"/>
        <v>0.26666666666666666</v>
      </c>
    </row>
    <row r="1601" spans="3:22" s="159" customFormat="1" ht="18" customHeight="1">
      <c r="C1601" s="149" t="s">
        <v>4208</v>
      </c>
      <c r="D1601" s="150" t="s">
        <v>1812</v>
      </c>
      <c r="E1601" s="191"/>
      <c r="F1601" s="152"/>
      <c r="G1601" s="152" t="s">
        <v>168</v>
      </c>
      <c r="H1601" s="154" t="s">
        <v>169</v>
      </c>
      <c r="I1601" s="155"/>
      <c r="J1601" s="153"/>
      <c r="K1601" s="600">
        <v>0</v>
      </c>
      <c r="L1601" s="601"/>
      <c r="M1601" s="601"/>
      <c r="N1601" s="157">
        <v>45274</v>
      </c>
      <c r="O1601" s="156">
        <v>5751</v>
      </c>
      <c r="P1601" s="164">
        <v>0</v>
      </c>
      <c r="Q1601" s="165">
        <v>0</v>
      </c>
      <c r="T1601" s="1317"/>
      <c r="U1601" s="83">
        <v>125</v>
      </c>
      <c r="V1601" s="1560" t="e">
        <f t="shared" si="147"/>
        <v>#DIV/0!</v>
      </c>
    </row>
    <row r="1602" spans="3:22" s="7" customFormat="1" ht="18" customHeight="1">
      <c r="C1602" s="6" t="s">
        <v>4210</v>
      </c>
      <c r="D1602" s="13" t="s">
        <v>1812</v>
      </c>
      <c r="E1602" s="18" t="s">
        <v>79</v>
      </c>
      <c r="F1602" s="92"/>
      <c r="G1602" s="21"/>
      <c r="H1602" s="93"/>
      <c r="I1602" s="94"/>
      <c r="J1602" s="93"/>
      <c r="K1602" s="95" t="s">
        <v>4048</v>
      </c>
      <c r="L1602" s="33"/>
      <c r="M1602" s="33"/>
      <c r="N1602" s="33">
        <v>45287</v>
      </c>
      <c r="O1602" s="32">
        <v>5785</v>
      </c>
      <c r="P1602" s="83"/>
      <c r="Q1602" s="83"/>
      <c r="S1602" s="7">
        <f t="shared" ref="S1602:T1604" si="148">P1602</f>
        <v>0</v>
      </c>
      <c r="T1602" s="1318">
        <f t="shared" si="148"/>
        <v>0</v>
      </c>
      <c r="U1602" s="83">
        <v>125</v>
      </c>
      <c r="V1602" s="1560" t="e">
        <f t="shared" si="147"/>
        <v>#VALUE!</v>
      </c>
    </row>
    <row r="1603" spans="3:22" s="7" customFormat="1" ht="18" customHeight="1">
      <c r="C1603" s="6" t="s">
        <v>4210</v>
      </c>
      <c r="D1603" s="13" t="s">
        <v>1812</v>
      </c>
      <c r="E1603" s="21" t="s">
        <v>4046</v>
      </c>
      <c r="F1603" s="596">
        <v>9</v>
      </c>
      <c r="G1603" s="21" t="s">
        <v>4211</v>
      </c>
      <c r="H1603" s="39"/>
      <c r="I1603" s="94"/>
      <c r="J1603" s="39">
        <v>1</v>
      </c>
      <c r="K1603" s="611">
        <v>65</v>
      </c>
      <c r="L1603" s="598">
        <f>K1603*J1603</f>
        <v>65</v>
      </c>
      <c r="M1603" s="97" t="s">
        <v>224</v>
      </c>
      <c r="N1603" s="33">
        <v>45287</v>
      </c>
      <c r="O1603" s="32">
        <v>5785</v>
      </c>
      <c r="P1603" s="83">
        <v>6000</v>
      </c>
      <c r="Q1603" s="83">
        <f>P1603*J1603</f>
        <v>6000</v>
      </c>
      <c r="S1603" s="7">
        <f t="shared" si="148"/>
        <v>6000</v>
      </c>
      <c r="T1603" s="1318">
        <f t="shared" si="148"/>
        <v>6000</v>
      </c>
      <c r="U1603" s="83">
        <v>125</v>
      </c>
      <c r="V1603" s="1560">
        <f t="shared" si="147"/>
        <v>0.26153846153846155</v>
      </c>
    </row>
    <row r="1604" spans="3:22" s="117" customFormat="1" ht="18" customHeight="1">
      <c r="C1604" s="116" t="s">
        <v>4210</v>
      </c>
      <c r="D1604" s="81" t="s">
        <v>1812</v>
      </c>
      <c r="E1604" s="21">
        <v>4141</v>
      </c>
      <c r="F1604" s="1618">
        <v>9</v>
      </c>
      <c r="G1604" s="126" t="s">
        <v>4211</v>
      </c>
      <c r="H1604" s="723"/>
      <c r="I1604" s="166"/>
      <c r="J1604" s="1619">
        <v>2</v>
      </c>
      <c r="K1604" s="1620">
        <v>1.33</v>
      </c>
      <c r="L1604" s="1621">
        <v>0</v>
      </c>
      <c r="M1604" s="1622" t="s">
        <v>224</v>
      </c>
      <c r="N1604" s="33">
        <v>45287</v>
      </c>
      <c r="O1604" s="32">
        <v>5785</v>
      </c>
      <c r="P1604" s="225">
        <v>97</v>
      </c>
      <c r="Q1604" s="225">
        <f>P1604*J1604</f>
        <v>194</v>
      </c>
      <c r="R1604" s="118"/>
      <c r="S1604" s="118">
        <f t="shared" si="148"/>
        <v>97</v>
      </c>
      <c r="T1604" s="1623">
        <f t="shared" si="148"/>
        <v>194</v>
      </c>
      <c r="U1604" s="225">
        <v>125</v>
      </c>
    </row>
    <row r="1605" spans="3:22" s="159" customFormat="1" ht="18" customHeight="1">
      <c r="C1605" s="149" t="s">
        <v>4210</v>
      </c>
      <c r="D1605" s="150" t="s">
        <v>1812</v>
      </c>
      <c r="E1605" s="191"/>
      <c r="F1605" s="152"/>
      <c r="G1605" s="152" t="s">
        <v>168</v>
      </c>
      <c r="H1605" s="154" t="s">
        <v>169</v>
      </c>
      <c r="I1605" s="155"/>
      <c r="J1605" s="153"/>
      <c r="K1605" s="600">
        <v>0</v>
      </c>
      <c r="L1605" s="601"/>
      <c r="M1605" s="601"/>
      <c r="N1605" s="157">
        <v>45287</v>
      </c>
      <c r="O1605" s="156">
        <v>5785</v>
      </c>
      <c r="P1605" s="164">
        <v>0</v>
      </c>
      <c r="Q1605" s="165">
        <v>0</v>
      </c>
      <c r="T1605" s="1317"/>
      <c r="U1605" s="83">
        <v>125</v>
      </c>
      <c r="V1605" s="1560" t="e">
        <f>(((K1605*U1605)-P1605)/(K1605*U1605))</f>
        <v>#DIV/0!</v>
      </c>
    </row>
    <row r="1606" spans="3:22" s="7" customFormat="1" ht="18" customHeight="1">
      <c r="C1606" s="6" t="s">
        <v>4253</v>
      </c>
      <c r="D1606" s="13" t="s">
        <v>3633</v>
      </c>
      <c r="E1606" s="18" t="s">
        <v>79</v>
      </c>
      <c r="F1606" s="92"/>
      <c r="G1606" s="21"/>
      <c r="H1606" s="93"/>
      <c r="I1606" s="94"/>
      <c r="J1606" s="93"/>
      <c r="K1606" s="95" t="s">
        <v>8</v>
      </c>
      <c r="L1606" s="33"/>
      <c r="M1606" s="33"/>
      <c r="N1606" s="33">
        <v>45286</v>
      </c>
      <c r="O1606" s="32">
        <v>5773</v>
      </c>
      <c r="P1606" s="83"/>
      <c r="Q1606" s="83"/>
      <c r="S1606" s="7">
        <f t="shared" ref="S1606:S1613" si="149">P1606</f>
        <v>0</v>
      </c>
      <c r="T1606" s="1318">
        <f t="shared" ref="T1606:T1613" si="150">Q1606</f>
        <v>0</v>
      </c>
      <c r="U1606" s="83">
        <v>125</v>
      </c>
      <c r="V1606" s="1560" t="e">
        <f>(((K1606*U1606)-P1606)/(K1606*U1606))</f>
        <v>#VALUE!</v>
      </c>
    </row>
    <row r="1607" spans="3:22" s="7" customFormat="1" ht="18" customHeight="1">
      <c r="C1607" s="6" t="s">
        <v>4253</v>
      </c>
      <c r="D1607" s="13" t="s">
        <v>3633</v>
      </c>
      <c r="E1607" s="21">
        <v>4141</v>
      </c>
      <c r="F1607" s="596">
        <v>9</v>
      </c>
      <c r="G1607" s="21" t="s">
        <v>4153</v>
      </c>
      <c r="H1607" s="93">
        <v>20</v>
      </c>
      <c r="I1607" s="94">
        <v>2</v>
      </c>
      <c r="J1607" s="55">
        <f>H1607*I1607</f>
        <v>40</v>
      </c>
      <c r="K1607" s="597">
        <v>1.33</v>
      </c>
      <c r="L1607" s="598">
        <f>K1607*J1607</f>
        <v>53.2</v>
      </c>
      <c r="M1607" s="97" t="s">
        <v>224</v>
      </c>
      <c r="N1607" s="33">
        <v>45286</v>
      </c>
      <c r="O1607" s="32">
        <v>5773</v>
      </c>
      <c r="P1607" s="83">
        <v>97</v>
      </c>
      <c r="Q1607" s="83">
        <f>P1607*J1607</f>
        <v>3880</v>
      </c>
      <c r="S1607" s="7">
        <f t="shared" si="149"/>
        <v>97</v>
      </c>
      <c r="T1607" s="1318">
        <f t="shared" si="150"/>
        <v>3880</v>
      </c>
      <c r="U1607" s="83">
        <v>125</v>
      </c>
      <c r="V1607" s="1560">
        <f>(((K1607*U1607)-P1607)/(K1607*U1607))</f>
        <v>0.41654135338345866</v>
      </c>
    </row>
    <row r="1608" spans="3:22" s="7" customFormat="1" ht="18" customHeight="1">
      <c r="C1608" s="6" t="s">
        <v>4253</v>
      </c>
      <c r="D1608" s="13" t="s">
        <v>3633</v>
      </c>
      <c r="E1608" s="21">
        <v>4141</v>
      </c>
      <c r="F1608" s="596">
        <v>9</v>
      </c>
      <c r="G1608" s="21" t="s">
        <v>4153</v>
      </c>
      <c r="H1608" s="93">
        <v>7</v>
      </c>
      <c r="I1608" s="94">
        <v>1</v>
      </c>
      <c r="J1608" s="55">
        <f>H1608*I1608</f>
        <v>7</v>
      </c>
      <c r="K1608" s="597">
        <v>2</v>
      </c>
      <c r="L1608" s="598">
        <f>K1608*J1608</f>
        <v>14</v>
      </c>
      <c r="M1608" s="97" t="s">
        <v>224</v>
      </c>
      <c r="N1608" s="33">
        <v>45286</v>
      </c>
      <c r="O1608" s="32">
        <v>5773</v>
      </c>
      <c r="P1608" s="83">
        <v>97</v>
      </c>
      <c r="Q1608" s="83">
        <f>P1608*J1608</f>
        <v>679</v>
      </c>
      <c r="S1608" s="7">
        <f>P1608</f>
        <v>97</v>
      </c>
      <c r="T1608" s="1318">
        <f>Q1608</f>
        <v>679</v>
      </c>
      <c r="U1608" s="83">
        <v>125</v>
      </c>
      <c r="V1608" s="1560">
        <f>(((K1608*U1608)-P1608)/(K1608*U1608))</f>
        <v>0.61199999999999999</v>
      </c>
    </row>
    <row r="1609" spans="3:22" s="7" customFormat="1" ht="18" customHeight="1">
      <c r="C1609" s="6" t="s">
        <v>4253</v>
      </c>
      <c r="D1609" s="13" t="s">
        <v>3633</v>
      </c>
      <c r="E1609" s="21">
        <v>4141</v>
      </c>
      <c r="F1609" s="596">
        <v>9</v>
      </c>
      <c r="G1609" s="21" t="s">
        <v>4153</v>
      </c>
      <c r="H1609" s="93">
        <v>18</v>
      </c>
      <c r="I1609" s="94">
        <v>1</v>
      </c>
      <c r="J1609" s="55">
        <f>H1609*I1609</f>
        <v>18</v>
      </c>
      <c r="K1609" s="597">
        <v>2</v>
      </c>
      <c r="L1609" s="598">
        <f>K1609*J1609</f>
        <v>36</v>
      </c>
      <c r="M1609" s="97" t="s">
        <v>224</v>
      </c>
      <c r="N1609" s="33">
        <v>45286</v>
      </c>
      <c r="O1609" s="32">
        <v>5773</v>
      </c>
      <c r="P1609" s="83">
        <v>97</v>
      </c>
      <c r="Q1609" s="83">
        <f>P1609*J1609</f>
        <v>1746</v>
      </c>
      <c r="S1609" s="7">
        <f>P1609</f>
        <v>97</v>
      </c>
      <c r="T1609" s="1318">
        <f>Q1609</f>
        <v>1746</v>
      </c>
      <c r="U1609" s="83">
        <v>125</v>
      </c>
      <c r="V1609" s="1560">
        <f>(((K1609*U1609)-P1609)/(K1609*U1609))</f>
        <v>0.61199999999999999</v>
      </c>
    </row>
    <row r="1610" spans="3:22" ht="18" customHeight="1">
      <c r="C1610" s="6" t="s">
        <v>4253</v>
      </c>
      <c r="D1610" s="13" t="s">
        <v>3633</v>
      </c>
      <c r="E1610" s="48"/>
      <c r="F1610" s="38"/>
      <c r="G1610" s="38" t="s">
        <v>218</v>
      </c>
      <c r="H1610" s="39"/>
      <c r="I1610" s="94"/>
      <c r="J1610" s="39">
        <v>1</v>
      </c>
      <c r="K1610" s="611">
        <v>12</v>
      </c>
      <c r="L1610" s="598">
        <f>K1610*J1610</f>
        <v>12</v>
      </c>
      <c r="M1610" s="898"/>
      <c r="N1610" s="33">
        <v>45286</v>
      </c>
      <c r="O1610" s="32">
        <v>5773</v>
      </c>
      <c r="P1610" s="83">
        <v>1100</v>
      </c>
      <c r="Q1610" s="83">
        <f>P1610*J1610</f>
        <v>1100</v>
      </c>
      <c r="S1610" s="7">
        <f t="shared" si="149"/>
        <v>1100</v>
      </c>
      <c r="T1610" s="1318">
        <f t="shared" si="150"/>
        <v>1100</v>
      </c>
      <c r="U1610" s="83">
        <v>120</v>
      </c>
    </row>
    <row r="1611" spans="3:22" s="159" customFormat="1" ht="18" customHeight="1">
      <c r="C1611" s="149" t="s">
        <v>4253</v>
      </c>
      <c r="D1611" s="150" t="s">
        <v>3633</v>
      </c>
      <c r="E1611" s="151"/>
      <c r="F1611" s="152"/>
      <c r="G1611" s="152" t="s">
        <v>168</v>
      </c>
      <c r="H1611" s="918" t="s">
        <v>169</v>
      </c>
      <c r="I1611" s="155"/>
      <c r="J1611" s="153"/>
      <c r="K1611" s="600">
        <v>0</v>
      </c>
      <c r="L1611" s="601"/>
      <c r="M1611" s="601"/>
      <c r="N1611" s="157">
        <v>45286</v>
      </c>
      <c r="O1611" s="156">
        <v>5773</v>
      </c>
      <c r="P1611" s="164">
        <v>0</v>
      </c>
      <c r="Q1611" s="165">
        <v>0</v>
      </c>
      <c r="S1611" s="7">
        <f t="shared" si="149"/>
        <v>0</v>
      </c>
      <c r="T1611" s="1318">
        <f t="shared" si="150"/>
        <v>0</v>
      </c>
      <c r="U1611" s="83">
        <v>120</v>
      </c>
    </row>
    <row r="1612" spans="3:22" s="7" customFormat="1" ht="18" customHeight="1">
      <c r="C1612" s="6" t="s">
        <v>4254</v>
      </c>
      <c r="D1612" s="13" t="s">
        <v>1812</v>
      </c>
      <c r="E1612" s="18" t="s">
        <v>79</v>
      </c>
      <c r="F1612" s="92"/>
      <c r="G1612" s="21"/>
      <c r="H1612" s="93"/>
      <c r="I1612" s="94"/>
      <c r="J1612" s="93"/>
      <c r="K1612" s="95" t="s">
        <v>8</v>
      </c>
      <c r="L1612" s="33"/>
      <c r="M1612" s="33"/>
      <c r="N1612" s="33">
        <v>45301</v>
      </c>
      <c r="O1612" s="32">
        <v>5808</v>
      </c>
      <c r="P1612" s="83"/>
      <c r="Q1612" s="83"/>
      <c r="S1612" s="7">
        <f t="shared" si="149"/>
        <v>0</v>
      </c>
      <c r="T1612" s="1318">
        <f t="shared" si="150"/>
        <v>0</v>
      </c>
      <c r="U1612" s="83">
        <v>125</v>
      </c>
      <c r="V1612" s="1560" t="e">
        <f>(((K1612*U1612)-P1612)/(K1612*U1612))</f>
        <v>#VALUE!</v>
      </c>
    </row>
    <row r="1613" spans="3:22" s="7" customFormat="1" ht="18" customHeight="1">
      <c r="C1613" s="6" t="s">
        <v>4254</v>
      </c>
      <c r="D1613" s="13" t="s">
        <v>1812</v>
      </c>
      <c r="E1613" s="21">
        <v>4141</v>
      </c>
      <c r="F1613" s="596">
        <v>12</v>
      </c>
      <c r="G1613" s="21" t="s">
        <v>4255</v>
      </c>
      <c r="H1613" s="93">
        <v>20</v>
      </c>
      <c r="I1613" s="94">
        <v>5</v>
      </c>
      <c r="J1613" s="55">
        <f>H1613*I1613</f>
        <v>100</v>
      </c>
      <c r="K1613" s="597">
        <v>1.52</v>
      </c>
      <c r="L1613" s="598">
        <f>K1613*J1613</f>
        <v>152</v>
      </c>
      <c r="M1613" s="97" t="s">
        <v>224</v>
      </c>
      <c r="N1613" s="33">
        <v>45301</v>
      </c>
      <c r="O1613" s="32">
        <v>5808</v>
      </c>
      <c r="P1613" s="83">
        <v>110</v>
      </c>
      <c r="Q1613" s="83">
        <f>P1613*J1613</f>
        <v>11000</v>
      </c>
      <c r="S1613" s="7">
        <f t="shared" si="149"/>
        <v>110</v>
      </c>
      <c r="T1613" s="1318">
        <f t="shared" si="150"/>
        <v>11000</v>
      </c>
      <c r="U1613" s="83">
        <v>125</v>
      </c>
      <c r="V1613" s="1560">
        <f>(((K1613*U1613)-P1613)/(K1613*U1613))</f>
        <v>0.42105263157894735</v>
      </c>
    </row>
    <row r="1614" spans="3:22" s="7" customFormat="1" ht="18" customHeight="1">
      <c r="C1614" s="6" t="s">
        <v>4254</v>
      </c>
      <c r="D1614" s="13" t="s">
        <v>1812</v>
      </c>
      <c r="E1614" s="21">
        <v>4141</v>
      </c>
      <c r="F1614" s="596">
        <v>12</v>
      </c>
      <c r="G1614" s="21" t="s">
        <v>4128</v>
      </c>
      <c r="H1614" s="93">
        <v>20</v>
      </c>
      <c r="I1614" s="94">
        <v>35</v>
      </c>
      <c r="J1614" s="55">
        <f>H1614*I1614</f>
        <v>700</v>
      </c>
      <c r="K1614" s="597">
        <v>1.52</v>
      </c>
      <c r="L1614" s="598">
        <f>K1614*J1614</f>
        <v>1064</v>
      </c>
      <c r="M1614" s="97" t="s">
        <v>224</v>
      </c>
      <c r="N1614" s="33">
        <v>45301</v>
      </c>
      <c r="O1614" s="32">
        <v>5808</v>
      </c>
      <c r="P1614" s="83">
        <v>110</v>
      </c>
      <c r="Q1614" s="83">
        <f>P1614*J1614</f>
        <v>77000</v>
      </c>
      <c r="S1614" s="7">
        <f t="shared" ref="S1614:T1620" si="151">P1614</f>
        <v>110</v>
      </c>
      <c r="T1614" s="1318">
        <f t="shared" si="151"/>
        <v>77000</v>
      </c>
      <c r="U1614" s="83">
        <v>125</v>
      </c>
      <c r="V1614" s="1560">
        <f>(((K1614*U1614)-P1614)/(K1614*U1614))</f>
        <v>0.42105263157894735</v>
      </c>
    </row>
    <row r="1615" spans="3:22" ht="18" customHeight="1">
      <c r="C1615" s="6" t="s">
        <v>4254</v>
      </c>
      <c r="D1615" s="13" t="s">
        <v>1812</v>
      </c>
      <c r="E1615" s="48"/>
      <c r="F1615" s="38"/>
      <c r="G1615" s="38" t="s">
        <v>218</v>
      </c>
      <c r="H1615" s="39"/>
      <c r="I1615" s="94"/>
      <c r="J1615" s="39">
        <v>1</v>
      </c>
      <c r="K1615" s="611">
        <v>12</v>
      </c>
      <c r="L1615" s="598">
        <f>K1615*J1615</f>
        <v>12</v>
      </c>
      <c r="M1615" s="898"/>
      <c r="N1615" s="33">
        <v>45301</v>
      </c>
      <c r="O1615" s="32">
        <v>5808</v>
      </c>
      <c r="P1615" s="83">
        <v>0</v>
      </c>
      <c r="Q1615" s="83">
        <f>P1615*J1615</f>
        <v>0</v>
      </c>
      <c r="S1615" s="7">
        <f t="shared" si="151"/>
        <v>0</v>
      </c>
      <c r="T1615" s="1318">
        <f t="shared" si="151"/>
        <v>0</v>
      </c>
      <c r="U1615" s="83">
        <v>125</v>
      </c>
    </row>
    <row r="1616" spans="3:22" s="159" customFormat="1" ht="18" customHeight="1">
      <c r="C1616" s="149" t="s">
        <v>4254</v>
      </c>
      <c r="D1616" s="150" t="s">
        <v>1812</v>
      </c>
      <c r="E1616" s="151"/>
      <c r="F1616" s="152"/>
      <c r="G1616" s="152" t="s">
        <v>168</v>
      </c>
      <c r="H1616" s="918" t="s">
        <v>169</v>
      </c>
      <c r="I1616" s="155"/>
      <c r="J1616" s="153"/>
      <c r="K1616" s="600">
        <v>0</v>
      </c>
      <c r="L1616" s="601"/>
      <c r="M1616" s="601"/>
      <c r="N1616" s="157">
        <v>45301</v>
      </c>
      <c r="O1616" s="156">
        <v>5808</v>
      </c>
      <c r="P1616" s="164">
        <v>0</v>
      </c>
      <c r="Q1616" s="165">
        <v>0</v>
      </c>
      <c r="S1616" s="7">
        <f t="shared" si="151"/>
        <v>0</v>
      </c>
      <c r="T1616" s="1318">
        <f t="shared" si="151"/>
        <v>0</v>
      </c>
      <c r="U1616" s="83">
        <v>125</v>
      </c>
    </row>
    <row r="1617" spans="3:22" s="7" customFormat="1" ht="18" customHeight="1">
      <c r="C1617" s="6" t="s">
        <v>4258</v>
      </c>
      <c r="D1617" s="13" t="s">
        <v>1812</v>
      </c>
      <c r="E1617" s="18" t="s">
        <v>79</v>
      </c>
      <c r="F1617" s="92"/>
      <c r="G1617" s="21"/>
      <c r="H1617" s="93"/>
      <c r="I1617" s="94"/>
      <c r="J1617" s="93"/>
      <c r="K1617" s="95" t="s">
        <v>8</v>
      </c>
      <c r="L1617" s="33"/>
      <c r="M1617" s="33"/>
      <c r="N1617" s="33">
        <v>45307</v>
      </c>
      <c r="O1617" s="32">
        <v>5827</v>
      </c>
      <c r="P1617" s="83"/>
      <c r="Q1617" s="83"/>
      <c r="S1617" s="7">
        <f t="shared" si="151"/>
        <v>0</v>
      </c>
      <c r="T1617" s="1318">
        <f t="shared" si="151"/>
        <v>0</v>
      </c>
      <c r="U1617" s="83">
        <v>125</v>
      </c>
      <c r="V1617" s="1560" t="e">
        <f t="shared" ref="V1617:V1623" si="152">(((K1617*U1617)-P1617)/(K1617*U1617))</f>
        <v>#VALUE!</v>
      </c>
    </row>
    <row r="1618" spans="3:22" s="7" customFormat="1" ht="18" customHeight="1">
      <c r="C1618" s="6" t="s">
        <v>4258</v>
      </c>
      <c r="D1618" s="13" t="s">
        <v>1812</v>
      </c>
      <c r="E1618" s="21">
        <v>4141</v>
      </c>
      <c r="F1618" s="596">
        <v>9</v>
      </c>
      <c r="G1618" s="21" t="s">
        <v>4207</v>
      </c>
      <c r="H1618" s="93">
        <v>20</v>
      </c>
      <c r="I1618" s="94">
        <v>2</v>
      </c>
      <c r="J1618" s="55">
        <f>H1618*I1618</f>
        <v>40</v>
      </c>
      <c r="K1618" s="597">
        <v>1.33</v>
      </c>
      <c r="L1618" s="598">
        <f>K1618*J1618</f>
        <v>53.2</v>
      </c>
      <c r="M1618" s="97" t="s">
        <v>224</v>
      </c>
      <c r="N1618" s="33">
        <v>45307</v>
      </c>
      <c r="O1618" s="32">
        <v>5827</v>
      </c>
      <c r="P1618" s="83">
        <v>97</v>
      </c>
      <c r="Q1618" s="83">
        <f>P1618*J1618</f>
        <v>3880</v>
      </c>
      <c r="S1618" s="7">
        <f t="shared" si="151"/>
        <v>97</v>
      </c>
      <c r="T1618" s="1318">
        <f t="shared" si="151"/>
        <v>3880</v>
      </c>
      <c r="U1618" s="83">
        <v>125</v>
      </c>
      <c r="V1618" s="1560">
        <f t="shared" si="152"/>
        <v>0.41654135338345866</v>
      </c>
    </row>
    <row r="1619" spans="3:22" s="7" customFormat="1" ht="18" customHeight="1">
      <c r="C1619" s="6" t="s">
        <v>4258</v>
      </c>
      <c r="D1619" s="13" t="s">
        <v>1812</v>
      </c>
      <c r="E1619" s="21">
        <v>4141</v>
      </c>
      <c r="F1619" s="596">
        <v>6</v>
      </c>
      <c r="G1619" s="21" t="s">
        <v>4207</v>
      </c>
      <c r="H1619" s="93">
        <v>20</v>
      </c>
      <c r="I1619" s="94">
        <v>2</v>
      </c>
      <c r="J1619" s="55">
        <f>H1619*I1619</f>
        <v>40</v>
      </c>
      <c r="K1619" s="597">
        <v>1.2</v>
      </c>
      <c r="L1619" s="598">
        <f>K1619*J1619</f>
        <v>48</v>
      </c>
      <c r="M1619" s="97" t="s">
        <v>224</v>
      </c>
      <c r="N1619" s="33">
        <v>45307</v>
      </c>
      <c r="O1619" s="32">
        <v>5827</v>
      </c>
      <c r="P1619" s="83">
        <v>87</v>
      </c>
      <c r="Q1619" s="83">
        <f>P1619*J1619</f>
        <v>3480</v>
      </c>
      <c r="S1619" s="7">
        <f t="shared" si="151"/>
        <v>87</v>
      </c>
      <c r="T1619" s="1318">
        <f t="shared" si="151"/>
        <v>3480</v>
      </c>
      <c r="U1619" s="83">
        <v>125</v>
      </c>
      <c r="V1619" s="1560">
        <f t="shared" si="152"/>
        <v>0.42</v>
      </c>
    </row>
    <row r="1620" spans="3:22" ht="18" customHeight="1">
      <c r="C1620" s="6" t="s">
        <v>4258</v>
      </c>
      <c r="D1620" s="13" t="s">
        <v>1812</v>
      </c>
      <c r="E1620" s="48"/>
      <c r="F1620" s="38"/>
      <c r="G1620" s="38" t="s">
        <v>218</v>
      </c>
      <c r="H1620" s="39"/>
      <c r="I1620" s="94"/>
      <c r="J1620" s="39">
        <v>1</v>
      </c>
      <c r="K1620" s="611">
        <v>12</v>
      </c>
      <c r="L1620" s="598">
        <f>K1620*J1620</f>
        <v>12</v>
      </c>
      <c r="M1620" s="898"/>
      <c r="N1620" s="33">
        <v>45307</v>
      </c>
      <c r="O1620" s="32">
        <v>5827</v>
      </c>
      <c r="P1620" s="83">
        <v>1100</v>
      </c>
      <c r="Q1620" s="83">
        <f>P1620*J1620</f>
        <v>1100</v>
      </c>
      <c r="S1620" s="7">
        <f t="shared" si="151"/>
        <v>1100</v>
      </c>
      <c r="T1620" s="1318">
        <f t="shared" si="151"/>
        <v>1100</v>
      </c>
      <c r="U1620" s="83">
        <v>125</v>
      </c>
      <c r="V1620" s="1560">
        <f t="shared" si="152"/>
        <v>0.26666666666666666</v>
      </c>
    </row>
    <row r="1621" spans="3:22" s="159" customFormat="1" ht="18" customHeight="1">
      <c r="C1621" s="149" t="s">
        <v>4258</v>
      </c>
      <c r="D1621" s="150" t="s">
        <v>1812</v>
      </c>
      <c r="E1621" s="191"/>
      <c r="F1621" s="152"/>
      <c r="G1621" s="152" t="s">
        <v>168</v>
      </c>
      <c r="H1621" s="154" t="s">
        <v>169</v>
      </c>
      <c r="I1621" s="155"/>
      <c r="J1621" s="153"/>
      <c r="K1621" s="600">
        <v>0</v>
      </c>
      <c r="L1621" s="601"/>
      <c r="M1621" s="601"/>
      <c r="N1621" s="157">
        <v>45307</v>
      </c>
      <c r="O1621" s="156">
        <v>5827</v>
      </c>
      <c r="P1621" s="164">
        <v>0</v>
      </c>
      <c r="Q1621" s="165">
        <v>0</v>
      </c>
      <c r="T1621" s="1317"/>
      <c r="U1621" s="83">
        <v>125</v>
      </c>
      <c r="V1621" s="1560" t="e">
        <f t="shared" si="152"/>
        <v>#DIV/0!</v>
      </c>
    </row>
    <row r="1622" spans="3:22" s="7" customFormat="1" ht="18" customHeight="1">
      <c r="C1622" s="6" t="s">
        <v>4259</v>
      </c>
      <c r="D1622" s="13" t="s">
        <v>1812</v>
      </c>
      <c r="E1622" s="18" t="s">
        <v>79</v>
      </c>
      <c r="F1622" s="92"/>
      <c r="G1622" s="21"/>
      <c r="H1622" s="93"/>
      <c r="I1622" s="94"/>
      <c r="J1622" s="93"/>
      <c r="K1622" s="95" t="s">
        <v>8</v>
      </c>
      <c r="L1622" s="33"/>
      <c r="M1622" s="33"/>
      <c r="N1622" s="33">
        <v>45310</v>
      </c>
      <c r="O1622" s="32">
        <v>5835</v>
      </c>
      <c r="P1622" s="83"/>
      <c r="Q1622" s="83"/>
      <c r="S1622" s="7">
        <f>P1622</f>
        <v>0</v>
      </c>
      <c r="T1622" s="1318">
        <f>Q1622</f>
        <v>0</v>
      </c>
      <c r="U1622" s="83">
        <v>125</v>
      </c>
      <c r="V1622" s="1560" t="e">
        <f t="shared" si="152"/>
        <v>#VALUE!</v>
      </c>
    </row>
    <row r="1623" spans="3:22" s="7" customFormat="1" ht="18" customHeight="1">
      <c r="C1623" s="6" t="s">
        <v>4259</v>
      </c>
      <c r="D1623" s="13" t="s">
        <v>1812</v>
      </c>
      <c r="E1623" s="21">
        <v>4141</v>
      </c>
      <c r="F1623" s="596">
        <v>9</v>
      </c>
      <c r="G1623" s="1673" t="s">
        <v>4260</v>
      </c>
      <c r="H1623" s="93">
        <v>20</v>
      </c>
      <c r="I1623" s="94">
        <v>1</v>
      </c>
      <c r="J1623" s="55">
        <f>H1623*I1623</f>
        <v>20</v>
      </c>
      <c r="K1623" s="597">
        <v>1.33</v>
      </c>
      <c r="L1623" s="598">
        <f>K1623*J1623</f>
        <v>26.6</v>
      </c>
      <c r="M1623" s="97" t="s">
        <v>224</v>
      </c>
      <c r="N1623" s="33">
        <v>45310</v>
      </c>
      <c r="O1623" s="32">
        <v>5835</v>
      </c>
      <c r="P1623" s="83">
        <v>97</v>
      </c>
      <c r="Q1623" s="83">
        <f>P1623*J1623</f>
        <v>1940</v>
      </c>
      <c r="S1623" s="7">
        <f>P1623</f>
        <v>97</v>
      </c>
      <c r="T1623" s="1318">
        <f>Q1623</f>
        <v>1940</v>
      </c>
      <c r="U1623" s="83">
        <v>125</v>
      </c>
      <c r="V1623" s="1560">
        <f t="shared" si="152"/>
        <v>0.41654135338345866</v>
      </c>
    </row>
    <row r="1624" spans="3:22" s="7" customFormat="1" ht="18" customHeight="1">
      <c r="C1624" s="6" t="s">
        <v>4259</v>
      </c>
      <c r="D1624" s="13" t="s">
        <v>1812</v>
      </c>
      <c r="E1624" s="21">
        <v>4141</v>
      </c>
      <c r="F1624" s="596">
        <v>9</v>
      </c>
      <c r="G1624" s="203" t="s">
        <v>4261</v>
      </c>
      <c r="H1624" s="93">
        <v>20</v>
      </c>
      <c r="I1624" s="94">
        <v>1</v>
      </c>
      <c r="J1624" s="55">
        <f t="shared" ref="J1624:J1634" si="153">H1624*I1624</f>
        <v>20</v>
      </c>
      <c r="K1624" s="597">
        <v>1.33</v>
      </c>
      <c r="L1624" s="598">
        <f t="shared" ref="L1624:L1634" si="154">K1624*J1624</f>
        <v>26.6</v>
      </c>
      <c r="M1624" s="97" t="s">
        <v>224</v>
      </c>
      <c r="N1624" s="33">
        <v>45310</v>
      </c>
      <c r="O1624" s="32">
        <v>5835</v>
      </c>
      <c r="P1624" s="83">
        <v>97</v>
      </c>
      <c r="Q1624" s="83">
        <f t="shared" ref="Q1624:Q1634" si="155">P1624*J1624</f>
        <v>1940</v>
      </c>
      <c r="S1624" s="7">
        <f t="shared" ref="S1624:S1634" si="156">P1624</f>
        <v>97</v>
      </c>
      <c r="T1624" s="1318">
        <f t="shared" ref="T1624:T1634" si="157">Q1624</f>
        <v>1940</v>
      </c>
      <c r="U1624" s="83">
        <v>125</v>
      </c>
      <c r="V1624" s="1560">
        <f t="shared" ref="V1624:V1634" si="158">(((K1624*U1624)-P1624)/(K1624*U1624))</f>
        <v>0.41654135338345866</v>
      </c>
    </row>
    <row r="1625" spans="3:22" s="7" customFormat="1" ht="18" customHeight="1">
      <c r="C1625" s="6" t="s">
        <v>4259</v>
      </c>
      <c r="D1625" s="13" t="s">
        <v>1812</v>
      </c>
      <c r="E1625" s="21">
        <v>4141</v>
      </c>
      <c r="F1625" s="596">
        <v>9</v>
      </c>
      <c r="G1625" s="203" t="s">
        <v>4262</v>
      </c>
      <c r="H1625" s="93">
        <v>20</v>
      </c>
      <c r="I1625" s="94">
        <v>1</v>
      </c>
      <c r="J1625" s="55">
        <f t="shared" si="153"/>
        <v>20</v>
      </c>
      <c r="K1625" s="597">
        <v>1.33</v>
      </c>
      <c r="L1625" s="598">
        <f t="shared" si="154"/>
        <v>26.6</v>
      </c>
      <c r="M1625" s="97" t="s">
        <v>224</v>
      </c>
      <c r="N1625" s="33">
        <v>45310</v>
      </c>
      <c r="O1625" s="32">
        <v>5835</v>
      </c>
      <c r="P1625" s="83">
        <v>97</v>
      </c>
      <c r="Q1625" s="83">
        <f t="shared" si="155"/>
        <v>1940</v>
      </c>
      <c r="S1625" s="7">
        <f t="shared" si="156"/>
        <v>97</v>
      </c>
      <c r="T1625" s="1318">
        <f t="shared" si="157"/>
        <v>1940</v>
      </c>
      <c r="U1625" s="83">
        <v>125</v>
      </c>
      <c r="V1625" s="1560">
        <f t="shared" si="158"/>
        <v>0.41654135338345866</v>
      </c>
    </row>
    <row r="1626" spans="3:22" s="7" customFormat="1" ht="18" customHeight="1">
      <c r="C1626" s="6" t="s">
        <v>4259</v>
      </c>
      <c r="D1626" s="13" t="s">
        <v>1812</v>
      </c>
      <c r="E1626" s="21">
        <v>4141</v>
      </c>
      <c r="F1626" s="596">
        <v>9</v>
      </c>
      <c r="G1626" s="203" t="s">
        <v>4263</v>
      </c>
      <c r="H1626" s="93">
        <v>20</v>
      </c>
      <c r="I1626" s="94">
        <v>1</v>
      </c>
      <c r="J1626" s="55">
        <f t="shared" si="153"/>
        <v>20</v>
      </c>
      <c r="K1626" s="597">
        <v>1.33</v>
      </c>
      <c r="L1626" s="598">
        <f t="shared" si="154"/>
        <v>26.6</v>
      </c>
      <c r="M1626" s="97" t="s">
        <v>224</v>
      </c>
      <c r="N1626" s="33">
        <v>45310</v>
      </c>
      <c r="O1626" s="32">
        <v>5835</v>
      </c>
      <c r="P1626" s="83">
        <v>97</v>
      </c>
      <c r="Q1626" s="83">
        <f t="shared" si="155"/>
        <v>1940</v>
      </c>
      <c r="S1626" s="7">
        <f t="shared" si="156"/>
        <v>97</v>
      </c>
      <c r="T1626" s="1318">
        <f t="shared" si="157"/>
        <v>1940</v>
      </c>
      <c r="U1626" s="83">
        <v>125</v>
      </c>
      <c r="V1626" s="1560">
        <f t="shared" si="158"/>
        <v>0.41654135338345866</v>
      </c>
    </row>
    <row r="1627" spans="3:22" s="7" customFormat="1" ht="18" customHeight="1">
      <c r="C1627" s="6" t="s">
        <v>4259</v>
      </c>
      <c r="D1627" s="13" t="s">
        <v>1812</v>
      </c>
      <c r="E1627" s="21">
        <v>4141</v>
      </c>
      <c r="F1627" s="596">
        <v>9</v>
      </c>
      <c r="G1627" s="203" t="s">
        <v>4264</v>
      </c>
      <c r="H1627" s="93">
        <v>20</v>
      </c>
      <c r="I1627" s="94">
        <v>1</v>
      </c>
      <c r="J1627" s="55">
        <f t="shared" si="153"/>
        <v>20</v>
      </c>
      <c r="K1627" s="597">
        <v>1.33</v>
      </c>
      <c r="L1627" s="598">
        <f t="shared" si="154"/>
        <v>26.6</v>
      </c>
      <c r="M1627" s="97" t="s">
        <v>224</v>
      </c>
      <c r="N1627" s="33">
        <v>45310</v>
      </c>
      <c r="O1627" s="32">
        <v>5835</v>
      </c>
      <c r="P1627" s="83">
        <v>97</v>
      </c>
      <c r="Q1627" s="83">
        <f t="shared" si="155"/>
        <v>1940</v>
      </c>
      <c r="S1627" s="7">
        <f t="shared" si="156"/>
        <v>97</v>
      </c>
      <c r="T1627" s="1318">
        <f t="shared" si="157"/>
        <v>1940</v>
      </c>
      <c r="U1627" s="83">
        <v>125</v>
      </c>
      <c r="V1627" s="1560">
        <f t="shared" si="158"/>
        <v>0.41654135338345866</v>
      </c>
    </row>
    <row r="1628" spans="3:22" s="7" customFormat="1" ht="18" customHeight="1">
      <c r="C1628" s="6" t="s">
        <v>4259</v>
      </c>
      <c r="D1628" s="13" t="s">
        <v>1812</v>
      </c>
      <c r="E1628" s="21">
        <v>4141</v>
      </c>
      <c r="F1628" s="596">
        <v>9</v>
      </c>
      <c r="G1628" s="203" t="s">
        <v>4265</v>
      </c>
      <c r="H1628" s="93">
        <v>20</v>
      </c>
      <c r="I1628" s="94">
        <v>1</v>
      </c>
      <c r="J1628" s="55">
        <f t="shared" si="153"/>
        <v>20</v>
      </c>
      <c r="K1628" s="597">
        <v>1.33</v>
      </c>
      <c r="L1628" s="598">
        <f t="shared" si="154"/>
        <v>26.6</v>
      </c>
      <c r="M1628" s="97" t="s">
        <v>224</v>
      </c>
      <c r="N1628" s="33">
        <v>45310</v>
      </c>
      <c r="O1628" s="32">
        <v>5835</v>
      </c>
      <c r="P1628" s="83">
        <v>97</v>
      </c>
      <c r="Q1628" s="83">
        <f t="shared" si="155"/>
        <v>1940</v>
      </c>
      <c r="S1628" s="7">
        <f t="shared" si="156"/>
        <v>97</v>
      </c>
      <c r="T1628" s="1318">
        <f t="shared" si="157"/>
        <v>1940</v>
      </c>
      <c r="U1628" s="83">
        <v>125</v>
      </c>
      <c r="V1628" s="1560">
        <f t="shared" si="158"/>
        <v>0.41654135338345866</v>
      </c>
    </row>
    <row r="1629" spans="3:22" s="7" customFormat="1" ht="18" customHeight="1">
      <c r="C1629" s="6" t="s">
        <v>4259</v>
      </c>
      <c r="D1629" s="13" t="s">
        <v>1812</v>
      </c>
      <c r="E1629" s="21">
        <v>4141</v>
      </c>
      <c r="F1629" s="596">
        <v>9</v>
      </c>
      <c r="G1629" s="203" t="s">
        <v>4266</v>
      </c>
      <c r="H1629" s="93">
        <v>20</v>
      </c>
      <c r="I1629" s="94">
        <v>1</v>
      </c>
      <c r="J1629" s="55">
        <f t="shared" si="153"/>
        <v>20</v>
      </c>
      <c r="K1629" s="597">
        <v>1.33</v>
      </c>
      <c r="L1629" s="598">
        <f t="shared" si="154"/>
        <v>26.6</v>
      </c>
      <c r="M1629" s="97" t="s">
        <v>224</v>
      </c>
      <c r="N1629" s="33">
        <v>45310</v>
      </c>
      <c r="O1629" s="32">
        <v>5835</v>
      </c>
      <c r="P1629" s="83">
        <v>97</v>
      </c>
      <c r="Q1629" s="83">
        <f t="shared" si="155"/>
        <v>1940</v>
      </c>
      <c r="S1629" s="7">
        <f t="shared" si="156"/>
        <v>97</v>
      </c>
      <c r="T1629" s="1318">
        <f t="shared" si="157"/>
        <v>1940</v>
      </c>
      <c r="U1629" s="83">
        <v>125</v>
      </c>
      <c r="V1629" s="1560">
        <f t="shared" si="158"/>
        <v>0.41654135338345866</v>
      </c>
    </row>
    <row r="1630" spans="3:22" s="7" customFormat="1" ht="18" customHeight="1">
      <c r="C1630" s="6" t="s">
        <v>4259</v>
      </c>
      <c r="D1630" s="13" t="s">
        <v>1812</v>
      </c>
      <c r="E1630" s="21">
        <v>4141</v>
      </c>
      <c r="F1630" s="596">
        <v>9</v>
      </c>
      <c r="G1630" s="203" t="s">
        <v>4267</v>
      </c>
      <c r="H1630" s="93">
        <v>20</v>
      </c>
      <c r="I1630" s="94">
        <v>1</v>
      </c>
      <c r="J1630" s="55">
        <f t="shared" si="153"/>
        <v>20</v>
      </c>
      <c r="K1630" s="597">
        <v>1.33</v>
      </c>
      <c r="L1630" s="598">
        <f t="shared" si="154"/>
        <v>26.6</v>
      </c>
      <c r="M1630" s="97" t="s">
        <v>224</v>
      </c>
      <c r="N1630" s="33">
        <v>45310</v>
      </c>
      <c r="O1630" s="32">
        <v>5835</v>
      </c>
      <c r="P1630" s="83">
        <v>97</v>
      </c>
      <c r="Q1630" s="83">
        <f t="shared" si="155"/>
        <v>1940</v>
      </c>
      <c r="S1630" s="7">
        <f t="shared" si="156"/>
        <v>97</v>
      </c>
      <c r="T1630" s="1318">
        <f t="shared" si="157"/>
        <v>1940</v>
      </c>
      <c r="U1630" s="83">
        <v>125</v>
      </c>
      <c r="V1630" s="1560">
        <f t="shared" si="158"/>
        <v>0.41654135338345866</v>
      </c>
    </row>
    <row r="1631" spans="3:22" s="7" customFormat="1" ht="18" customHeight="1">
      <c r="C1631" s="6" t="s">
        <v>4259</v>
      </c>
      <c r="D1631" s="13" t="s">
        <v>1812</v>
      </c>
      <c r="E1631" s="21">
        <v>4141</v>
      </c>
      <c r="F1631" s="596">
        <v>9</v>
      </c>
      <c r="G1631" s="203" t="s">
        <v>4269</v>
      </c>
      <c r="H1631" s="93">
        <v>20</v>
      </c>
      <c r="I1631" s="94">
        <v>1</v>
      </c>
      <c r="J1631" s="55">
        <f t="shared" si="153"/>
        <v>20</v>
      </c>
      <c r="K1631" s="597">
        <v>1.33</v>
      </c>
      <c r="L1631" s="598">
        <f t="shared" si="154"/>
        <v>26.6</v>
      </c>
      <c r="M1631" s="97" t="s">
        <v>224</v>
      </c>
      <c r="N1631" s="33">
        <v>45310</v>
      </c>
      <c r="O1631" s="32">
        <v>5835</v>
      </c>
      <c r="P1631" s="83">
        <v>97</v>
      </c>
      <c r="Q1631" s="83">
        <f t="shared" si="155"/>
        <v>1940</v>
      </c>
      <c r="S1631" s="7">
        <f t="shared" si="156"/>
        <v>97</v>
      </c>
      <c r="T1631" s="1318">
        <f t="shared" si="157"/>
        <v>1940</v>
      </c>
      <c r="U1631" s="83">
        <v>125</v>
      </c>
      <c r="V1631" s="1560">
        <f t="shared" si="158"/>
        <v>0.41654135338345866</v>
      </c>
    </row>
    <row r="1632" spans="3:22" s="7" customFormat="1" ht="18" customHeight="1">
      <c r="C1632" s="6" t="s">
        <v>4259</v>
      </c>
      <c r="D1632" s="13" t="s">
        <v>1812</v>
      </c>
      <c r="E1632" s="21">
        <v>4141</v>
      </c>
      <c r="F1632" s="596">
        <v>9</v>
      </c>
      <c r="G1632" s="203" t="s">
        <v>4270</v>
      </c>
      <c r="H1632" s="93">
        <v>20</v>
      </c>
      <c r="I1632" s="94">
        <v>1</v>
      </c>
      <c r="J1632" s="55">
        <f t="shared" si="153"/>
        <v>20</v>
      </c>
      <c r="K1632" s="597">
        <v>1.33</v>
      </c>
      <c r="L1632" s="598">
        <f t="shared" si="154"/>
        <v>26.6</v>
      </c>
      <c r="M1632" s="97" t="s">
        <v>224</v>
      </c>
      <c r="N1632" s="33">
        <v>45310</v>
      </c>
      <c r="O1632" s="32">
        <v>5835</v>
      </c>
      <c r="P1632" s="83">
        <v>97</v>
      </c>
      <c r="Q1632" s="83">
        <f t="shared" si="155"/>
        <v>1940</v>
      </c>
      <c r="S1632" s="7">
        <f t="shared" si="156"/>
        <v>97</v>
      </c>
      <c r="T1632" s="1318">
        <f t="shared" si="157"/>
        <v>1940</v>
      </c>
      <c r="U1632" s="83">
        <v>125</v>
      </c>
      <c r="V1632" s="1560">
        <f t="shared" si="158"/>
        <v>0.41654135338345866</v>
      </c>
    </row>
    <row r="1633" spans="3:22" s="7" customFormat="1" ht="18" customHeight="1">
      <c r="C1633" s="6" t="s">
        <v>4259</v>
      </c>
      <c r="D1633" s="13" t="s">
        <v>1812</v>
      </c>
      <c r="E1633" s="21">
        <v>4141</v>
      </c>
      <c r="F1633" s="596">
        <v>9</v>
      </c>
      <c r="G1633" s="203" t="s">
        <v>4271</v>
      </c>
      <c r="H1633" s="93">
        <v>20</v>
      </c>
      <c r="I1633" s="94">
        <v>1</v>
      </c>
      <c r="J1633" s="55">
        <f t="shared" si="153"/>
        <v>20</v>
      </c>
      <c r="K1633" s="597">
        <v>1.33</v>
      </c>
      <c r="L1633" s="598">
        <f t="shared" si="154"/>
        <v>26.6</v>
      </c>
      <c r="M1633" s="97" t="s">
        <v>224</v>
      </c>
      <c r="N1633" s="33">
        <v>45310</v>
      </c>
      <c r="O1633" s="32">
        <v>5835</v>
      </c>
      <c r="P1633" s="83">
        <v>97</v>
      </c>
      <c r="Q1633" s="83">
        <f t="shared" si="155"/>
        <v>1940</v>
      </c>
      <c r="S1633" s="7">
        <f t="shared" si="156"/>
        <v>97</v>
      </c>
      <c r="T1633" s="1318">
        <f t="shared" si="157"/>
        <v>1940</v>
      </c>
      <c r="U1633" s="83">
        <v>125</v>
      </c>
      <c r="V1633" s="1560">
        <f t="shared" si="158"/>
        <v>0.41654135338345866</v>
      </c>
    </row>
    <row r="1634" spans="3:22" s="7" customFormat="1" ht="18" customHeight="1">
      <c r="C1634" s="6" t="s">
        <v>4259</v>
      </c>
      <c r="D1634" s="13" t="s">
        <v>1812</v>
      </c>
      <c r="E1634" s="21">
        <v>4141</v>
      </c>
      <c r="F1634" s="596">
        <v>9</v>
      </c>
      <c r="G1634" s="203" t="s">
        <v>4272</v>
      </c>
      <c r="H1634" s="93">
        <v>20</v>
      </c>
      <c r="I1634" s="94">
        <v>1</v>
      </c>
      <c r="J1634" s="55">
        <f t="shared" si="153"/>
        <v>20</v>
      </c>
      <c r="K1634" s="597">
        <v>1.33</v>
      </c>
      <c r="L1634" s="598">
        <f t="shared" si="154"/>
        <v>26.6</v>
      </c>
      <c r="M1634" s="97" t="s">
        <v>224</v>
      </c>
      <c r="N1634" s="33">
        <v>45310</v>
      </c>
      <c r="O1634" s="32">
        <v>5835</v>
      </c>
      <c r="P1634" s="83">
        <v>97</v>
      </c>
      <c r="Q1634" s="83">
        <f t="shared" si="155"/>
        <v>1940</v>
      </c>
      <c r="S1634" s="7">
        <f t="shared" si="156"/>
        <v>97</v>
      </c>
      <c r="T1634" s="1318">
        <f t="shared" si="157"/>
        <v>1940</v>
      </c>
      <c r="U1634" s="83">
        <v>125</v>
      </c>
      <c r="V1634" s="1560">
        <f t="shared" si="158"/>
        <v>0.41654135338345866</v>
      </c>
    </row>
    <row r="1635" spans="3:22" s="7" customFormat="1" ht="18" customHeight="1">
      <c r="C1635" s="6" t="s">
        <v>4259</v>
      </c>
      <c r="D1635" s="13" t="s">
        <v>1812</v>
      </c>
      <c r="E1635" s="21">
        <v>4141</v>
      </c>
      <c r="F1635" s="596">
        <v>9</v>
      </c>
      <c r="G1635" s="203" t="s">
        <v>4273</v>
      </c>
      <c r="H1635" s="93">
        <v>20</v>
      </c>
      <c r="I1635" s="94">
        <v>1</v>
      </c>
      <c r="J1635" s="55">
        <f>H1635*I1635</f>
        <v>20</v>
      </c>
      <c r="K1635" s="597">
        <v>1.33</v>
      </c>
      <c r="L1635" s="598">
        <f>K1635*J1635</f>
        <v>26.6</v>
      </c>
      <c r="M1635" s="97" t="s">
        <v>224</v>
      </c>
      <c r="N1635" s="33">
        <v>45310</v>
      </c>
      <c r="O1635" s="32">
        <v>5835</v>
      </c>
      <c r="P1635" s="83">
        <v>97</v>
      </c>
      <c r="Q1635" s="83">
        <f>P1635*J1635</f>
        <v>1940</v>
      </c>
      <c r="S1635" s="7">
        <f t="shared" ref="S1635:T1638" si="159">P1635</f>
        <v>97</v>
      </c>
      <c r="T1635" s="1318">
        <f t="shared" si="159"/>
        <v>1940</v>
      </c>
      <c r="U1635" s="83">
        <v>125</v>
      </c>
      <c r="V1635" s="1560">
        <f t="shared" ref="V1635:V1641" si="160">(((K1635*U1635)-P1635)/(K1635*U1635))</f>
        <v>0.41654135338345866</v>
      </c>
    </row>
    <row r="1636" spans="3:22" s="7" customFormat="1" ht="18" customHeight="1">
      <c r="C1636" s="6" t="s">
        <v>4259</v>
      </c>
      <c r="D1636" s="13" t="s">
        <v>1812</v>
      </c>
      <c r="E1636" s="21">
        <v>4141</v>
      </c>
      <c r="F1636" s="596">
        <v>9</v>
      </c>
      <c r="G1636" s="203" t="s">
        <v>4274</v>
      </c>
      <c r="H1636" s="93">
        <v>20</v>
      </c>
      <c r="I1636" s="94">
        <v>1</v>
      </c>
      <c r="J1636" s="55">
        <f>H1636*I1636</f>
        <v>20</v>
      </c>
      <c r="K1636" s="597">
        <v>1.33</v>
      </c>
      <c r="L1636" s="598">
        <f>K1636*J1636</f>
        <v>26.6</v>
      </c>
      <c r="M1636" s="97" t="s">
        <v>224</v>
      </c>
      <c r="N1636" s="33">
        <v>45310</v>
      </c>
      <c r="O1636" s="32">
        <v>5835</v>
      </c>
      <c r="P1636" s="83">
        <v>97</v>
      </c>
      <c r="Q1636" s="83">
        <f>P1636*J1636</f>
        <v>1940</v>
      </c>
      <c r="S1636" s="7">
        <f t="shared" si="159"/>
        <v>97</v>
      </c>
      <c r="T1636" s="1318">
        <f t="shared" si="159"/>
        <v>1940</v>
      </c>
      <c r="U1636" s="83">
        <v>125</v>
      </c>
      <c r="V1636" s="1560">
        <f t="shared" si="160"/>
        <v>0.41654135338345866</v>
      </c>
    </row>
    <row r="1637" spans="3:22" s="7" customFormat="1" ht="18" customHeight="1">
      <c r="C1637" s="6" t="s">
        <v>4259</v>
      </c>
      <c r="D1637" s="13" t="s">
        <v>1812</v>
      </c>
      <c r="E1637" s="21">
        <v>4141</v>
      </c>
      <c r="F1637" s="596">
        <v>9</v>
      </c>
      <c r="G1637" s="203" t="s">
        <v>4278</v>
      </c>
      <c r="H1637" s="93">
        <v>20</v>
      </c>
      <c r="I1637" s="94">
        <v>1</v>
      </c>
      <c r="J1637" s="55">
        <f>H1637*I1637</f>
        <v>20</v>
      </c>
      <c r="K1637" s="597">
        <v>1.33</v>
      </c>
      <c r="L1637" s="598">
        <f>K1637*J1637</f>
        <v>26.6</v>
      </c>
      <c r="M1637" s="97" t="s">
        <v>224</v>
      </c>
      <c r="N1637" s="33">
        <v>45310</v>
      </c>
      <c r="O1637" s="32">
        <v>5835</v>
      </c>
      <c r="P1637" s="83">
        <v>97</v>
      </c>
      <c r="Q1637" s="83">
        <f>P1637*J1637</f>
        <v>1940</v>
      </c>
      <c r="S1637" s="7">
        <f t="shared" si="159"/>
        <v>97</v>
      </c>
      <c r="T1637" s="1318">
        <f t="shared" si="159"/>
        <v>1940</v>
      </c>
      <c r="U1637" s="83">
        <v>125</v>
      </c>
      <c r="V1637" s="1560">
        <f>(((K1637*U1637)-P1637)/(K1637*U1637))</f>
        <v>0.41654135338345866</v>
      </c>
    </row>
    <row r="1638" spans="3:22" ht="18" customHeight="1">
      <c r="C1638" s="6" t="s">
        <v>4259</v>
      </c>
      <c r="D1638" s="13" t="s">
        <v>1812</v>
      </c>
      <c r="E1638" s="48"/>
      <c r="F1638" s="38"/>
      <c r="G1638" s="38" t="s">
        <v>218</v>
      </c>
      <c r="H1638" s="39"/>
      <c r="I1638" s="94"/>
      <c r="J1638" s="39">
        <v>1</v>
      </c>
      <c r="K1638" s="611">
        <v>12</v>
      </c>
      <c r="L1638" s="598">
        <f>K1638*J1638</f>
        <v>12</v>
      </c>
      <c r="M1638" s="898"/>
      <c r="N1638" s="33">
        <v>45310</v>
      </c>
      <c r="O1638" s="32">
        <v>5835</v>
      </c>
      <c r="P1638" s="83">
        <v>0</v>
      </c>
      <c r="Q1638" s="83">
        <f>P1638*J1638</f>
        <v>0</v>
      </c>
      <c r="S1638" s="7">
        <f t="shared" si="159"/>
        <v>0</v>
      </c>
      <c r="T1638" s="1318">
        <f t="shared" si="159"/>
        <v>0</v>
      </c>
      <c r="U1638" s="83">
        <v>125</v>
      </c>
      <c r="V1638" s="1560">
        <f t="shared" si="160"/>
        <v>1</v>
      </c>
    </row>
    <row r="1639" spans="3:22" s="159" customFormat="1" ht="18" customHeight="1">
      <c r="C1639" s="149" t="s">
        <v>4259</v>
      </c>
      <c r="D1639" s="150" t="s">
        <v>1812</v>
      </c>
      <c r="E1639" s="191"/>
      <c r="F1639" s="152"/>
      <c r="G1639" s="152" t="s">
        <v>168</v>
      </c>
      <c r="H1639" s="154" t="s">
        <v>169</v>
      </c>
      <c r="I1639" s="155"/>
      <c r="J1639" s="153"/>
      <c r="K1639" s="600">
        <v>0</v>
      </c>
      <c r="L1639" s="601"/>
      <c r="M1639" s="601"/>
      <c r="N1639" s="157">
        <v>45310</v>
      </c>
      <c r="O1639" s="156">
        <v>5835</v>
      </c>
      <c r="P1639" s="164">
        <v>0</v>
      </c>
      <c r="Q1639" s="165">
        <v>0</v>
      </c>
      <c r="T1639" s="1317"/>
      <c r="U1639" s="83">
        <v>125</v>
      </c>
      <c r="V1639" s="1560" t="e">
        <f t="shared" si="160"/>
        <v>#DIV/0!</v>
      </c>
    </row>
    <row r="1640" spans="3:22" s="7" customFormat="1" ht="18" customHeight="1">
      <c r="C1640" s="6" t="s">
        <v>4357</v>
      </c>
      <c r="D1640" s="13" t="s">
        <v>4297</v>
      </c>
      <c r="E1640" s="18" t="s">
        <v>4298</v>
      </c>
      <c r="F1640" s="92"/>
      <c r="G1640" s="21"/>
      <c r="H1640" s="93"/>
      <c r="I1640" s="94"/>
      <c r="J1640" s="93"/>
      <c r="K1640" s="95" t="s">
        <v>8</v>
      </c>
      <c r="L1640" s="33"/>
      <c r="M1640" s="33"/>
      <c r="N1640" s="33">
        <v>45363</v>
      </c>
      <c r="O1640" s="32">
        <v>5970</v>
      </c>
      <c r="P1640" s="83"/>
      <c r="Q1640" s="83"/>
      <c r="S1640" s="7">
        <f t="shared" ref="S1640:T1645" si="161">P1640</f>
        <v>0</v>
      </c>
      <c r="T1640" s="1318">
        <f t="shared" si="161"/>
        <v>0</v>
      </c>
      <c r="U1640" s="83">
        <v>125</v>
      </c>
      <c r="V1640" s="1560" t="e">
        <f t="shared" si="160"/>
        <v>#VALUE!</v>
      </c>
    </row>
    <row r="1641" spans="3:22" s="7" customFormat="1" ht="18" customHeight="1">
      <c r="C1641" s="6" t="s">
        <v>4357</v>
      </c>
      <c r="D1641" s="13" t="s">
        <v>4297</v>
      </c>
      <c r="E1641" s="18" t="s">
        <v>4299</v>
      </c>
      <c r="F1641" s="596"/>
      <c r="G1641" s="21" t="s">
        <v>4300</v>
      </c>
      <c r="H1641" s="39"/>
      <c r="I1641" s="94"/>
      <c r="J1641" s="39">
        <v>1</v>
      </c>
      <c r="K1641" s="611">
        <v>50</v>
      </c>
      <c r="L1641" s="598">
        <f>K1641*J1641</f>
        <v>50</v>
      </c>
      <c r="M1641" s="97" t="s">
        <v>224</v>
      </c>
      <c r="N1641" s="33">
        <v>45363</v>
      </c>
      <c r="O1641" s="32">
        <v>5970</v>
      </c>
      <c r="P1641" s="83">
        <v>5000</v>
      </c>
      <c r="Q1641" s="83">
        <f>P1641*J1641</f>
        <v>5000</v>
      </c>
      <c r="S1641" s="7">
        <f t="shared" si="161"/>
        <v>5000</v>
      </c>
      <c r="T1641" s="1318">
        <f t="shared" si="161"/>
        <v>5000</v>
      </c>
      <c r="U1641" s="83">
        <v>125</v>
      </c>
      <c r="V1641" s="1560">
        <f t="shared" si="160"/>
        <v>0.2</v>
      </c>
    </row>
    <row r="1642" spans="3:22" s="7" customFormat="1" ht="18" customHeight="1">
      <c r="C1642" s="6" t="s">
        <v>4357</v>
      </c>
      <c r="D1642" s="13" t="s">
        <v>4297</v>
      </c>
      <c r="E1642" s="18" t="s">
        <v>4301</v>
      </c>
      <c r="F1642" s="596"/>
      <c r="G1642" s="21" t="s">
        <v>4300</v>
      </c>
      <c r="H1642" s="39"/>
      <c r="I1642" s="94"/>
      <c r="J1642" s="39">
        <v>1</v>
      </c>
      <c r="K1642" s="611">
        <v>100</v>
      </c>
      <c r="L1642" s="598">
        <f>K1642*J1642</f>
        <v>100</v>
      </c>
      <c r="M1642" s="97" t="s">
        <v>224</v>
      </c>
      <c r="N1642" s="33">
        <v>45363</v>
      </c>
      <c r="O1642" s="32">
        <v>5970</v>
      </c>
      <c r="P1642" s="83">
        <v>10000</v>
      </c>
      <c r="Q1642" s="83">
        <f>P1642*J1642</f>
        <v>10000</v>
      </c>
      <c r="S1642" s="7">
        <f t="shared" si="161"/>
        <v>10000</v>
      </c>
      <c r="T1642" s="1318">
        <f t="shared" si="161"/>
        <v>10000</v>
      </c>
      <c r="U1642" s="83">
        <v>125</v>
      </c>
      <c r="V1642" s="1560">
        <f t="shared" ref="V1642:V1650" si="162">(((K1642*U1642)-P1642)/(K1642*U1642))</f>
        <v>0.2</v>
      </c>
    </row>
    <row r="1643" spans="3:22" s="7" customFormat="1" ht="18" customHeight="1">
      <c r="C1643" s="6" t="s">
        <v>4357</v>
      </c>
      <c r="D1643" s="13" t="s">
        <v>4297</v>
      </c>
      <c r="E1643" s="18" t="s">
        <v>4302</v>
      </c>
      <c r="F1643" s="596"/>
      <c r="G1643" s="21" t="s">
        <v>4300</v>
      </c>
      <c r="H1643" s="39"/>
      <c r="I1643" s="94"/>
      <c r="J1643" s="39">
        <v>1</v>
      </c>
      <c r="K1643" s="611">
        <v>120</v>
      </c>
      <c r="L1643" s="598">
        <f>K1643*J1643</f>
        <v>120</v>
      </c>
      <c r="M1643" s="97" t="s">
        <v>224</v>
      </c>
      <c r="N1643" s="33">
        <v>45363</v>
      </c>
      <c r="O1643" s="32">
        <v>5970</v>
      </c>
      <c r="P1643" s="83">
        <v>12000</v>
      </c>
      <c r="Q1643" s="83">
        <f>P1643*J1643</f>
        <v>12000</v>
      </c>
      <c r="S1643" s="7">
        <f t="shared" si="161"/>
        <v>12000</v>
      </c>
      <c r="T1643" s="1318">
        <f t="shared" si="161"/>
        <v>12000</v>
      </c>
      <c r="U1643" s="83">
        <v>125</v>
      </c>
      <c r="V1643" s="1560">
        <f t="shared" si="162"/>
        <v>0.2</v>
      </c>
    </row>
    <row r="1644" spans="3:22" s="7" customFormat="1" ht="18" customHeight="1">
      <c r="C1644" s="6" t="s">
        <v>4357</v>
      </c>
      <c r="D1644" s="13" t="s">
        <v>4297</v>
      </c>
      <c r="E1644" s="18" t="s">
        <v>4308</v>
      </c>
      <c r="F1644" s="596"/>
      <c r="G1644" s="21" t="s">
        <v>4300</v>
      </c>
      <c r="H1644" s="39"/>
      <c r="I1644" s="94"/>
      <c r="J1644" s="39">
        <v>1</v>
      </c>
      <c r="K1644" s="611">
        <v>500</v>
      </c>
      <c r="L1644" s="598">
        <f>K1644*J1644</f>
        <v>500</v>
      </c>
      <c r="M1644" s="97" t="s">
        <v>224</v>
      </c>
      <c r="N1644" s="33">
        <v>45363</v>
      </c>
      <c r="O1644" s="32">
        <v>5970</v>
      </c>
      <c r="P1644" s="83">
        <v>24000</v>
      </c>
      <c r="Q1644" s="83">
        <f>P1644*J1644</f>
        <v>24000</v>
      </c>
      <c r="S1644" s="7">
        <f t="shared" si="161"/>
        <v>24000</v>
      </c>
      <c r="T1644" s="1318">
        <f t="shared" si="161"/>
        <v>24000</v>
      </c>
      <c r="U1644" s="83">
        <v>125</v>
      </c>
      <c r="V1644" s="1560">
        <f>(((K1644*U1644)-P1644)/(K1644*U1644))</f>
        <v>0.61599999999999999</v>
      </c>
    </row>
    <row r="1645" spans="3:22" s="7" customFormat="1" ht="18" customHeight="1">
      <c r="C1645" s="6" t="s">
        <v>4357</v>
      </c>
      <c r="D1645" s="13" t="s">
        <v>4297</v>
      </c>
      <c r="E1645" s="18" t="s">
        <v>4309</v>
      </c>
      <c r="F1645" s="596"/>
      <c r="G1645" s="21" t="s">
        <v>4300</v>
      </c>
      <c r="H1645" s="39"/>
      <c r="I1645" s="94"/>
      <c r="J1645" s="39">
        <v>1</v>
      </c>
      <c r="K1645" s="611">
        <v>0</v>
      </c>
      <c r="L1645" s="598">
        <f>K1645*J1645</f>
        <v>0</v>
      </c>
      <c r="M1645" s="97" t="s">
        <v>224</v>
      </c>
      <c r="N1645" s="33">
        <v>45363</v>
      </c>
      <c r="O1645" s="32">
        <v>5970</v>
      </c>
      <c r="P1645" s="83">
        <v>58000</v>
      </c>
      <c r="Q1645" s="83">
        <f>P1645*J1645</f>
        <v>58000</v>
      </c>
      <c r="S1645" s="7">
        <f t="shared" si="161"/>
        <v>58000</v>
      </c>
      <c r="T1645" s="1318">
        <f t="shared" si="161"/>
        <v>58000</v>
      </c>
      <c r="U1645" s="83">
        <v>125</v>
      </c>
      <c r="V1645" s="1560" t="e">
        <f>(((K1645*U1645)-P1645)/(K1645*U1645))</f>
        <v>#DIV/0!</v>
      </c>
    </row>
    <row r="1646" spans="3:22" s="159" customFormat="1" ht="18" customHeight="1">
      <c r="C1646" s="149" t="s">
        <v>4357</v>
      </c>
      <c r="D1646" s="150" t="s">
        <v>4297</v>
      </c>
      <c r="E1646" s="191"/>
      <c r="F1646" s="152"/>
      <c r="G1646" s="152" t="s">
        <v>168</v>
      </c>
      <c r="H1646" s="154" t="s">
        <v>169</v>
      </c>
      <c r="I1646" s="155"/>
      <c r="J1646" s="153"/>
      <c r="K1646" s="600">
        <v>0</v>
      </c>
      <c r="L1646" s="601"/>
      <c r="M1646" s="601"/>
      <c r="N1646" s="157">
        <v>45363</v>
      </c>
      <c r="O1646" s="156">
        <v>5970</v>
      </c>
      <c r="P1646" s="179"/>
      <c r="Q1646" s="179"/>
      <c r="S1646" s="179"/>
      <c r="T1646" s="179"/>
      <c r="U1646" s="83">
        <v>125</v>
      </c>
      <c r="V1646" s="1560" t="e">
        <f t="shared" si="162"/>
        <v>#DIV/0!</v>
      </c>
    </row>
    <row r="1647" spans="3:22" s="7" customFormat="1" ht="18" customHeight="1">
      <c r="C1647" s="6" t="s">
        <v>4305</v>
      </c>
      <c r="D1647" s="13" t="s">
        <v>2277</v>
      </c>
      <c r="E1647" s="18" t="s">
        <v>19</v>
      </c>
      <c r="F1647" s="23"/>
      <c r="G1647" s="21"/>
      <c r="H1647" s="55"/>
      <c r="I1647" s="56"/>
      <c r="J1647" s="55"/>
      <c r="K1647" s="15" t="s">
        <v>8</v>
      </c>
      <c r="L1647" s="688"/>
      <c r="M1647" s="688"/>
      <c r="N1647" s="33">
        <v>45331</v>
      </c>
      <c r="O1647" s="32">
        <v>5879</v>
      </c>
      <c r="P1647" s="83"/>
      <c r="Q1647" s="83"/>
      <c r="S1647" s="7">
        <f t="shared" ref="S1647:S1666" si="163">P1647</f>
        <v>0</v>
      </c>
      <c r="T1647" s="1318">
        <f t="shared" ref="T1647:T1666" si="164">Q1647</f>
        <v>0</v>
      </c>
      <c r="U1647" s="83">
        <v>125</v>
      </c>
      <c r="V1647" s="1560" t="e">
        <f t="shared" si="162"/>
        <v>#VALUE!</v>
      </c>
    </row>
    <row r="1648" spans="3:22" s="7" customFormat="1" ht="18" customHeight="1">
      <c r="C1648" s="6" t="s">
        <v>4305</v>
      </c>
      <c r="D1648" s="13" t="s">
        <v>2277</v>
      </c>
      <c r="E1648" s="740" t="s">
        <v>3856</v>
      </c>
      <c r="F1648" s="23"/>
      <c r="G1648" s="21" t="s">
        <v>25</v>
      </c>
      <c r="H1648" s="93"/>
      <c r="I1648" s="94"/>
      <c r="J1648" s="108">
        <v>100</v>
      </c>
      <c r="K1648" s="597">
        <v>2.87</v>
      </c>
      <c r="L1648" s="598">
        <f>K1648*J1648</f>
        <v>287</v>
      </c>
      <c r="M1648" s="97" t="s">
        <v>224</v>
      </c>
      <c r="N1648" s="33">
        <v>45331</v>
      </c>
      <c r="O1648" s="32">
        <v>5879</v>
      </c>
      <c r="P1648" s="83">
        <v>118</v>
      </c>
      <c r="Q1648" s="83">
        <f>P1648*J1648</f>
        <v>11800</v>
      </c>
      <c r="S1648" s="7">
        <f t="shared" si="163"/>
        <v>118</v>
      </c>
      <c r="T1648" s="1318">
        <f t="shared" si="164"/>
        <v>11800</v>
      </c>
      <c r="U1648" s="83">
        <v>125</v>
      </c>
      <c r="V1648" s="1560">
        <f t="shared" si="162"/>
        <v>0.67108013937282229</v>
      </c>
    </row>
    <row r="1649" spans="3:22" ht="18" customHeight="1">
      <c r="C1649" s="6" t="s">
        <v>4305</v>
      </c>
      <c r="D1649" s="13" t="s">
        <v>2277</v>
      </c>
      <c r="E1649" s="21"/>
      <c r="F1649" s="38"/>
      <c r="G1649" s="38" t="s">
        <v>218</v>
      </c>
      <c r="H1649" s="39"/>
      <c r="I1649" s="94"/>
      <c r="J1649" s="39">
        <v>1</v>
      </c>
      <c r="K1649" s="611">
        <v>12</v>
      </c>
      <c r="L1649" s="598">
        <f>K1649*J1649</f>
        <v>12</v>
      </c>
      <c r="M1649" s="898"/>
      <c r="N1649" s="33">
        <v>45331</v>
      </c>
      <c r="O1649" s="32">
        <v>5879</v>
      </c>
      <c r="P1649" s="83">
        <v>0</v>
      </c>
      <c r="Q1649" s="83">
        <f>P1649*J1649</f>
        <v>0</v>
      </c>
      <c r="S1649" s="7">
        <f t="shared" si="163"/>
        <v>0</v>
      </c>
      <c r="T1649" s="1318">
        <f t="shared" si="164"/>
        <v>0</v>
      </c>
      <c r="U1649" s="83">
        <v>125</v>
      </c>
      <c r="V1649" s="1560">
        <f t="shared" si="162"/>
        <v>1</v>
      </c>
    </row>
    <row r="1650" spans="3:22" s="159" customFormat="1" ht="18" customHeight="1">
      <c r="C1650" s="149" t="s">
        <v>4305</v>
      </c>
      <c r="D1650" s="150" t="s">
        <v>2277</v>
      </c>
      <c r="E1650" s="191"/>
      <c r="F1650" s="152"/>
      <c r="G1650" s="152" t="s">
        <v>168</v>
      </c>
      <c r="H1650" s="154" t="s">
        <v>169</v>
      </c>
      <c r="I1650" s="155"/>
      <c r="J1650" s="153"/>
      <c r="K1650" s="600">
        <v>0</v>
      </c>
      <c r="L1650" s="601"/>
      <c r="M1650" s="601"/>
      <c r="N1650" s="157">
        <v>45331</v>
      </c>
      <c r="O1650" s="156">
        <v>5879</v>
      </c>
      <c r="P1650" s="164">
        <v>0</v>
      </c>
      <c r="Q1650" s="165">
        <v>0</v>
      </c>
      <c r="S1650" s="7">
        <f t="shared" si="163"/>
        <v>0</v>
      </c>
      <c r="T1650" s="1318">
        <f t="shared" si="164"/>
        <v>0</v>
      </c>
      <c r="U1650" s="83">
        <v>125</v>
      </c>
      <c r="V1650" s="1560" t="e">
        <f t="shared" si="162"/>
        <v>#DIV/0!</v>
      </c>
    </row>
    <row r="1651" spans="3:22" s="7" customFormat="1" ht="18" customHeight="1">
      <c r="C1651" s="6" t="s">
        <v>4314</v>
      </c>
      <c r="D1651" s="13" t="s">
        <v>1812</v>
      </c>
      <c r="E1651" s="18" t="s">
        <v>2745</v>
      </c>
      <c r="F1651" s="23"/>
      <c r="G1651" s="21"/>
      <c r="H1651" s="55"/>
      <c r="I1651" s="56"/>
      <c r="J1651" s="55"/>
      <c r="K1651" s="15" t="s">
        <v>8</v>
      </c>
      <c r="L1651" s="33"/>
      <c r="M1651" s="33"/>
      <c r="N1651" s="33">
        <v>45358</v>
      </c>
      <c r="O1651" s="32">
        <v>5946</v>
      </c>
      <c r="P1651" s="83"/>
      <c r="Q1651" s="83"/>
      <c r="S1651" s="7">
        <f t="shared" si="163"/>
        <v>0</v>
      </c>
      <c r="T1651" s="1318">
        <f t="shared" si="164"/>
        <v>0</v>
      </c>
      <c r="U1651" s="83">
        <v>125</v>
      </c>
    </row>
    <row r="1652" spans="3:22" ht="18" customHeight="1">
      <c r="C1652" s="6" t="s">
        <v>4314</v>
      </c>
      <c r="D1652" s="13" t="s">
        <v>1812</v>
      </c>
      <c r="E1652" s="21">
        <v>5636</v>
      </c>
      <c r="F1652" s="23" t="s">
        <v>1808</v>
      </c>
      <c r="G1652" s="21" t="s">
        <v>4315</v>
      </c>
      <c r="H1652" s="93">
        <v>50</v>
      </c>
      <c r="I1652" s="94">
        <v>10</v>
      </c>
      <c r="J1652" s="55">
        <f>H1652*I1652</f>
        <v>500</v>
      </c>
      <c r="K1652" s="597">
        <v>0.53</v>
      </c>
      <c r="L1652" s="598">
        <f>K1652*J1652</f>
        <v>265</v>
      </c>
      <c r="M1652" s="97" t="s">
        <v>224</v>
      </c>
      <c r="N1652" s="33">
        <v>45358</v>
      </c>
      <c r="O1652" s="32">
        <v>5946</v>
      </c>
      <c r="P1652" s="83">
        <v>35</v>
      </c>
      <c r="Q1652" s="83">
        <f>P1652*J1652</f>
        <v>17500</v>
      </c>
      <c r="R1652" s="700"/>
      <c r="S1652" s="7">
        <f>P1652</f>
        <v>35</v>
      </c>
      <c r="T1652" s="1318">
        <f>Q1652</f>
        <v>17500</v>
      </c>
      <c r="U1652" s="83">
        <v>125</v>
      </c>
      <c r="V1652" s="1560">
        <f>(((K1652*U1652)-P1652)/(K1652*U1652))</f>
        <v>0.47169811320754718</v>
      </c>
    </row>
    <row r="1653" spans="3:22" ht="18" customHeight="1">
      <c r="C1653" s="6" t="s">
        <v>4314</v>
      </c>
      <c r="D1653" s="13" t="s">
        <v>1812</v>
      </c>
      <c r="E1653" s="21">
        <v>5636</v>
      </c>
      <c r="F1653" s="23" t="s">
        <v>1808</v>
      </c>
      <c r="G1653" s="21" t="s">
        <v>3690</v>
      </c>
      <c r="H1653" s="93">
        <v>50</v>
      </c>
      <c r="I1653" s="94">
        <v>40</v>
      </c>
      <c r="J1653" s="55">
        <f>H1653*I1653</f>
        <v>2000</v>
      </c>
      <c r="K1653" s="597">
        <v>0.46</v>
      </c>
      <c r="L1653" s="598">
        <f>K1653*J1653</f>
        <v>920</v>
      </c>
      <c r="M1653" s="97" t="s">
        <v>224</v>
      </c>
      <c r="N1653" s="33">
        <v>45358</v>
      </c>
      <c r="O1653" s="32">
        <v>5946</v>
      </c>
      <c r="P1653" s="83">
        <v>30</v>
      </c>
      <c r="Q1653" s="83">
        <f>P1653*J1653</f>
        <v>60000</v>
      </c>
      <c r="R1653" s="700"/>
      <c r="S1653" s="7">
        <f t="shared" si="163"/>
        <v>30</v>
      </c>
      <c r="T1653" s="1318">
        <f t="shared" si="164"/>
        <v>60000</v>
      </c>
      <c r="U1653" s="83">
        <v>125</v>
      </c>
      <c r="V1653" s="1560">
        <f>(((K1653*U1653)-P1653)/(K1653*U1653))</f>
        <v>0.47826086956521741</v>
      </c>
    </row>
    <row r="1654" spans="3:22" s="7" customFormat="1" ht="18" customHeight="1">
      <c r="C1654" s="6" t="s">
        <v>4314</v>
      </c>
      <c r="D1654" s="13" t="s">
        <v>1812</v>
      </c>
      <c r="E1654" s="18" t="s">
        <v>79</v>
      </c>
      <c r="F1654" s="92"/>
      <c r="G1654" s="21"/>
      <c r="H1654" s="93"/>
      <c r="I1654" s="94"/>
      <c r="J1654" s="93"/>
      <c r="K1654" s="95" t="s">
        <v>8</v>
      </c>
      <c r="L1654" s="33"/>
      <c r="M1654" s="33"/>
      <c r="N1654" s="33">
        <v>45358</v>
      </c>
      <c r="O1654" s="32">
        <v>5946</v>
      </c>
      <c r="P1654" s="83"/>
      <c r="Q1654" s="83"/>
      <c r="S1654" s="7">
        <f t="shared" si="163"/>
        <v>0</v>
      </c>
      <c r="T1654" s="1318">
        <f t="shared" si="164"/>
        <v>0</v>
      </c>
      <c r="U1654" s="83">
        <v>125</v>
      </c>
      <c r="V1654" s="1560" t="e">
        <f>(((K1654*U1654)-P1654)/(K1654*U1654))</f>
        <v>#VALUE!</v>
      </c>
    </row>
    <row r="1655" spans="3:22" s="7" customFormat="1" ht="18" customHeight="1">
      <c r="C1655" s="6" t="s">
        <v>4314</v>
      </c>
      <c r="D1655" s="13" t="s">
        <v>1812</v>
      </c>
      <c r="E1655" s="21">
        <v>4141</v>
      </c>
      <c r="F1655" s="596">
        <v>6</v>
      </c>
      <c r="G1655" s="21" t="s">
        <v>4128</v>
      </c>
      <c r="H1655" s="93">
        <v>20</v>
      </c>
      <c r="I1655" s="94">
        <v>5</v>
      </c>
      <c r="J1655" s="55">
        <f>H1655*I1655</f>
        <v>100</v>
      </c>
      <c r="K1655" s="597">
        <v>1.2</v>
      </c>
      <c r="L1655" s="598">
        <f>K1655*J1655</f>
        <v>120</v>
      </c>
      <c r="M1655" s="97" t="s">
        <v>224</v>
      </c>
      <c r="N1655" s="33">
        <v>45358</v>
      </c>
      <c r="O1655" s="32">
        <v>5946</v>
      </c>
      <c r="P1655" s="83">
        <v>87</v>
      </c>
      <c r="Q1655" s="83">
        <f>P1655*J1655</f>
        <v>8700</v>
      </c>
      <c r="S1655" s="7">
        <f t="shared" si="163"/>
        <v>87</v>
      </c>
      <c r="T1655" s="1318">
        <f t="shared" si="164"/>
        <v>8700</v>
      </c>
      <c r="U1655" s="83">
        <v>125</v>
      </c>
      <c r="V1655" s="1560">
        <f>(((K1655*U1655)-P1655)/(K1655*U1655))</f>
        <v>0.42</v>
      </c>
    </row>
    <row r="1656" spans="3:22" ht="18" customHeight="1">
      <c r="C1656" s="6" t="s">
        <v>4314</v>
      </c>
      <c r="D1656" s="13" t="s">
        <v>1812</v>
      </c>
      <c r="E1656" s="21"/>
      <c r="F1656" s="38"/>
      <c r="G1656" s="38" t="s">
        <v>218</v>
      </c>
      <c r="H1656" s="39"/>
      <c r="I1656" s="94"/>
      <c r="J1656" s="39">
        <v>1</v>
      </c>
      <c r="K1656" s="611">
        <v>12</v>
      </c>
      <c r="L1656" s="598">
        <f>K1656*J1656</f>
        <v>12</v>
      </c>
      <c r="M1656" s="33"/>
      <c r="N1656" s="33">
        <v>45358</v>
      </c>
      <c r="O1656" s="32">
        <v>5946</v>
      </c>
      <c r="P1656" s="83">
        <v>1100</v>
      </c>
      <c r="Q1656" s="83">
        <f>P1656*J1656</f>
        <v>1100</v>
      </c>
      <c r="S1656" s="7">
        <f t="shared" si="163"/>
        <v>1100</v>
      </c>
      <c r="T1656" s="1318">
        <f t="shared" si="164"/>
        <v>1100</v>
      </c>
      <c r="U1656" s="83">
        <v>125</v>
      </c>
      <c r="V1656" s="1560">
        <f>(((K1656*U1656)-P1656)/(K1656*U1656))</f>
        <v>0.26666666666666666</v>
      </c>
    </row>
    <row r="1657" spans="3:22" s="159" customFormat="1" ht="18" customHeight="1">
      <c r="C1657" s="149" t="s">
        <v>4314</v>
      </c>
      <c r="D1657" s="150" t="s">
        <v>1812</v>
      </c>
      <c r="E1657" s="151"/>
      <c r="F1657" s="152"/>
      <c r="G1657" s="152" t="s">
        <v>168</v>
      </c>
      <c r="H1657" s="154" t="s">
        <v>169</v>
      </c>
      <c r="I1657" s="155"/>
      <c r="J1657" s="153"/>
      <c r="K1657" s="600">
        <v>0</v>
      </c>
      <c r="L1657" s="601"/>
      <c r="M1657" s="601"/>
      <c r="N1657" s="157">
        <v>45358</v>
      </c>
      <c r="O1657" s="156">
        <v>5946</v>
      </c>
      <c r="P1657" s="164">
        <v>0</v>
      </c>
      <c r="Q1657" s="165">
        <v>0</v>
      </c>
      <c r="S1657" s="7">
        <f t="shared" si="163"/>
        <v>0</v>
      </c>
      <c r="T1657" s="1318">
        <f t="shared" si="164"/>
        <v>0</v>
      </c>
      <c r="U1657" s="83">
        <v>125</v>
      </c>
    </row>
    <row r="1658" spans="3:22" s="7" customFormat="1" ht="18" customHeight="1">
      <c r="C1658" s="6" t="s">
        <v>4346</v>
      </c>
      <c r="D1658" s="13" t="s">
        <v>4297</v>
      </c>
      <c r="E1658" s="18" t="s">
        <v>4316</v>
      </c>
      <c r="F1658" s="92"/>
      <c r="G1658" s="21"/>
      <c r="H1658" s="93"/>
      <c r="I1658" s="94"/>
      <c r="J1658" s="93"/>
      <c r="K1658" s="95" t="s">
        <v>8</v>
      </c>
      <c r="L1658" s="33"/>
      <c r="M1658" s="33"/>
      <c r="N1658" s="33">
        <v>45390</v>
      </c>
      <c r="O1658" s="32">
        <v>6041</v>
      </c>
      <c r="P1658" s="1687" t="s">
        <v>4328</v>
      </c>
      <c r="Q1658" s="83"/>
      <c r="S1658" s="7" t="str">
        <f t="shared" si="163"/>
        <v>サンプル1反単価 x1.5</v>
      </c>
      <c r="T1658" s="1318">
        <f t="shared" si="164"/>
        <v>0</v>
      </c>
      <c r="U1658" s="83">
        <v>125</v>
      </c>
      <c r="V1658" s="1560" t="e">
        <f t="shared" ref="V1658:V1683" si="165">(((K1658*U1658)-P1658)/(K1658*U1658))</f>
        <v>#VALUE!</v>
      </c>
    </row>
    <row r="1659" spans="3:22" s="7" customFormat="1" ht="18" customHeight="1">
      <c r="C1659" s="6" t="s">
        <v>4346</v>
      </c>
      <c r="D1659" s="13" t="s">
        <v>4347</v>
      </c>
      <c r="E1659" s="18" t="s">
        <v>4324</v>
      </c>
      <c r="F1659" s="285">
        <v>92</v>
      </c>
      <c r="G1659" s="21" t="s">
        <v>25</v>
      </c>
      <c r="H1659" s="93">
        <v>12.4</v>
      </c>
      <c r="I1659" s="94">
        <v>1</v>
      </c>
      <c r="J1659" s="17">
        <f>H1659*I1659</f>
        <v>12.4</v>
      </c>
      <c r="K1659" s="611">
        <v>45.68</v>
      </c>
      <c r="L1659" s="598">
        <f>K1659*J1659</f>
        <v>566.43200000000002</v>
      </c>
      <c r="M1659" s="97" t="s">
        <v>224</v>
      </c>
      <c r="N1659" s="33">
        <v>45390</v>
      </c>
      <c r="O1659" s="32">
        <v>6041</v>
      </c>
      <c r="P1659" s="83">
        <f>3410*1.5</f>
        <v>5115</v>
      </c>
      <c r="Q1659" s="83">
        <f t="shared" ref="Q1659:Q1680" si="166">P1659*J1659</f>
        <v>63426</v>
      </c>
      <c r="S1659" s="7">
        <f>P1659</f>
        <v>5115</v>
      </c>
      <c r="T1659" s="1318">
        <f>Q1659</f>
        <v>63426</v>
      </c>
      <c r="U1659" s="83">
        <v>140</v>
      </c>
      <c r="V1659" s="1560">
        <f t="shared" si="165"/>
        <v>0.20018138603952962</v>
      </c>
    </row>
    <row r="1660" spans="3:22" s="7" customFormat="1" ht="18" customHeight="1">
      <c r="C1660" s="6" t="s">
        <v>4346</v>
      </c>
      <c r="D1660" s="13" t="s">
        <v>4347</v>
      </c>
      <c r="E1660" s="18" t="s">
        <v>4324</v>
      </c>
      <c r="F1660" s="285">
        <v>92</v>
      </c>
      <c r="G1660" s="21" t="s">
        <v>25</v>
      </c>
      <c r="H1660" s="93"/>
      <c r="I1660" s="94"/>
      <c r="J1660" s="17">
        <v>1.2</v>
      </c>
      <c r="K1660" s="611">
        <v>45.68</v>
      </c>
      <c r="L1660" s="598">
        <v>0</v>
      </c>
      <c r="M1660" s="97" t="s">
        <v>224</v>
      </c>
      <c r="N1660" s="33">
        <v>45390</v>
      </c>
      <c r="O1660" s="1741" t="s">
        <v>4435</v>
      </c>
      <c r="P1660" s="83">
        <f>3410*1.5</f>
        <v>5115</v>
      </c>
      <c r="Q1660" s="83">
        <f t="shared" si="166"/>
        <v>6138</v>
      </c>
      <c r="S1660" s="7">
        <f>P1660</f>
        <v>5115</v>
      </c>
      <c r="T1660" s="1318">
        <f>Q1660</f>
        <v>6138</v>
      </c>
      <c r="U1660" s="83">
        <v>140</v>
      </c>
      <c r="V1660" s="1560">
        <f t="shared" si="165"/>
        <v>0.20018138603952962</v>
      </c>
    </row>
    <row r="1661" spans="3:22" s="7" customFormat="1" ht="18" customHeight="1">
      <c r="C1661" s="6" t="s">
        <v>4346</v>
      </c>
      <c r="D1661" s="13" t="s">
        <v>4348</v>
      </c>
      <c r="E1661" s="18" t="s">
        <v>4327</v>
      </c>
      <c r="F1661" s="285">
        <v>92</v>
      </c>
      <c r="G1661" s="21" t="s">
        <v>25</v>
      </c>
      <c r="H1661" s="93">
        <v>10.8</v>
      </c>
      <c r="I1661" s="94">
        <v>1</v>
      </c>
      <c r="J1661" s="17">
        <f>H1661*I1661</f>
        <v>10.8</v>
      </c>
      <c r="K1661" s="611">
        <v>57.6</v>
      </c>
      <c r="L1661" s="598">
        <f>K1661*J1661</f>
        <v>622.08000000000004</v>
      </c>
      <c r="M1661" s="97" t="s">
        <v>224</v>
      </c>
      <c r="N1661" s="33">
        <v>45390</v>
      </c>
      <c r="O1661" s="32">
        <v>6041</v>
      </c>
      <c r="P1661" s="83">
        <f>4300*1.5</f>
        <v>6450</v>
      </c>
      <c r="Q1661" s="83">
        <f t="shared" si="166"/>
        <v>69660</v>
      </c>
      <c r="S1661" s="7">
        <f t="shared" si="163"/>
        <v>6450</v>
      </c>
      <c r="T1661" s="1318">
        <f t="shared" si="164"/>
        <v>69660</v>
      </c>
      <c r="U1661" s="83">
        <v>140</v>
      </c>
      <c r="V1661" s="1560">
        <f t="shared" si="165"/>
        <v>0.20014880952380953</v>
      </c>
    </row>
    <row r="1662" spans="3:22" s="7" customFormat="1" ht="18" customHeight="1">
      <c r="C1662" s="6" t="s">
        <v>4346</v>
      </c>
      <c r="D1662" s="13" t="s">
        <v>4348</v>
      </c>
      <c r="E1662" s="18" t="s">
        <v>4327</v>
      </c>
      <c r="F1662" s="285">
        <v>92</v>
      </c>
      <c r="G1662" s="21" t="s">
        <v>25</v>
      </c>
      <c r="H1662" s="93"/>
      <c r="I1662" s="94"/>
      <c r="J1662" s="17">
        <v>0.9</v>
      </c>
      <c r="K1662" s="611">
        <v>57.6</v>
      </c>
      <c r="L1662" s="598">
        <v>0</v>
      </c>
      <c r="M1662" s="97" t="s">
        <v>224</v>
      </c>
      <c r="N1662" s="33">
        <v>45390</v>
      </c>
      <c r="O1662" s="1741" t="s">
        <v>4435</v>
      </c>
      <c r="P1662" s="83">
        <f>4300*1.5</f>
        <v>6450</v>
      </c>
      <c r="Q1662" s="83">
        <f t="shared" si="166"/>
        <v>5805</v>
      </c>
      <c r="S1662" s="7">
        <f t="shared" ref="S1662:T1665" si="167">P1662</f>
        <v>6450</v>
      </c>
      <c r="T1662" s="1318">
        <f t="shared" si="167"/>
        <v>5805</v>
      </c>
      <c r="U1662" s="83">
        <v>140</v>
      </c>
      <c r="V1662" s="1560">
        <f t="shared" si="165"/>
        <v>0.20014880952380953</v>
      </c>
    </row>
    <row r="1663" spans="3:22" ht="18" customHeight="1">
      <c r="C1663" s="6" t="s">
        <v>4346</v>
      </c>
      <c r="D1663" s="13" t="s">
        <v>4348</v>
      </c>
      <c r="E1663" s="21"/>
      <c r="F1663" s="38"/>
      <c r="G1663" s="38" t="s">
        <v>4434</v>
      </c>
      <c r="H1663" s="39"/>
      <c r="I1663" s="94"/>
      <c r="J1663" s="39">
        <v>1</v>
      </c>
      <c r="K1663" s="611">
        <v>0</v>
      </c>
      <c r="L1663" s="598">
        <f>K1663*J1663</f>
        <v>0</v>
      </c>
      <c r="M1663" s="33"/>
      <c r="N1663" s="33">
        <v>45390</v>
      </c>
      <c r="O1663" s="1741" t="s">
        <v>4435</v>
      </c>
      <c r="P1663" s="83">
        <v>1000</v>
      </c>
      <c r="Q1663" s="83">
        <f t="shared" si="166"/>
        <v>1000</v>
      </c>
      <c r="S1663" s="7">
        <f t="shared" si="167"/>
        <v>1000</v>
      </c>
      <c r="T1663" s="1318">
        <f t="shared" si="167"/>
        <v>1000</v>
      </c>
      <c r="U1663" s="83">
        <v>125</v>
      </c>
      <c r="V1663" s="1560" t="e">
        <f t="shared" si="165"/>
        <v>#DIV/0!</v>
      </c>
    </row>
    <row r="1664" spans="3:22" s="7" customFormat="1" ht="18" customHeight="1">
      <c r="C1664" s="6" t="s">
        <v>4346</v>
      </c>
      <c r="D1664" s="13" t="s">
        <v>4349</v>
      </c>
      <c r="E1664" s="18" t="s">
        <v>4326</v>
      </c>
      <c r="F1664" s="285">
        <v>92</v>
      </c>
      <c r="G1664" s="21" t="s">
        <v>25</v>
      </c>
      <c r="H1664" s="93">
        <v>12.4</v>
      </c>
      <c r="I1664" s="94">
        <v>1</v>
      </c>
      <c r="J1664" s="17">
        <f>H1664*I1664</f>
        <v>12.4</v>
      </c>
      <c r="K1664" s="611">
        <v>69.650000000000006</v>
      </c>
      <c r="L1664" s="598">
        <f>K1664*J1664</f>
        <v>863.66000000000008</v>
      </c>
      <c r="M1664" s="97" t="s">
        <v>224</v>
      </c>
      <c r="N1664" s="33">
        <v>45390</v>
      </c>
      <c r="O1664" s="32">
        <v>6041</v>
      </c>
      <c r="P1664" s="83">
        <f>5200*1.5</f>
        <v>7800</v>
      </c>
      <c r="Q1664" s="83">
        <f t="shared" si="166"/>
        <v>96720</v>
      </c>
      <c r="S1664" s="7">
        <f t="shared" si="167"/>
        <v>7800</v>
      </c>
      <c r="T1664" s="1318">
        <f t="shared" si="167"/>
        <v>96720</v>
      </c>
      <c r="U1664" s="83">
        <v>140</v>
      </c>
      <c r="V1664" s="1560">
        <f t="shared" si="165"/>
        <v>0.20008204286739822</v>
      </c>
    </row>
    <row r="1665" spans="3:22" s="7" customFormat="1" ht="18" customHeight="1">
      <c r="C1665" s="6" t="s">
        <v>4346</v>
      </c>
      <c r="D1665" s="13" t="s">
        <v>4349</v>
      </c>
      <c r="E1665" s="18" t="s">
        <v>4326</v>
      </c>
      <c r="F1665" s="285">
        <v>92</v>
      </c>
      <c r="G1665" s="21" t="s">
        <v>25</v>
      </c>
      <c r="H1665" s="93"/>
      <c r="I1665" s="94"/>
      <c r="J1665" s="17">
        <v>1.2</v>
      </c>
      <c r="K1665" s="611">
        <v>69.650000000000006</v>
      </c>
      <c r="L1665" s="1717">
        <v>0</v>
      </c>
      <c r="M1665" s="97" t="s">
        <v>224</v>
      </c>
      <c r="N1665" s="33">
        <v>45390</v>
      </c>
      <c r="O1665" s="1741" t="s">
        <v>4435</v>
      </c>
      <c r="P1665" s="83">
        <f>5200*1.5</f>
        <v>7800</v>
      </c>
      <c r="Q1665" s="83">
        <f t="shared" si="166"/>
        <v>9360</v>
      </c>
      <c r="S1665" s="7">
        <f t="shared" si="167"/>
        <v>7800</v>
      </c>
      <c r="T1665" s="1318">
        <f t="shared" si="167"/>
        <v>9360</v>
      </c>
      <c r="U1665" s="83">
        <v>140</v>
      </c>
      <c r="V1665" s="1560">
        <f t="shared" si="165"/>
        <v>0.20008204286739822</v>
      </c>
    </row>
    <row r="1666" spans="3:22" s="121" customFormat="1" ht="18" customHeight="1">
      <c r="C1666" s="119" t="s">
        <v>4346</v>
      </c>
      <c r="D1666" s="123" t="s">
        <v>4350</v>
      </c>
      <c r="E1666" s="1738" t="s">
        <v>4325</v>
      </c>
      <c r="F1666" s="891">
        <v>92</v>
      </c>
      <c r="G1666" s="102" t="s">
        <v>25</v>
      </c>
      <c r="H1666" s="122">
        <v>13.7</v>
      </c>
      <c r="I1666" s="129">
        <v>1</v>
      </c>
      <c r="J1666" s="332">
        <f>H1666*I1666</f>
        <v>13.7</v>
      </c>
      <c r="K1666" s="748">
        <v>72.33</v>
      </c>
      <c r="L1666" s="831">
        <f>K1666*J1666</f>
        <v>990.92099999999994</v>
      </c>
      <c r="M1666" s="335" t="s">
        <v>224</v>
      </c>
      <c r="N1666" s="267" t="s">
        <v>4405</v>
      </c>
      <c r="O1666" s="267" t="s">
        <v>4405</v>
      </c>
      <c r="P1666" s="226">
        <f>5400*1.5</f>
        <v>8100</v>
      </c>
      <c r="Q1666" s="226">
        <f t="shared" si="166"/>
        <v>110970</v>
      </c>
      <c r="S1666" s="121">
        <f t="shared" si="163"/>
        <v>8100</v>
      </c>
      <c r="T1666" s="1739">
        <f t="shared" si="164"/>
        <v>110970</v>
      </c>
      <c r="U1666" s="226">
        <v>140</v>
      </c>
      <c r="V1666" s="1740">
        <f t="shared" si="165"/>
        <v>0.20009480357883502</v>
      </c>
    </row>
    <row r="1667" spans="3:22" s="7" customFormat="1" ht="18" customHeight="1">
      <c r="C1667" s="6" t="s">
        <v>4346</v>
      </c>
      <c r="D1667" s="13" t="s">
        <v>4351</v>
      </c>
      <c r="E1667" s="18" t="s">
        <v>4322</v>
      </c>
      <c r="F1667" s="285">
        <v>92</v>
      </c>
      <c r="G1667" s="21" t="s">
        <v>25</v>
      </c>
      <c r="H1667" s="93">
        <v>2</v>
      </c>
      <c r="I1667" s="94">
        <v>1</v>
      </c>
      <c r="J1667" s="55">
        <f>H1667*I1667</f>
        <v>2</v>
      </c>
      <c r="K1667" s="611">
        <v>44.2</v>
      </c>
      <c r="L1667" s="598">
        <f>K1667*J1667</f>
        <v>88.4</v>
      </c>
      <c r="M1667" s="97" t="s">
        <v>224</v>
      </c>
      <c r="N1667" s="33">
        <v>45365</v>
      </c>
      <c r="O1667" s="32">
        <v>5969</v>
      </c>
      <c r="P1667" s="83">
        <f>4950</f>
        <v>4950</v>
      </c>
      <c r="Q1667" s="83">
        <f t="shared" si="166"/>
        <v>9900</v>
      </c>
      <c r="S1667" s="7">
        <f t="shared" ref="S1667:S1680" si="168">P1667</f>
        <v>4950</v>
      </c>
      <c r="T1667" s="1318">
        <f t="shared" ref="T1667:T1680" si="169">Q1667</f>
        <v>9900</v>
      </c>
      <c r="U1667" s="83">
        <v>140</v>
      </c>
      <c r="V1667" s="1560">
        <f t="shared" si="165"/>
        <v>0.20006464124111184</v>
      </c>
    </row>
    <row r="1668" spans="3:22" s="7" customFormat="1" ht="18" customHeight="1">
      <c r="C1668" s="6" t="s">
        <v>4346</v>
      </c>
      <c r="D1668" s="13" t="s">
        <v>4351</v>
      </c>
      <c r="E1668" s="18" t="s">
        <v>4322</v>
      </c>
      <c r="F1668" s="285">
        <v>92</v>
      </c>
      <c r="G1668" s="21" t="s">
        <v>25</v>
      </c>
      <c r="H1668" s="93">
        <v>12.4</v>
      </c>
      <c r="I1668" s="94">
        <v>1</v>
      </c>
      <c r="J1668" s="107">
        <f>H1668*I1668</f>
        <v>12.4</v>
      </c>
      <c r="K1668" s="611">
        <v>66.3</v>
      </c>
      <c r="L1668" s="598">
        <f>K1668*J1668</f>
        <v>822.12</v>
      </c>
      <c r="M1668" s="97" t="s">
        <v>224</v>
      </c>
      <c r="N1668" s="33">
        <v>45393</v>
      </c>
      <c r="O1668" s="32">
        <v>6058</v>
      </c>
      <c r="P1668" s="83">
        <f>4950*1.5</f>
        <v>7425</v>
      </c>
      <c r="Q1668" s="83">
        <f t="shared" si="166"/>
        <v>92070</v>
      </c>
      <c r="S1668" s="7">
        <f t="shared" si="168"/>
        <v>7425</v>
      </c>
      <c r="T1668" s="1318">
        <f t="shared" si="169"/>
        <v>92070</v>
      </c>
      <c r="U1668" s="83">
        <v>140</v>
      </c>
      <c r="V1668" s="1560">
        <f t="shared" si="165"/>
        <v>0.20006464124111184</v>
      </c>
    </row>
    <row r="1669" spans="3:22" s="7" customFormat="1" ht="18" customHeight="1">
      <c r="C1669" s="6" t="s">
        <v>4346</v>
      </c>
      <c r="D1669" s="13" t="s">
        <v>4351</v>
      </c>
      <c r="E1669" s="18" t="s">
        <v>4322</v>
      </c>
      <c r="F1669" s="285">
        <v>92</v>
      </c>
      <c r="G1669" s="21" t="s">
        <v>25</v>
      </c>
      <c r="H1669" s="93"/>
      <c r="I1669" s="94"/>
      <c r="J1669" s="17">
        <v>1.2</v>
      </c>
      <c r="K1669" s="611">
        <v>66.3</v>
      </c>
      <c r="L1669" s="1717">
        <v>0</v>
      </c>
      <c r="M1669" s="97" t="s">
        <v>224</v>
      </c>
      <c r="N1669" s="33">
        <v>45393</v>
      </c>
      <c r="O1669" s="1741" t="s">
        <v>4436</v>
      </c>
      <c r="P1669" s="83">
        <f>4950*1.5</f>
        <v>7425</v>
      </c>
      <c r="Q1669" s="83">
        <f t="shared" si="166"/>
        <v>8910</v>
      </c>
      <c r="S1669" s="7">
        <f t="shared" si="168"/>
        <v>7425</v>
      </c>
      <c r="T1669" s="1318">
        <f t="shared" si="169"/>
        <v>8910</v>
      </c>
      <c r="U1669" s="83">
        <v>140</v>
      </c>
      <c r="V1669" s="1560">
        <f t="shared" si="165"/>
        <v>0.20006464124111184</v>
      </c>
    </row>
    <row r="1670" spans="3:22" ht="18" customHeight="1">
      <c r="C1670" s="6" t="s">
        <v>4346</v>
      </c>
      <c r="D1670" s="13" t="s">
        <v>4351</v>
      </c>
      <c r="E1670" s="21"/>
      <c r="F1670" s="38"/>
      <c r="G1670" s="38" t="s">
        <v>4434</v>
      </c>
      <c r="H1670" s="39"/>
      <c r="I1670" s="94"/>
      <c r="J1670" s="39">
        <v>1</v>
      </c>
      <c r="K1670" s="611">
        <v>0</v>
      </c>
      <c r="L1670" s="598">
        <v>0</v>
      </c>
      <c r="M1670" s="33"/>
      <c r="N1670" s="33">
        <v>45393</v>
      </c>
      <c r="O1670" s="1741" t="s">
        <v>4436</v>
      </c>
      <c r="P1670" s="83">
        <v>1000</v>
      </c>
      <c r="Q1670" s="83">
        <f t="shared" si="166"/>
        <v>1000</v>
      </c>
      <c r="S1670" s="7">
        <f t="shared" si="168"/>
        <v>1000</v>
      </c>
      <c r="T1670" s="1318">
        <f t="shared" si="169"/>
        <v>1000</v>
      </c>
      <c r="U1670" s="83">
        <v>125</v>
      </c>
      <c r="V1670" s="1560" t="e">
        <f t="shared" si="165"/>
        <v>#DIV/0!</v>
      </c>
    </row>
    <row r="1671" spans="3:22" s="7" customFormat="1" ht="18" customHeight="1">
      <c r="C1671" s="6" t="s">
        <v>4346</v>
      </c>
      <c r="D1671" s="13" t="s">
        <v>4352</v>
      </c>
      <c r="E1671" s="18" t="s">
        <v>4320</v>
      </c>
      <c r="F1671" s="285">
        <v>92</v>
      </c>
      <c r="G1671" s="21" t="s">
        <v>25</v>
      </c>
      <c r="H1671" s="93">
        <v>7</v>
      </c>
      <c r="I1671" s="94">
        <v>1</v>
      </c>
      <c r="J1671" s="55">
        <f>H1671*I1671</f>
        <v>7</v>
      </c>
      <c r="K1671" s="611">
        <v>36.43</v>
      </c>
      <c r="L1671" s="598">
        <f>K1671*J1671</f>
        <v>255.01</v>
      </c>
      <c r="M1671" s="97" t="s">
        <v>224</v>
      </c>
      <c r="N1671" s="33">
        <v>45365</v>
      </c>
      <c r="O1671" s="32">
        <v>5969</v>
      </c>
      <c r="P1671" s="83">
        <f>4080</f>
        <v>4080</v>
      </c>
      <c r="Q1671" s="83">
        <f t="shared" si="166"/>
        <v>28560</v>
      </c>
      <c r="S1671" s="7">
        <f t="shared" si="168"/>
        <v>4080</v>
      </c>
      <c r="T1671" s="1318">
        <f t="shared" si="169"/>
        <v>28560</v>
      </c>
      <c r="U1671" s="83">
        <v>140</v>
      </c>
      <c r="V1671" s="1560">
        <f t="shared" si="165"/>
        <v>0.20003137131877177</v>
      </c>
    </row>
    <row r="1672" spans="3:22" s="7" customFormat="1" ht="18" customHeight="1">
      <c r="C1672" s="6" t="s">
        <v>4346</v>
      </c>
      <c r="D1672" s="13" t="s">
        <v>4352</v>
      </c>
      <c r="E1672" s="18" t="s">
        <v>4320</v>
      </c>
      <c r="F1672" s="285">
        <v>92</v>
      </c>
      <c r="G1672" s="21" t="s">
        <v>25</v>
      </c>
      <c r="H1672" s="93"/>
      <c r="I1672" s="94"/>
      <c r="J1672" s="55">
        <v>1</v>
      </c>
      <c r="K1672" s="611">
        <v>36.43</v>
      </c>
      <c r="L1672" s="1717">
        <v>0</v>
      </c>
      <c r="M1672" s="97" t="s">
        <v>224</v>
      </c>
      <c r="N1672" s="33">
        <v>45365</v>
      </c>
      <c r="O1672" s="1741" t="s">
        <v>4437</v>
      </c>
      <c r="P1672" s="83">
        <f>4080</f>
        <v>4080</v>
      </c>
      <c r="Q1672" s="83">
        <f t="shared" si="166"/>
        <v>4080</v>
      </c>
      <c r="S1672" s="7">
        <f t="shared" si="168"/>
        <v>4080</v>
      </c>
      <c r="T1672" s="1318">
        <f t="shared" si="169"/>
        <v>4080</v>
      </c>
      <c r="U1672" s="83">
        <v>140</v>
      </c>
      <c r="V1672" s="1560">
        <f t="shared" si="165"/>
        <v>0.20003137131877177</v>
      </c>
    </row>
    <row r="1673" spans="3:22" s="7" customFormat="1" ht="18" customHeight="1">
      <c r="C1673" s="6" t="s">
        <v>4346</v>
      </c>
      <c r="D1673" s="13" t="s">
        <v>4353</v>
      </c>
      <c r="E1673" s="18" t="s">
        <v>4323</v>
      </c>
      <c r="F1673" s="285">
        <v>92</v>
      </c>
      <c r="G1673" s="21" t="s">
        <v>25</v>
      </c>
      <c r="H1673" s="93">
        <v>5</v>
      </c>
      <c r="I1673" s="94">
        <v>1</v>
      </c>
      <c r="J1673" s="55">
        <f>H1673*I1673</f>
        <v>5</v>
      </c>
      <c r="K1673" s="611">
        <v>43.67</v>
      </c>
      <c r="L1673" s="598">
        <f>K1673*J1673</f>
        <v>218.35000000000002</v>
      </c>
      <c r="M1673" s="97" t="s">
        <v>224</v>
      </c>
      <c r="N1673" s="33">
        <v>45365</v>
      </c>
      <c r="O1673" s="32">
        <v>5969</v>
      </c>
      <c r="P1673" s="83">
        <f>4890</f>
        <v>4890</v>
      </c>
      <c r="Q1673" s="83">
        <f t="shared" si="166"/>
        <v>24450</v>
      </c>
      <c r="S1673" s="7">
        <f t="shared" si="168"/>
        <v>4890</v>
      </c>
      <c r="T1673" s="1318">
        <f t="shared" si="169"/>
        <v>24450</v>
      </c>
      <c r="U1673" s="83">
        <v>140</v>
      </c>
      <c r="V1673" s="1560">
        <f t="shared" si="165"/>
        <v>0.20017010697111456</v>
      </c>
    </row>
    <row r="1674" spans="3:22" s="7" customFormat="1" ht="18" customHeight="1">
      <c r="C1674" s="6" t="s">
        <v>4346</v>
      </c>
      <c r="D1674" s="13" t="s">
        <v>4353</v>
      </c>
      <c r="E1674" s="18" t="s">
        <v>4323</v>
      </c>
      <c r="F1674" s="285">
        <v>92</v>
      </c>
      <c r="G1674" s="21" t="s">
        <v>25</v>
      </c>
      <c r="H1674" s="93">
        <v>12.4</v>
      </c>
      <c r="I1674" s="94">
        <v>1</v>
      </c>
      <c r="J1674" s="17">
        <f>H1674*I1674</f>
        <v>12.4</v>
      </c>
      <c r="K1674" s="611">
        <v>65.510000000000005</v>
      </c>
      <c r="L1674" s="598">
        <f t="shared" ref="L1674:L1679" si="170">K1674*J1674</f>
        <v>812.32400000000007</v>
      </c>
      <c r="M1674" s="97" t="s">
        <v>224</v>
      </c>
      <c r="N1674" s="33">
        <v>45390</v>
      </c>
      <c r="O1674" s="32">
        <v>6041</v>
      </c>
      <c r="P1674" s="83">
        <f>4890*1.5</f>
        <v>7335</v>
      </c>
      <c r="Q1674" s="83">
        <f t="shared" si="166"/>
        <v>90954</v>
      </c>
      <c r="S1674" s="7">
        <f t="shared" si="168"/>
        <v>7335</v>
      </c>
      <c r="T1674" s="1318">
        <f t="shared" si="169"/>
        <v>90954</v>
      </c>
      <c r="U1674" s="83">
        <v>140</v>
      </c>
      <c r="V1674" s="1560">
        <f t="shared" si="165"/>
        <v>0.20023115336807915</v>
      </c>
    </row>
    <row r="1675" spans="3:22" s="7" customFormat="1" ht="18" customHeight="1">
      <c r="C1675" s="6" t="s">
        <v>4346</v>
      </c>
      <c r="D1675" s="13" t="s">
        <v>4353</v>
      </c>
      <c r="E1675" s="18" t="s">
        <v>4323</v>
      </c>
      <c r="F1675" s="285">
        <v>92</v>
      </c>
      <c r="G1675" s="21" t="s">
        <v>25</v>
      </c>
      <c r="H1675" s="93"/>
      <c r="I1675" s="94"/>
      <c r="J1675" s="17">
        <v>1.2</v>
      </c>
      <c r="K1675" s="611">
        <v>65.510000000000005</v>
      </c>
      <c r="L1675" s="1717">
        <v>0</v>
      </c>
      <c r="M1675" s="97" t="s">
        <v>224</v>
      </c>
      <c r="N1675" s="33">
        <v>45390</v>
      </c>
      <c r="O1675" s="1741" t="s">
        <v>4435</v>
      </c>
      <c r="P1675" s="83">
        <f>4890*1.5</f>
        <v>7335</v>
      </c>
      <c r="Q1675" s="83">
        <f t="shared" si="166"/>
        <v>8802</v>
      </c>
      <c r="S1675" s="7">
        <f t="shared" si="168"/>
        <v>7335</v>
      </c>
      <c r="T1675" s="1318">
        <f t="shared" si="169"/>
        <v>8802</v>
      </c>
      <c r="U1675" s="83">
        <v>140</v>
      </c>
      <c r="V1675" s="1560">
        <f t="shared" si="165"/>
        <v>0.20023115336807915</v>
      </c>
    </row>
    <row r="1676" spans="3:22" s="7" customFormat="1" ht="18" customHeight="1">
      <c r="C1676" s="6" t="s">
        <v>4346</v>
      </c>
      <c r="D1676" s="13" t="s">
        <v>4354</v>
      </c>
      <c r="E1676" s="18" t="s">
        <v>4321</v>
      </c>
      <c r="F1676" s="285">
        <v>92</v>
      </c>
      <c r="G1676" s="21" t="s">
        <v>25</v>
      </c>
      <c r="H1676" s="93">
        <v>12.4</v>
      </c>
      <c r="I1676" s="94">
        <v>1</v>
      </c>
      <c r="J1676" s="17">
        <f>H1676*I1676</f>
        <v>12.4</v>
      </c>
      <c r="K1676" s="611">
        <v>25.59</v>
      </c>
      <c r="L1676" s="598">
        <f t="shared" si="170"/>
        <v>317.31600000000003</v>
      </c>
      <c r="M1676" s="97" t="s">
        <v>224</v>
      </c>
      <c r="N1676" s="33">
        <v>45390</v>
      </c>
      <c r="O1676" s="32">
        <v>6041</v>
      </c>
      <c r="P1676" s="83">
        <f>1910*1.5</f>
        <v>2865</v>
      </c>
      <c r="Q1676" s="83">
        <f t="shared" si="166"/>
        <v>35526</v>
      </c>
      <c r="S1676" s="7">
        <f t="shared" si="168"/>
        <v>2865</v>
      </c>
      <c r="T1676" s="1318">
        <f t="shared" si="169"/>
        <v>35526</v>
      </c>
      <c r="U1676" s="83">
        <v>140</v>
      </c>
      <c r="V1676" s="1560">
        <f t="shared" si="165"/>
        <v>0.20030145704237143</v>
      </c>
    </row>
    <row r="1677" spans="3:22" s="7" customFormat="1" ht="18" customHeight="1">
      <c r="C1677" s="6" t="s">
        <v>4346</v>
      </c>
      <c r="D1677" s="13" t="s">
        <v>4354</v>
      </c>
      <c r="E1677" s="18" t="s">
        <v>4321</v>
      </c>
      <c r="F1677" s="285">
        <v>92</v>
      </c>
      <c r="G1677" s="21" t="s">
        <v>25</v>
      </c>
      <c r="H1677" s="93"/>
      <c r="I1677" s="94"/>
      <c r="J1677" s="17">
        <v>1.2</v>
      </c>
      <c r="K1677" s="611">
        <v>25.59</v>
      </c>
      <c r="L1677" s="1717">
        <v>0</v>
      </c>
      <c r="M1677" s="97" t="s">
        <v>224</v>
      </c>
      <c r="N1677" s="33">
        <v>45390</v>
      </c>
      <c r="O1677" s="1741" t="s">
        <v>4435</v>
      </c>
      <c r="P1677" s="83">
        <f>1910*1.5</f>
        <v>2865</v>
      </c>
      <c r="Q1677" s="83">
        <f t="shared" si="166"/>
        <v>3438</v>
      </c>
      <c r="S1677" s="7">
        <f t="shared" si="168"/>
        <v>2865</v>
      </c>
      <c r="T1677" s="1318">
        <f t="shared" si="169"/>
        <v>3438</v>
      </c>
      <c r="U1677" s="83">
        <v>140</v>
      </c>
      <c r="V1677" s="1560">
        <f t="shared" si="165"/>
        <v>0.20030145704237143</v>
      </c>
    </row>
    <row r="1678" spans="3:22" ht="18" customHeight="1">
      <c r="C1678" s="6" t="s">
        <v>4346</v>
      </c>
      <c r="D1678" s="13" t="s">
        <v>4354</v>
      </c>
      <c r="E1678" s="21"/>
      <c r="F1678" s="38"/>
      <c r="G1678" s="38" t="s">
        <v>4434</v>
      </c>
      <c r="H1678" s="39"/>
      <c r="I1678" s="94"/>
      <c r="J1678" s="39">
        <v>1</v>
      </c>
      <c r="K1678" s="611">
        <v>0</v>
      </c>
      <c r="L1678" s="598">
        <v>0</v>
      </c>
      <c r="M1678" s="33"/>
      <c r="N1678" s="33">
        <v>45390</v>
      </c>
      <c r="O1678" s="1741" t="s">
        <v>4435</v>
      </c>
      <c r="P1678" s="83">
        <v>1000</v>
      </c>
      <c r="Q1678" s="83">
        <f t="shared" si="166"/>
        <v>1000</v>
      </c>
      <c r="S1678" s="7">
        <f t="shared" si="168"/>
        <v>1000</v>
      </c>
      <c r="T1678" s="1318">
        <f t="shared" si="169"/>
        <v>1000</v>
      </c>
      <c r="U1678" s="83">
        <v>125</v>
      </c>
      <c r="V1678" s="1560" t="e">
        <f t="shared" si="165"/>
        <v>#DIV/0!</v>
      </c>
    </row>
    <row r="1679" spans="3:22" s="7" customFormat="1" ht="18" customHeight="1">
      <c r="C1679" s="6" t="s">
        <v>4346</v>
      </c>
      <c r="D1679" s="13" t="s">
        <v>4355</v>
      </c>
      <c r="E1679" s="18" t="s">
        <v>4319</v>
      </c>
      <c r="F1679" s="285">
        <v>92</v>
      </c>
      <c r="G1679" s="21" t="s">
        <v>25</v>
      </c>
      <c r="H1679" s="93">
        <v>7.7</v>
      </c>
      <c r="I1679" s="94">
        <v>1</v>
      </c>
      <c r="J1679" s="17">
        <f>H1679*I1679</f>
        <v>7.7</v>
      </c>
      <c r="K1679" s="611">
        <v>32.42</v>
      </c>
      <c r="L1679" s="598">
        <f t="shared" si="170"/>
        <v>249.63400000000001</v>
      </c>
      <c r="M1679" s="97" t="s">
        <v>224</v>
      </c>
      <c r="N1679" s="33">
        <v>45365</v>
      </c>
      <c r="O1679" s="32">
        <v>5969</v>
      </c>
      <c r="P1679" s="83">
        <f>3630</f>
        <v>3630</v>
      </c>
      <c r="Q1679" s="83">
        <f t="shared" si="166"/>
        <v>27951</v>
      </c>
      <c r="S1679" s="7">
        <f t="shared" si="168"/>
        <v>3630</v>
      </c>
      <c r="T1679" s="1318">
        <f t="shared" si="169"/>
        <v>27951</v>
      </c>
      <c r="U1679" s="83">
        <v>140</v>
      </c>
      <c r="V1679" s="1560">
        <f t="shared" si="165"/>
        <v>0.20022913545430512</v>
      </c>
    </row>
    <row r="1680" spans="3:22" s="7" customFormat="1" ht="18" customHeight="1">
      <c r="C1680" s="6" t="s">
        <v>4346</v>
      </c>
      <c r="D1680" s="13" t="s">
        <v>4355</v>
      </c>
      <c r="E1680" s="18" t="s">
        <v>4319</v>
      </c>
      <c r="F1680" s="285">
        <v>92</v>
      </c>
      <c r="G1680" s="21" t="s">
        <v>25</v>
      </c>
      <c r="H1680" s="93"/>
      <c r="I1680" s="94"/>
      <c r="J1680" s="17">
        <v>1</v>
      </c>
      <c r="K1680" s="611">
        <v>32.42</v>
      </c>
      <c r="L1680" s="1717">
        <v>0</v>
      </c>
      <c r="M1680" s="97" t="s">
        <v>224</v>
      </c>
      <c r="N1680" s="33">
        <v>45365</v>
      </c>
      <c r="O1680" s="1741" t="s">
        <v>4437</v>
      </c>
      <c r="P1680" s="83">
        <f>3630</f>
        <v>3630</v>
      </c>
      <c r="Q1680" s="83">
        <f t="shared" si="166"/>
        <v>3630</v>
      </c>
      <c r="S1680" s="7">
        <f t="shared" si="168"/>
        <v>3630</v>
      </c>
      <c r="T1680" s="1318">
        <f t="shared" si="169"/>
        <v>3630</v>
      </c>
      <c r="U1680" s="83">
        <v>140</v>
      </c>
      <c r="V1680" s="1560">
        <f t="shared" si="165"/>
        <v>0.20022913545430512</v>
      </c>
    </row>
    <row r="1681" spans="3:22" s="159" customFormat="1" ht="18" customHeight="1">
      <c r="C1681" s="149" t="s">
        <v>4346</v>
      </c>
      <c r="D1681" s="150" t="s">
        <v>4297</v>
      </c>
      <c r="E1681" s="191"/>
      <c r="F1681" s="152"/>
      <c r="G1681" s="152" t="s">
        <v>168</v>
      </c>
      <c r="H1681" s="154" t="s">
        <v>169</v>
      </c>
      <c r="I1681" s="155"/>
      <c r="J1681" s="153"/>
      <c r="K1681" s="600">
        <v>0</v>
      </c>
      <c r="L1681" s="601"/>
      <c r="M1681" s="601"/>
      <c r="N1681" s="157"/>
      <c r="O1681" s="156"/>
      <c r="P1681" s="179"/>
      <c r="Q1681" s="179"/>
      <c r="S1681" s="179"/>
      <c r="T1681" s="179"/>
      <c r="U1681" s="83">
        <v>125</v>
      </c>
      <c r="V1681" s="1560" t="e">
        <f t="shared" si="165"/>
        <v>#DIV/0!</v>
      </c>
    </row>
    <row r="1682" spans="3:22" s="7" customFormat="1" ht="18" customHeight="1">
      <c r="C1682" s="6" t="s">
        <v>4344</v>
      </c>
      <c r="D1682" s="13" t="s">
        <v>1812</v>
      </c>
      <c r="E1682" s="18" t="s">
        <v>79</v>
      </c>
      <c r="F1682" s="92"/>
      <c r="G1682" s="21"/>
      <c r="H1682" s="93"/>
      <c r="I1682" s="94"/>
      <c r="J1682" s="93"/>
      <c r="K1682" s="95" t="s">
        <v>8</v>
      </c>
      <c r="L1682" s="33"/>
      <c r="M1682" s="33"/>
      <c r="N1682" s="33">
        <v>45391</v>
      </c>
      <c r="O1682" s="32">
        <v>6033</v>
      </c>
      <c r="P1682" s="83"/>
      <c r="Q1682" s="83"/>
      <c r="S1682" s="7">
        <f t="shared" ref="S1682:T1686" si="171">P1682</f>
        <v>0</v>
      </c>
      <c r="T1682" s="1318">
        <f t="shared" si="171"/>
        <v>0</v>
      </c>
      <c r="U1682" s="83">
        <v>125</v>
      </c>
      <c r="V1682" s="1560" t="e">
        <f t="shared" si="165"/>
        <v>#VALUE!</v>
      </c>
    </row>
    <row r="1683" spans="3:22" s="7" customFormat="1" ht="18" customHeight="1">
      <c r="C1683" s="6" t="s">
        <v>4344</v>
      </c>
      <c r="D1683" s="13" t="s">
        <v>1812</v>
      </c>
      <c r="E1683" s="21">
        <v>4141</v>
      </c>
      <c r="F1683" s="596">
        <v>9</v>
      </c>
      <c r="G1683" s="1673" t="s">
        <v>4129</v>
      </c>
      <c r="H1683" s="93">
        <v>20</v>
      </c>
      <c r="I1683" s="94">
        <v>7</v>
      </c>
      <c r="J1683" s="55">
        <f>H1683*I1683</f>
        <v>140</v>
      </c>
      <c r="K1683" s="597">
        <v>1.33</v>
      </c>
      <c r="L1683" s="598">
        <f>K1683*J1683</f>
        <v>186.20000000000002</v>
      </c>
      <c r="M1683" s="97" t="s">
        <v>224</v>
      </c>
      <c r="N1683" s="33">
        <v>45391</v>
      </c>
      <c r="O1683" s="32">
        <v>6033</v>
      </c>
      <c r="P1683" s="83">
        <v>97</v>
      </c>
      <c r="Q1683" s="83">
        <f>P1683*J1683</f>
        <v>13580</v>
      </c>
      <c r="S1683" s="7">
        <f t="shared" si="171"/>
        <v>97</v>
      </c>
      <c r="T1683" s="1318">
        <f t="shared" si="171"/>
        <v>13580</v>
      </c>
      <c r="U1683" s="83">
        <v>125</v>
      </c>
      <c r="V1683" s="1560">
        <f t="shared" si="165"/>
        <v>0.41654135338345866</v>
      </c>
    </row>
    <row r="1684" spans="3:22" s="7" customFormat="1" ht="18" customHeight="1">
      <c r="C1684" s="6" t="s">
        <v>4344</v>
      </c>
      <c r="D1684" s="13" t="s">
        <v>1812</v>
      </c>
      <c r="E1684" s="21">
        <v>4141</v>
      </c>
      <c r="F1684" s="596">
        <v>9</v>
      </c>
      <c r="G1684" s="1673" t="s">
        <v>4211</v>
      </c>
      <c r="H1684" s="93">
        <v>20</v>
      </c>
      <c r="I1684" s="94">
        <v>4</v>
      </c>
      <c r="J1684" s="55">
        <f>H1684*I1684</f>
        <v>80</v>
      </c>
      <c r="K1684" s="597">
        <v>1.33</v>
      </c>
      <c r="L1684" s="598">
        <f>K1684*J1684</f>
        <v>106.4</v>
      </c>
      <c r="M1684" s="97" t="s">
        <v>224</v>
      </c>
      <c r="N1684" s="33">
        <v>45391</v>
      </c>
      <c r="O1684" s="32">
        <v>6033</v>
      </c>
      <c r="P1684" s="83">
        <v>97</v>
      </c>
      <c r="Q1684" s="83">
        <f>P1684*J1684</f>
        <v>7760</v>
      </c>
      <c r="S1684" s="7">
        <f t="shared" si="171"/>
        <v>97</v>
      </c>
      <c r="T1684" s="1318">
        <f t="shared" si="171"/>
        <v>7760</v>
      </c>
      <c r="U1684" s="83">
        <v>125</v>
      </c>
      <c r="V1684" s="1560">
        <f t="shared" ref="V1684:V1689" si="172">(((K1684*U1684)-P1684)/(K1684*U1684))</f>
        <v>0.41654135338345866</v>
      </c>
    </row>
    <row r="1685" spans="3:22" ht="18" customHeight="1">
      <c r="C1685" s="6" t="s">
        <v>4344</v>
      </c>
      <c r="D1685" s="13" t="s">
        <v>1812</v>
      </c>
      <c r="E1685" s="21"/>
      <c r="F1685" s="38"/>
      <c r="G1685" s="38" t="s">
        <v>4345</v>
      </c>
      <c r="H1685" s="39"/>
      <c r="I1685" s="94"/>
      <c r="J1685" s="39">
        <v>1</v>
      </c>
      <c r="K1685" s="611">
        <v>270</v>
      </c>
      <c r="L1685" s="598">
        <f>K1685*J1685</f>
        <v>270</v>
      </c>
      <c r="M1685" s="33"/>
      <c r="N1685" s="33">
        <v>45391</v>
      </c>
      <c r="O1685" s="32">
        <v>6033</v>
      </c>
      <c r="P1685" s="83">
        <v>27000</v>
      </c>
      <c r="Q1685" s="83">
        <f>P1685*J1685</f>
        <v>27000</v>
      </c>
      <c r="S1685" s="7">
        <f t="shared" si="171"/>
        <v>27000</v>
      </c>
      <c r="T1685" s="1318">
        <f t="shared" si="171"/>
        <v>27000</v>
      </c>
      <c r="U1685" s="83">
        <v>125</v>
      </c>
      <c r="V1685" s="1560">
        <f t="shared" si="172"/>
        <v>0.2</v>
      </c>
    </row>
    <row r="1686" spans="3:22" ht="18" customHeight="1">
      <c r="C1686" s="6" t="s">
        <v>4344</v>
      </c>
      <c r="D1686" s="13" t="s">
        <v>1812</v>
      </c>
      <c r="E1686" s="21"/>
      <c r="F1686" s="38"/>
      <c r="G1686" s="38" t="s">
        <v>218</v>
      </c>
      <c r="H1686" s="39"/>
      <c r="I1686" s="94"/>
      <c r="J1686" s="39">
        <v>1</v>
      </c>
      <c r="K1686" s="611">
        <v>12</v>
      </c>
      <c r="L1686" s="598">
        <f>K1686*J1686</f>
        <v>12</v>
      </c>
      <c r="M1686" s="33"/>
      <c r="N1686" s="33">
        <v>45391</v>
      </c>
      <c r="O1686" s="32">
        <v>6033</v>
      </c>
      <c r="P1686" s="83">
        <v>0</v>
      </c>
      <c r="Q1686" s="83">
        <f>P1686*J1686</f>
        <v>0</v>
      </c>
      <c r="S1686" s="7">
        <f t="shared" si="171"/>
        <v>0</v>
      </c>
      <c r="T1686" s="1318">
        <f t="shared" si="171"/>
        <v>0</v>
      </c>
      <c r="U1686" s="83">
        <v>125</v>
      </c>
      <c r="V1686" s="1560">
        <f t="shared" si="172"/>
        <v>1</v>
      </c>
    </row>
    <row r="1687" spans="3:22" s="159" customFormat="1" ht="18" customHeight="1">
      <c r="C1687" s="149" t="s">
        <v>4344</v>
      </c>
      <c r="D1687" s="150" t="s">
        <v>1812</v>
      </c>
      <c r="E1687" s="191"/>
      <c r="F1687" s="152"/>
      <c r="G1687" s="152" t="s">
        <v>168</v>
      </c>
      <c r="H1687" s="154" t="s">
        <v>169</v>
      </c>
      <c r="I1687" s="155"/>
      <c r="J1687" s="153"/>
      <c r="K1687" s="600">
        <v>0</v>
      </c>
      <c r="L1687" s="601"/>
      <c r="M1687" s="601"/>
      <c r="N1687" s="157">
        <v>45391</v>
      </c>
      <c r="O1687" s="156">
        <v>6033</v>
      </c>
      <c r="P1687" s="179"/>
      <c r="Q1687" s="179"/>
      <c r="S1687" s="179"/>
      <c r="T1687" s="179"/>
      <c r="U1687" s="83">
        <v>125</v>
      </c>
      <c r="V1687" s="1560" t="e">
        <f t="shared" si="172"/>
        <v>#DIV/0!</v>
      </c>
    </row>
    <row r="1688" spans="3:22" s="7" customFormat="1" ht="18" customHeight="1">
      <c r="C1688" s="6" t="s">
        <v>4358</v>
      </c>
      <c r="D1688" s="13" t="s">
        <v>1812</v>
      </c>
      <c r="E1688" s="18" t="s">
        <v>79</v>
      </c>
      <c r="F1688" s="92"/>
      <c r="G1688" s="21"/>
      <c r="H1688" s="93"/>
      <c r="I1688" s="94"/>
      <c r="J1688" s="93"/>
      <c r="K1688" s="95" t="s">
        <v>8</v>
      </c>
      <c r="L1688" s="33"/>
      <c r="M1688" s="33"/>
      <c r="N1688" s="33">
        <v>45376</v>
      </c>
      <c r="O1688" s="32">
        <v>6004</v>
      </c>
      <c r="P1688" s="83"/>
      <c r="Q1688" s="83"/>
      <c r="S1688" s="7">
        <f t="shared" ref="S1688:T1690" si="173">P1688</f>
        <v>0</v>
      </c>
      <c r="T1688" s="1318">
        <f t="shared" si="173"/>
        <v>0</v>
      </c>
      <c r="U1688" s="83">
        <v>125</v>
      </c>
      <c r="V1688" s="1560" t="e">
        <f t="shared" si="172"/>
        <v>#VALUE!</v>
      </c>
    </row>
    <row r="1689" spans="3:22" s="7" customFormat="1" ht="18" customHeight="1">
      <c r="C1689" s="6" t="s">
        <v>4358</v>
      </c>
      <c r="D1689" s="13" t="s">
        <v>1812</v>
      </c>
      <c r="E1689" s="21">
        <v>4141</v>
      </c>
      <c r="F1689" s="596">
        <v>9</v>
      </c>
      <c r="G1689" s="1673" t="s">
        <v>227</v>
      </c>
      <c r="H1689" s="93">
        <v>20</v>
      </c>
      <c r="I1689" s="94">
        <v>13</v>
      </c>
      <c r="J1689" s="55">
        <f>H1689*I1689</f>
        <v>260</v>
      </c>
      <c r="K1689" s="597">
        <v>1.33</v>
      </c>
      <c r="L1689" s="598">
        <f>K1689*J1689</f>
        <v>345.8</v>
      </c>
      <c r="M1689" s="97" t="s">
        <v>224</v>
      </c>
      <c r="N1689" s="33">
        <v>45376</v>
      </c>
      <c r="O1689" s="32">
        <v>6004</v>
      </c>
      <c r="P1689" s="83">
        <v>97</v>
      </c>
      <c r="Q1689" s="83">
        <f>P1689*J1689</f>
        <v>25220</v>
      </c>
      <c r="S1689" s="7">
        <f t="shared" si="173"/>
        <v>97</v>
      </c>
      <c r="T1689" s="1318">
        <f t="shared" si="173"/>
        <v>25220</v>
      </c>
      <c r="U1689" s="83">
        <v>125</v>
      </c>
      <c r="V1689" s="1560">
        <f t="shared" si="172"/>
        <v>0.41654135338345866</v>
      </c>
    </row>
    <row r="1690" spans="3:22" ht="18" customHeight="1">
      <c r="C1690" s="6" t="s">
        <v>4358</v>
      </c>
      <c r="D1690" s="13" t="s">
        <v>1812</v>
      </c>
      <c r="E1690" s="21"/>
      <c r="F1690" s="38"/>
      <c r="G1690" s="38" t="s">
        <v>218</v>
      </c>
      <c r="H1690" s="39"/>
      <c r="I1690" s="94"/>
      <c r="J1690" s="39">
        <v>1</v>
      </c>
      <c r="K1690" s="611">
        <v>12</v>
      </c>
      <c r="L1690" s="598">
        <f>K1690*J1690</f>
        <v>12</v>
      </c>
      <c r="M1690" s="33"/>
      <c r="N1690" s="33">
        <v>45376</v>
      </c>
      <c r="O1690" s="32">
        <v>6004</v>
      </c>
      <c r="P1690" s="83">
        <v>0</v>
      </c>
      <c r="Q1690" s="83">
        <f>P1690*J1690</f>
        <v>0</v>
      </c>
      <c r="S1690" s="7">
        <f t="shared" si="173"/>
        <v>0</v>
      </c>
      <c r="T1690" s="1318">
        <f t="shared" si="173"/>
        <v>0</v>
      </c>
      <c r="U1690" s="83">
        <v>125</v>
      </c>
      <c r="V1690" s="1560">
        <f>(((K1690*U1690)-P1690)/(K1690*U1690))</f>
        <v>1</v>
      </c>
    </row>
    <row r="1691" spans="3:22" s="159" customFormat="1" ht="18" customHeight="1">
      <c r="C1691" s="149" t="s">
        <v>4358</v>
      </c>
      <c r="D1691" s="150" t="s">
        <v>1812</v>
      </c>
      <c r="E1691" s="191"/>
      <c r="F1691" s="152"/>
      <c r="G1691" s="152" t="s">
        <v>168</v>
      </c>
      <c r="H1691" s="154" t="s">
        <v>169</v>
      </c>
      <c r="I1691" s="155"/>
      <c r="J1691" s="153"/>
      <c r="K1691" s="600">
        <v>0</v>
      </c>
      <c r="L1691" s="601"/>
      <c r="M1691" s="601"/>
      <c r="N1691" s="157">
        <v>45376</v>
      </c>
      <c r="O1691" s="156">
        <v>6004</v>
      </c>
      <c r="P1691" s="179"/>
      <c r="Q1691" s="179"/>
      <c r="S1691" s="179"/>
      <c r="T1691" s="179"/>
      <c r="U1691" s="83">
        <v>125</v>
      </c>
      <c r="V1691" s="1560" t="e">
        <f>(((K1691*U1691)-P1691)/(K1691*U1691))</f>
        <v>#DIV/0!</v>
      </c>
    </row>
    <row r="1692" spans="3:22" s="7" customFormat="1" ht="18" customHeight="1">
      <c r="C1692" s="6" t="s">
        <v>4382</v>
      </c>
      <c r="D1692" s="13" t="s">
        <v>1812</v>
      </c>
      <c r="E1692" s="18" t="s">
        <v>79</v>
      </c>
      <c r="F1692" s="92"/>
      <c r="G1692" s="21"/>
      <c r="H1692" s="93"/>
      <c r="I1692" s="94"/>
      <c r="J1692" s="93"/>
      <c r="K1692" s="95" t="s">
        <v>8</v>
      </c>
      <c r="L1692" s="33"/>
      <c r="M1692" s="33"/>
      <c r="N1692" s="33">
        <v>45383</v>
      </c>
      <c r="O1692" s="32">
        <v>6020</v>
      </c>
      <c r="P1692" s="83"/>
      <c r="Q1692" s="83"/>
      <c r="S1692" s="7">
        <f t="shared" ref="S1692:T1694" si="174">P1692</f>
        <v>0</v>
      </c>
      <c r="T1692" s="1318">
        <f t="shared" si="174"/>
        <v>0</v>
      </c>
      <c r="U1692" s="83">
        <v>125</v>
      </c>
      <c r="V1692" s="1560" t="e">
        <f>(((K1692*U1692)-P1692)/(K1692*U1692))</f>
        <v>#VALUE!</v>
      </c>
    </row>
    <row r="1693" spans="3:22" s="7" customFormat="1" ht="18" customHeight="1">
      <c r="C1693" s="6" t="s">
        <v>4382</v>
      </c>
      <c r="D1693" s="13" t="s">
        <v>1812</v>
      </c>
      <c r="E1693" s="21">
        <v>4141</v>
      </c>
      <c r="F1693" s="596">
        <v>6</v>
      </c>
      <c r="G1693" s="21" t="s">
        <v>4128</v>
      </c>
      <c r="H1693" s="93">
        <v>20</v>
      </c>
      <c r="I1693" s="94">
        <v>13</v>
      </c>
      <c r="J1693" s="55">
        <f>H1693*I1693</f>
        <v>260</v>
      </c>
      <c r="K1693" s="597">
        <v>1.2</v>
      </c>
      <c r="L1693" s="598">
        <f>K1693*J1693</f>
        <v>312</v>
      </c>
      <c r="M1693" s="97" t="s">
        <v>224</v>
      </c>
      <c r="N1693" s="33">
        <v>45383</v>
      </c>
      <c r="O1693" s="32">
        <v>6020</v>
      </c>
      <c r="P1693" s="83">
        <v>87</v>
      </c>
      <c r="Q1693" s="83">
        <f>P1693*J1693</f>
        <v>22620</v>
      </c>
      <c r="S1693" s="7">
        <f t="shared" si="174"/>
        <v>87</v>
      </c>
      <c r="T1693" s="1318">
        <f t="shared" si="174"/>
        <v>22620</v>
      </c>
      <c r="U1693" s="83">
        <v>125</v>
      </c>
      <c r="V1693" s="1560">
        <f>(((K1693*U1693)-P1693)/(K1693*U1693))</f>
        <v>0.42</v>
      </c>
    </row>
    <row r="1694" spans="3:22" ht="18" customHeight="1">
      <c r="C1694" s="6" t="s">
        <v>4382</v>
      </c>
      <c r="D1694" s="13" t="s">
        <v>1812</v>
      </c>
      <c r="E1694" s="21"/>
      <c r="F1694" s="38"/>
      <c r="G1694" s="38" t="s">
        <v>218</v>
      </c>
      <c r="H1694" s="39"/>
      <c r="I1694" s="94"/>
      <c r="J1694" s="39">
        <v>1</v>
      </c>
      <c r="K1694" s="611">
        <v>12</v>
      </c>
      <c r="L1694" s="598">
        <f>K1694*J1694</f>
        <v>12</v>
      </c>
      <c r="M1694" s="33"/>
      <c r="N1694" s="33">
        <v>45383</v>
      </c>
      <c r="O1694" s="32">
        <v>6020</v>
      </c>
      <c r="P1694" s="83">
        <v>1100</v>
      </c>
      <c r="Q1694" s="83">
        <f>P1694*J1694</f>
        <v>1100</v>
      </c>
      <c r="S1694" s="7">
        <f t="shared" si="174"/>
        <v>1100</v>
      </c>
      <c r="T1694" s="1318">
        <f t="shared" si="174"/>
        <v>1100</v>
      </c>
      <c r="U1694" s="83">
        <v>125</v>
      </c>
      <c r="V1694" s="1560">
        <f>(((K1694*U1694)-P1694)/(K1694*U1694))</f>
        <v>0.26666666666666666</v>
      </c>
    </row>
    <row r="1695" spans="3:22" s="159" customFormat="1" ht="18" customHeight="1">
      <c r="C1695" s="149" t="s">
        <v>4382</v>
      </c>
      <c r="D1695" s="150" t="s">
        <v>1812</v>
      </c>
      <c r="E1695" s="191"/>
      <c r="F1695" s="152"/>
      <c r="G1695" s="152" t="s">
        <v>168</v>
      </c>
      <c r="H1695" s="154" t="s">
        <v>169</v>
      </c>
      <c r="I1695" s="155"/>
      <c r="J1695" s="153"/>
      <c r="K1695" s="600">
        <v>0</v>
      </c>
      <c r="L1695" s="601"/>
      <c r="M1695" s="601"/>
      <c r="N1695" s="157">
        <v>45383</v>
      </c>
      <c r="O1695" s="156">
        <v>6020</v>
      </c>
      <c r="P1695" s="179"/>
      <c r="Q1695" s="179"/>
      <c r="S1695" s="179"/>
      <c r="T1695" s="179"/>
      <c r="U1695" s="83">
        <v>125</v>
      </c>
      <c r="V1695" s="1560" t="e">
        <f t="shared" ref="V1695:V1702" si="175">(((K1695*U1695)-P1695)/(K1695*U1695))</f>
        <v>#DIV/0!</v>
      </c>
    </row>
    <row r="1696" spans="3:22" s="7" customFormat="1" ht="18" customHeight="1">
      <c r="C1696" s="6" t="s">
        <v>4413</v>
      </c>
      <c r="D1696" s="13" t="s">
        <v>1812</v>
      </c>
      <c r="E1696" s="18" t="s">
        <v>156</v>
      </c>
      <c r="F1696" s="23"/>
      <c r="G1696" s="21"/>
      <c r="H1696" s="39"/>
      <c r="I1696" s="56"/>
      <c r="J1696" s="55"/>
      <c r="K1696" s="15" t="s">
        <v>8</v>
      </c>
      <c r="L1696" s="33"/>
      <c r="M1696" s="33"/>
      <c r="N1696" s="33">
        <v>45393</v>
      </c>
      <c r="O1696" s="32">
        <v>6057</v>
      </c>
      <c r="P1696" s="83"/>
      <c r="Q1696" s="83"/>
      <c r="S1696" s="7">
        <f t="shared" ref="S1696:T1698" si="176">P1696</f>
        <v>0</v>
      </c>
      <c r="T1696" s="1318">
        <f t="shared" si="176"/>
        <v>0</v>
      </c>
      <c r="U1696" s="83">
        <v>125</v>
      </c>
      <c r="V1696" s="1560" t="e">
        <f t="shared" si="175"/>
        <v>#VALUE!</v>
      </c>
    </row>
    <row r="1697" spans="1:22" ht="18" customHeight="1">
      <c r="C1697" s="6" t="s">
        <v>4413</v>
      </c>
      <c r="D1697" s="13" t="s">
        <v>1812</v>
      </c>
      <c r="E1697" s="21">
        <v>3717</v>
      </c>
      <c r="F1697" s="134">
        <v>15</v>
      </c>
      <c r="G1697" s="21" t="s">
        <v>2727</v>
      </c>
      <c r="H1697" s="93">
        <v>30</v>
      </c>
      <c r="I1697" s="94">
        <v>2</v>
      </c>
      <c r="J1697" s="55">
        <f>H1697*I1697</f>
        <v>60</v>
      </c>
      <c r="K1697" s="597">
        <v>0.36</v>
      </c>
      <c r="L1697" s="598">
        <f>K1697*J1697</f>
        <v>21.599999999999998</v>
      </c>
      <c r="M1697" s="97" t="s">
        <v>224</v>
      </c>
      <c r="N1697" s="33">
        <v>45393</v>
      </c>
      <c r="O1697" s="32">
        <v>6057</v>
      </c>
      <c r="P1697" s="83">
        <v>24.2</v>
      </c>
      <c r="Q1697" s="83">
        <f>P1697*J1697</f>
        <v>1452</v>
      </c>
      <c r="R1697" s="700"/>
      <c r="S1697" s="7">
        <f t="shared" si="176"/>
        <v>24.2</v>
      </c>
      <c r="T1697" s="1318">
        <f t="shared" si="176"/>
        <v>1452</v>
      </c>
      <c r="U1697" s="83">
        <v>125</v>
      </c>
      <c r="V1697" s="1560">
        <f t="shared" si="175"/>
        <v>0.46222222222222226</v>
      </c>
    </row>
    <row r="1698" spans="1:22" ht="18" customHeight="1">
      <c r="C1698" s="6" t="s">
        <v>4413</v>
      </c>
      <c r="D1698" s="13" t="s">
        <v>1812</v>
      </c>
      <c r="E1698" s="21"/>
      <c r="F1698" s="38"/>
      <c r="G1698" s="38" t="s">
        <v>218</v>
      </c>
      <c r="H1698" s="39"/>
      <c r="I1698" s="94"/>
      <c r="J1698" s="39">
        <v>1</v>
      </c>
      <c r="K1698" s="611">
        <v>12</v>
      </c>
      <c r="L1698" s="598">
        <f>K1698*J1698</f>
        <v>12</v>
      </c>
      <c r="M1698" s="898"/>
      <c r="N1698" s="33">
        <v>45393</v>
      </c>
      <c r="O1698" s="32">
        <v>6057</v>
      </c>
      <c r="P1698" s="83">
        <v>0</v>
      </c>
      <c r="Q1698" s="83">
        <f>P1698*J1698</f>
        <v>0</v>
      </c>
      <c r="S1698" s="7">
        <f t="shared" si="176"/>
        <v>0</v>
      </c>
      <c r="T1698" s="1318">
        <f t="shared" si="176"/>
        <v>0</v>
      </c>
      <c r="U1698" s="83">
        <v>125</v>
      </c>
      <c r="V1698" s="1560">
        <f t="shared" si="175"/>
        <v>1</v>
      </c>
    </row>
    <row r="1699" spans="1:22" s="159" customFormat="1" ht="18" customHeight="1">
      <c r="C1699" s="149" t="s">
        <v>4413</v>
      </c>
      <c r="D1699" s="150" t="s">
        <v>1812</v>
      </c>
      <c r="E1699" s="191"/>
      <c r="F1699" s="152"/>
      <c r="G1699" s="152" t="s">
        <v>168</v>
      </c>
      <c r="H1699" s="154" t="s">
        <v>169</v>
      </c>
      <c r="I1699" s="155"/>
      <c r="J1699" s="153"/>
      <c r="K1699" s="600">
        <v>0</v>
      </c>
      <c r="L1699" s="601"/>
      <c r="M1699" s="601"/>
      <c r="N1699" s="157">
        <v>45393</v>
      </c>
      <c r="O1699" s="156">
        <v>6057</v>
      </c>
      <c r="P1699" s="164">
        <v>0</v>
      </c>
      <c r="Q1699" s="165">
        <v>0</v>
      </c>
      <c r="T1699" s="1317"/>
      <c r="U1699" s="83">
        <v>125</v>
      </c>
      <c r="V1699" s="1560" t="e">
        <f t="shared" si="175"/>
        <v>#DIV/0!</v>
      </c>
    </row>
    <row r="1700" spans="1:22" s="7" customFormat="1" ht="18.600000000000001" customHeight="1">
      <c r="C1700" s="6" t="s">
        <v>4414</v>
      </c>
      <c r="D1700" s="13" t="s">
        <v>2277</v>
      </c>
      <c r="E1700" s="18" t="s">
        <v>19</v>
      </c>
      <c r="F1700" s="23"/>
      <c r="G1700" s="21"/>
      <c r="H1700" s="55"/>
      <c r="I1700" s="56"/>
      <c r="J1700" s="55"/>
      <c r="K1700" s="15" t="s">
        <v>8</v>
      </c>
      <c r="L1700" s="688"/>
      <c r="M1700" s="688"/>
      <c r="N1700" s="33">
        <v>45394</v>
      </c>
      <c r="O1700" s="32">
        <v>6061</v>
      </c>
      <c r="P1700" s="83"/>
      <c r="Q1700" s="83"/>
      <c r="S1700" s="7">
        <f t="shared" ref="S1700:S1707" si="177">P1700</f>
        <v>0</v>
      </c>
      <c r="T1700" s="1318">
        <f t="shared" ref="T1700:T1707" si="178">Q1700</f>
        <v>0</v>
      </c>
      <c r="U1700" s="83">
        <v>125</v>
      </c>
    </row>
    <row r="1701" spans="1:22" s="7" customFormat="1" ht="18.600000000000001" customHeight="1">
      <c r="C1701" s="6" t="s">
        <v>4414</v>
      </c>
      <c r="D1701" s="13" t="s">
        <v>2277</v>
      </c>
      <c r="E1701" s="740" t="s">
        <v>2722</v>
      </c>
      <c r="F1701" s="23"/>
      <c r="G1701" s="21" t="s">
        <v>25</v>
      </c>
      <c r="H1701" s="93">
        <v>13.7</v>
      </c>
      <c r="I1701" s="94">
        <v>15</v>
      </c>
      <c r="J1701" s="108">
        <f>H1701*I1701</f>
        <v>205.5</v>
      </c>
      <c r="K1701" s="597">
        <v>3.87</v>
      </c>
      <c r="L1701" s="598">
        <f>K1701*J1701</f>
        <v>795.28499999999997</v>
      </c>
      <c r="M1701" s="97" t="s">
        <v>224</v>
      </c>
      <c r="N1701" s="33">
        <v>45394</v>
      </c>
      <c r="O1701" s="32">
        <v>6061</v>
      </c>
      <c r="P1701" s="83">
        <v>300</v>
      </c>
      <c r="Q1701" s="83">
        <f>P1701*J1701</f>
        <v>61650</v>
      </c>
      <c r="S1701" s="7">
        <f t="shared" si="177"/>
        <v>300</v>
      </c>
      <c r="T1701" s="1318">
        <f t="shared" si="178"/>
        <v>61650</v>
      </c>
      <c r="U1701" s="83">
        <v>125</v>
      </c>
      <c r="V1701" s="1560">
        <f t="shared" si="175"/>
        <v>0.37984496124031009</v>
      </c>
    </row>
    <row r="1702" spans="1:22" ht="18.600000000000001" customHeight="1">
      <c r="C1702" s="6" t="s">
        <v>4414</v>
      </c>
      <c r="D1702" s="13" t="s">
        <v>2277</v>
      </c>
      <c r="E1702" s="21"/>
      <c r="F1702" s="38"/>
      <c r="G1702" s="38" t="s">
        <v>218</v>
      </c>
      <c r="H1702" s="39"/>
      <c r="I1702" s="94"/>
      <c r="J1702" s="39">
        <v>1</v>
      </c>
      <c r="K1702" s="611">
        <v>12</v>
      </c>
      <c r="L1702" s="598">
        <f>K1702*J1702</f>
        <v>12</v>
      </c>
      <c r="M1702" s="898"/>
      <c r="N1702" s="33">
        <v>45394</v>
      </c>
      <c r="O1702" s="32">
        <v>6061</v>
      </c>
      <c r="P1702" s="83">
        <v>0</v>
      </c>
      <c r="Q1702" s="83">
        <f>P1702*J1702</f>
        <v>0</v>
      </c>
      <c r="S1702" s="7">
        <f t="shared" si="177"/>
        <v>0</v>
      </c>
      <c r="T1702" s="1318">
        <f t="shared" si="178"/>
        <v>0</v>
      </c>
      <c r="U1702" s="83">
        <v>125</v>
      </c>
      <c r="V1702" s="1560">
        <f t="shared" si="175"/>
        <v>1</v>
      </c>
    </row>
    <row r="1703" spans="1:22" s="159" customFormat="1" ht="18.600000000000001" customHeight="1">
      <c r="C1703" s="149" t="s">
        <v>4414</v>
      </c>
      <c r="D1703" s="150" t="s">
        <v>2277</v>
      </c>
      <c r="E1703" s="191"/>
      <c r="F1703" s="152"/>
      <c r="G1703" s="152" t="s">
        <v>168</v>
      </c>
      <c r="H1703" s="154" t="s">
        <v>169</v>
      </c>
      <c r="I1703" s="155"/>
      <c r="J1703" s="153"/>
      <c r="K1703" s="600">
        <v>0</v>
      </c>
      <c r="L1703" s="601"/>
      <c r="M1703" s="601"/>
      <c r="N1703" s="157">
        <v>45394</v>
      </c>
      <c r="O1703" s="156">
        <v>6061</v>
      </c>
      <c r="P1703" s="164">
        <v>0</v>
      </c>
      <c r="Q1703" s="165">
        <v>0</v>
      </c>
      <c r="S1703" s="7">
        <f t="shared" si="177"/>
        <v>0</v>
      </c>
      <c r="T1703" s="1318">
        <f t="shared" si="178"/>
        <v>0</v>
      </c>
      <c r="U1703" s="83">
        <v>125</v>
      </c>
    </row>
    <row r="1704" spans="1:22" s="7" customFormat="1" ht="15">
      <c r="C1704" s="6" t="s">
        <v>4415</v>
      </c>
      <c r="D1704" s="13" t="s">
        <v>2277</v>
      </c>
      <c r="E1704" s="18" t="s">
        <v>19</v>
      </c>
      <c r="F1704" s="23"/>
      <c r="G1704" s="21"/>
      <c r="H1704" s="55"/>
      <c r="I1704" s="56"/>
      <c r="J1704" s="55"/>
      <c r="K1704" s="15" t="s">
        <v>8</v>
      </c>
      <c r="L1704" s="688"/>
      <c r="M1704" s="688"/>
      <c r="N1704" s="33">
        <v>45394</v>
      </c>
      <c r="O1704" s="32">
        <v>6062</v>
      </c>
      <c r="P1704" s="83"/>
      <c r="Q1704" s="83"/>
      <c r="S1704" s="7">
        <f t="shared" si="177"/>
        <v>0</v>
      </c>
      <c r="T1704" s="1318">
        <f t="shared" si="178"/>
        <v>0</v>
      </c>
      <c r="U1704" s="83">
        <v>125</v>
      </c>
    </row>
    <row r="1705" spans="1:22" s="7" customFormat="1" ht="15.75">
      <c r="C1705" s="6" t="s">
        <v>4415</v>
      </c>
      <c r="D1705" s="13" t="s">
        <v>2277</v>
      </c>
      <c r="E1705" s="740" t="s">
        <v>2048</v>
      </c>
      <c r="F1705" s="23"/>
      <c r="G1705" s="21" t="s">
        <v>25</v>
      </c>
      <c r="H1705" s="93">
        <v>13.7</v>
      </c>
      <c r="I1705" s="94">
        <v>2</v>
      </c>
      <c r="J1705" s="108">
        <f>H1705*I1705</f>
        <v>27.4</v>
      </c>
      <c r="K1705" s="597">
        <v>6.46</v>
      </c>
      <c r="L1705" s="598">
        <f>K1705*J1705</f>
        <v>177.00399999999999</v>
      </c>
      <c r="M1705" s="97" t="s">
        <v>224</v>
      </c>
      <c r="N1705" s="33">
        <v>45394</v>
      </c>
      <c r="O1705" s="32">
        <v>6062</v>
      </c>
      <c r="P1705" s="83">
        <v>565</v>
      </c>
      <c r="Q1705" s="83">
        <f>P1705*J1705</f>
        <v>15481</v>
      </c>
      <c r="S1705" s="7">
        <f>P1705</f>
        <v>565</v>
      </c>
      <c r="T1705" s="1318">
        <f>Q1705</f>
        <v>15481</v>
      </c>
      <c r="U1705" s="83">
        <v>125</v>
      </c>
      <c r="V1705" s="1560">
        <f t="shared" ref="V1705:V1728" si="179">(((K1705*U1705)-P1705)/(K1705*U1705))</f>
        <v>0.30030959752321984</v>
      </c>
    </row>
    <row r="1706" spans="1:22" s="7" customFormat="1" ht="15.75">
      <c r="C1706" s="6" t="s">
        <v>4415</v>
      </c>
      <c r="D1706" s="13" t="s">
        <v>2277</v>
      </c>
      <c r="E1706" s="740" t="s">
        <v>2280</v>
      </c>
      <c r="F1706" s="23"/>
      <c r="G1706" s="21" t="s">
        <v>25</v>
      </c>
      <c r="H1706" s="93">
        <v>13.7</v>
      </c>
      <c r="I1706" s="94">
        <v>2</v>
      </c>
      <c r="J1706" s="108">
        <f>H1706*I1706</f>
        <v>27.4</v>
      </c>
      <c r="K1706" s="597">
        <v>5.94</v>
      </c>
      <c r="L1706" s="598">
        <f>K1706*J1706</f>
        <v>162.756</v>
      </c>
      <c r="M1706" s="97" t="s">
        <v>224</v>
      </c>
      <c r="N1706" s="33">
        <v>45394</v>
      </c>
      <c r="O1706" s="32">
        <v>6062</v>
      </c>
      <c r="P1706" s="83">
        <v>490</v>
      </c>
      <c r="Q1706" s="83">
        <f>P1706*J1706</f>
        <v>13426</v>
      </c>
      <c r="S1706" s="7">
        <f t="shared" si="177"/>
        <v>490</v>
      </c>
      <c r="T1706" s="1318">
        <f t="shared" si="178"/>
        <v>13426</v>
      </c>
      <c r="U1706" s="83">
        <v>125</v>
      </c>
      <c r="V1706" s="1560">
        <f t="shared" si="179"/>
        <v>0.34006734006734007</v>
      </c>
    </row>
    <row r="1707" spans="1:22" s="159" customFormat="1" ht="15">
      <c r="C1707" s="149" t="s">
        <v>4415</v>
      </c>
      <c r="D1707" s="150" t="s">
        <v>2277</v>
      </c>
      <c r="E1707" s="151"/>
      <c r="F1707" s="152"/>
      <c r="G1707" s="152" t="s">
        <v>168</v>
      </c>
      <c r="H1707" s="154" t="s">
        <v>169</v>
      </c>
      <c r="I1707" s="155"/>
      <c r="J1707" s="153"/>
      <c r="K1707" s="600">
        <v>0</v>
      </c>
      <c r="L1707" s="601"/>
      <c r="M1707" s="601"/>
      <c r="N1707" s="157">
        <v>45394</v>
      </c>
      <c r="O1707" s="156">
        <v>6062</v>
      </c>
      <c r="P1707" s="164">
        <v>0</v>
      </c>
      <c r="Q1707" s="165">
        <v>0</v>
      </c>
      <c r="S1707" s="7">
        <f t="shared" si="177"/>
        <v>0</v>
      </c>
      <c r="T1707" s="1318">
        <f t="shared" si="178"/>
        <v>0</v>
      </c>
      <c r="U1707" s="83">
        <v>125</v>
      </c>
      <c r="V1707" s="1560" t="e">
        <f t="shared" si="179"/>
        <v>#DIV/0!</v>
      </c>
    </row>
    <row r="1708" spans="1:22" customFormat="1" ht="18.600000000000001" customHeight="1">
      <c r="A1708" s="1"/>
      <c r="B1708" s="25"/>
      <c r="C1708" s="6" t="s">
        <v>4423</v>
      </c>
      <c r="D1708" s="13" t="s">
        <v>4173</v>
      </c>
      <c r="E1708" s="18" t="s">
        <v>4450</v>
      </c>
      <c r="F1708" s="92"/>
      <c r="G1708" s="21"/>
      <c r="H1708" s="93"/>
      <c r="I1708" s="94"/>
      <c r="J1708" s="93"/>
      <c r="K1708" s="95" t="s">
        <v>8</v>
      </c>
      <c r="L1708" s="33"/>
      <c r="M1708" s="33"/>
      <c r="N1708" s="33">
        <v>45399</v>
      </c>
      <c r="O1708" s="32">
        <v>5985</v>
      </c>
      <c r="P1708" s="1603"/>
      <c r="Q1708" s="1449"/>
      <c r="R1708" s="1"/>
      <c r="S1708" s="1450"/>
      <c r="T1708" s="83"/>
      <c r="U1708" s="83">
        <v>125</v>
      </c>
      <c r="V1708" s="1560" t="e">
        <f t="shared" si="179"/>
        <v>#VALUE!</v>
      </c>
    </row>
    <row r="1709" spans="1:22" customFormat="1" ht="18.600000000000001" customHeight="1">
      <c r="B1709" s="11"/>
      <c r="C1709" s="6" t="s">
        <v>4423</v>
      </c>
      <c r="D1709" s="13" t="s">
        <v>4173</v>
      </c>
      <c r="E1709" s="18" t="s">
        <v>4134</v>
      </c>
      <c r="F1709" s="92" t="s">
        <v>3624</v>
      </c>
      <c r="G1709" s="21" t="s">
        <v>4174</v>
      </c>
      <c r="H1709" s="107">
        <v>58.8</v>
      </c>
      <c r="I1709" s="35">
        <v>1</v>
      </c>
      <c r="J1709" s="107">
        <f>H1709*I1709</f>
        <v>58.8</v>
      </c>
      <c r="K1709" s="611">
        <v>15.11</v>
      </c>
      <c r="L1709" s="598">
        <f>K1709*J1709</f>
        <v>888.46799999999996</v>
      </c>
      <c r="M1709" s="97" t="s">
        <v>224</v>
      </c>
      <c r="N1709" s="33">
        <v>45399</v>
      </c>
      <c r="O1709" s="32">
        <v>5985</v>
      </c>
      <c r="P1709" s="83">
        <v>1420</v>
      </c>
      <c r="Q1709" s="83">
        <f>P1709*J1709</f>
        <v>83496</v>
      </c>
      <c r="R1709" s="7"/>
      <c r="S1709" s="7">
        <f t="shared" ref="S1709:S1715" si="180">P1709</f>
        <v>1420</v>
      </c>
      <c r="T1709" s="1318">
        <f t="shared" ref="T1709:T1715" si="181">Q1709</f>
        <v>83496</v>
      </c>
      <c r="U1709" s="83">
        <v>125</v>
      </c>
      <c r="V1709" s="1560">
        <f t="shared" si="179"/>
        <v>0.24818001323626737</v>
      </c>
    </row>
    <row r="1710" spans="1:22" customFormat="1" ht="18.600000000000001" customHeight="1">
      <c r="B1710" s="11"/>
      <c r="C1710" s="6" t="s">
        <v>4423</v>
      </c>
      <c r="D1710" s="13" t="s">
        <v>4173</v>
      </c>
      <c r="E1710" s="18" t="s">
        <v>4134</v>
      </c>
      <c r="F1710" s="92" t="s">
        <v>3624</v>
      </c>
      <c r="G1710" s="21" t="s">
        <v>4174</v>
      </c>
      <c r="H1710" s="107">
        <v>59.1</v>
      </c>
      <c r="I1710" s="35">
        <v>1</v>
      </c>
      <c r="J1710" s="107">
        <f>H1710*I1710</f>
        <v>59.1</v>
      </c>
      <c r="K1710" s="611">
        <v>15.11</v>
      </c>
      <c r="L1710" s="598">
        <f>K1710*J1710</f>
        <v>893.00099999999998</v>
      </c>
      <c r="M1710" s="97" t="s">
        <v>224</v>
      </c>
      <c r="N1710" s="33">
        <v>45399</v>
      </c>
      <c r="O1710" s="32">
        <v>5985</v>
      </c>
      <c r="P1710" s="83">
        <v>1420</v>
      </c>
      <c r="Q1710" s="83">
        <f>P1710*J1710</f>
        <v>83922</v>
      </c>
      <c r="R1710" s="7"/>
      <c r="S1710" s="7">
        <f t="shared" ref="S1710:T1712" si="182">P1710</f>
        <v>1420</v>
      </c>
      <c r="T1710" s="1318">
        <f t="shared" si="182"/>
        <v>83922</v>
      </c>
      <c r="U1710" s="83">
        <v>125</v>
      </c>
      <c r="V1710" s="1560">
        <f t="shared" si="179"/>
        <v>0.24818001323626737</v>
      </c>
    </row>
    <row r="1711" spans="1:22" customFormat="1" ht="18.600000000000001" customHeight="1">
      <c r="B1711" s="11"/>
      <c r="C1711" s="6" t="s">
        <v>4423</v>
      </c>
      <c r="D1711" s="13" t="s">
        <v>4173</v>
      </c>
      <c r="E1711" s="18" t="s">
        <v>4134</v>
      </c>
      <c r="F1711" s="92" t="s">
        <v>3624</v>
      </c>
      <c r="G1711" s="21" t="s">
        <v>4174</v>
      </c>
      <c r="H1711" s="107">
        <v>59.4</v>
      </c>
      <c r="I1711" s="35">
        <v>1</v>
      </c>
      <c r="J1711" s="107">
        <f>H1711*I1711</f>
        <v>59.4</v>
      </c>
      <c r="K1711" s="611">
        <v>15.11</v>
      </c>
      <c r="L1711" s="598">
        <f>K1711*J1711</f>
        <v>897.53399999999999</v>
      </c>
      <c r="M1711" s="97" t="s">
        <v>224</v>
      </c>
      <c r="N1711" s="33">
        <v>45399</v>
      </c>
      <c r="O1711" s="32">
        <v>5985</v>
      </c>
      <c r="P1711" s="83">
        <v>1420</v>
      </c>
      <c r="Q1711" s="83">
        <f>P1711*J1711</f>
        <v>84348</v>
      </c>
      <c r="R1711" s="7"/>
      <c r="S1711" s="7">
        <f t="shared" si="182"/>
        <v>1420</v>
      </c>
      <c r="T1711" s="1318">
        <f t="shared" si="182"/>
        <v>84348</v>
      </c>
      <c r="U1711" s="83">
        <v>125</v>
      </c>
      <c r="V1711" s="1560">
        <f t="shared" si="179"/>
        <v>0.24818001323626737</v>
      </c>
    </row>
    <row r="1712" spans="1:22" customFormat="1" ht="18.600000000000001" customHeight="1">
      <c r="B1712" s="11"/>
      <c r="C1712" s="6" t="s">
        <v>4423</v>
      </c>
      <c r="D1712" s="13" t="s">
        <v>4173</v>
      </c>
      <c r="E1712" s="18" t="s">
        <v>4433</v>
      </c>
      <c r="F1712" s="92" t="s">
        <v>3624</v>
      </c>
      <c r="G1712" s="21" t="s">
        <v>4174</v>
      </c>
      <c r="H1712" s="107">
        <v>13</v>
      </c>
      <c r="I1712" s="35">
        <v>1</v>
      </c>
      <c r="J1712" s="107">
        <f>H1712*I1712</f>
        <v>13</v>
      </c>
      <c r="K1712" s="611">
        <v>18.23</v>
      </c>
      <c r="L1712" s="598">
        <f>K1712*J1712</f>
        <v>236.99</v>
      </c>
      <c r="M1712" s="97" t="s">
        <v>224</v>
      </c>
      <c r="N1712" s="33">
        <v>45399</v>
      </c>
      <c r="O1712" s="32">
        <v>5985</v>
      </c>
      <c r="P1712" s="83">
        <f>1420+300</f>
        <v>1720</v>
      </c>
      <c r="Q1712" s="83">
        <f>P1712*J1712</f>
        <v>22360</v>
      </c>
      <c r="R1712" s="7"/>
      <c r="S1712" s="7">
        <f t="shared" si="182"/>
        <v>1720</v>
      </c>
      <c r="T1712" s="1318">
        <f t="shared" si="182"/>
        <v>22360</v>
      </c>
      <c r="U1712" s="83">
        <v>125</v>
      </c>
      <c r="V1712" s="1560">
        <f t="shared" si="179"/>
        <v>0.24520021941854087</v>
      </c>
    </row>
    <row r="1713" spans="3:22" s="159" customFormat="1" ht="18.600000000000001" customHeight="1">
      <c r="C1713" s="149" t="s">
        <v>4423</v>
      </c>
      <c r="D1713" s="150" t="s">
        <v>4173</v>
      </c>
      <c r="E1713" s="151"/>
      <c r="F1713" s="152"/>
      <c r="G1713" s="152" t="s">
        <v>168</v>
      </c>
      <c r="H1713" s="154" t="s">
        <v>169</v>
      </c>
      <c r="I1713" s="155"/>
      <c r="J1713" s="153"/>
      <c r="K1713" s="600">
        <v>0</v>
      </c>
      <c r="L1713" s="601"/>
      <c r="M1713" s="601"/>
      <c r="N1713" s="157">
        <v>45399</v>
      </c>
      <c r="O1713" s="156">
        <v>5985</v>
      </c>
      <c r="P1713" s="164">
        <v>0</v>
      </c>
      <c r="Q1713" s="165">
        <v>0</v>
      </c>
      <c r="S1713" s="7">
        <f t="shared" si="180"/>
        <v>0</v>
      </c>
      <c r="T1713" s="1318">
        <f t="shared" si="181"/>
        <v>0</v>
      </c>
      <c r="U1713" s="83">
        <v>125</v>
      </c>
      <c r="V1713" s="1560" t="e">
        <f t="shared" si="179"/>
        <v>#DIV/0!</v>
      </c>
    </row>
    <row r="1714" spans="3:22" s="7" customFormat="1" ht="18" customHeight="1">
      <c r="C1714" s="6" t="s">
        <v>4424</v>
      </c>
      <c r="D1714" s="13" t="s">
        <v>1812</v>
      </c>
      <c r="E1714" s="18" t="s">
        <v>79</v>
      </c>
      <c r="F1714" s="92"/>
      <c r="G1714" s="21"/>
      <c r="H1714" s="93"/>
      <c r="I1714" s="94"/>
      <c r="J1714" s="93"/>
      <c r="K1714" s="95" t="s">
        <v>8</v>
      </c>
      <c r="L1714" s="33"/>
      <c r="M1714" s="33"/>
      <c r="N1714" s="33">
        <v>45428</v>
      </c>
      <c r="O1714" s="32">
        <v>6133</v>
      </c>
      <c r="P1714" s="83"/>
      <c r="Q1714" s="83"/>
      <c r="S1714" s="7">
        <f t="shared" si="180"/>
        <v>0</v>
      </c>
      <c r="T1714" s="1318">
        <f t="shared" si="181"/>
        <v>0</v>
      </c>
      <c r="U1714" s="83">
        <v>125</v>
      </c>
      <c r="V1714" s="1560" t="e">
        <f t="shared" si="179"/>
        <v>#VALUE!</v>
      </c>
    </row>
    <row r="1715" spans="3:22" s="7" customFormat="1" ht="18" customHeight="1">
      <c r="C1715" s="6" t="s">
        <v>4424</v>
      </c>
      <c r="D1715" s="13" t="s">
        <v>1812</v>
      </c>
      <c r="E1715" s="21">
        <v>4141</v>
      </c>
      <c r="F1715" s="596">
        <v>6</v>
      </c>
      <c r="G1715" s="21" t="s">
        <v>2798</v>
      </c>
      <c r="H1715" s="93">
        <v>20</v>
      </c>
      <c r="I1715" s="94">
        <v>10</v>
      </c>
      <c r="J1715" s="55">
        <f t="shared" ref="J1715:J1723" si="183">H1715*I1715</f>
        <v>200</v>
      </c>
      <c r="K1715" s="597">
        <v>1.2</v>
      </c>
      <c r="L1715" s="598">
        <f t="shared" ref="L1715:L1727" si="184">K1715*J1715</f>
        <v>240</v>
      </c>
      <c r="M1715" s="97" t="s">
        <v>224</v>
      </c>
      <c r="N1715" s="33">
        <v>45428</v>
      </c>
      <c r="O1715" s="32">
        <v>6133</v>
      </c>
      <c r="P1715" s="83">
        <v>87</v>
      </c>
      <c r="Q1715" s="83">
        <f t="shared" ref="Q1715:Q1727" si="185">P1715*J1715</f>
        <v>17400</v>
      </c>
      <c r="S1715" s="7">
        <f t="shared" si="180"/>
        <v>87</v>
      </c>
      <c r="T1715" s="1318">
        <f t="shared" si="181"/>
        <v>17400</v>
      </c>
      <c r="U1715" s="83">
        <v>125</v>
      </c>
      <c r="V1715" s="1560">
        <f t="shared" si="179"/>
        <v>0.42</v>
      </c>
    </row>
    <row r="1716" spans="3:22" s="7" customFormat="1" ht="18" customHeight="1">
      <c r="C1716" s="6" t="s">
        <v>4424</v>
      </c>
      <c r="D1716" s="13" t="s">
        <v>1812</v>
      </c>
      <c r="E1716" s="21">
        <v>4141</v>
      </c>
      <c r="F1716" s="596">
        <v>6</v>
      </c>
      <c r="G1716" s="21" t="s">
        <v>4425</v>
      </c>
      <c r="H1716" s="93">
        <v>20</v>
      </c>
      <c r="I1716" s="94">
        <v>10</v>
      </c>
      <c r="J1716" s="55">
        <f t="shared" si="183"/>
        <v>200</v>
      </c>
      <c r="K1716" s="597">
        <v>1.2</v>
      </c>
      <c r="L1716" s="598">
        <f t="shared" si="184"/>
        <v>240</v>
      </c>
      <c r="M1716" s="97" t="s">
        <v>224</v>
      </c>
      <c r="N1716" s="33">
        <v>45449</v>
      </c>
      <c r="O1716" s="32">
        <v>6193</v>
      </c>
      <c r="P1716" s="83">
        <v>87</v>
      </c>
      <c r="Q1716" s="83">
        <f t="shared" si="185"/>
        <v>17400</v>
      </c>
      <c r="S1716" s="7">
        <f t="shared" ref="S1716:S1727" si="186">P1716</f>
        <v>87</v>
      </c>
      <c r="T1716" s="1318">
        <f t="shared" ref="T1716:T1727" si="187">Q1716</f>
        <v>17400</v>
      </c>
      <c r="U1716" s="83">
        <v>125</v>
      </c>
      <c r="V1716" s="1560">
        <f t="shared" si="179"/>
        <v>0.42</v>
      </c>
    </row>
    <row r="1717" spans="3:22" s="7" customFormat="1" ht="18" customHeight="1">
      <c r="C1717" s="6" t="s">
        <v>4424</v>
      </c>
      <c r="D1717" s="13" t="s">
        <v>1812</v>
      </c>
      <c r="E1717" s="21">
        <v>4141</v>
      </c>
      <c r="F1717" s="596">
        <v>6</v>
      </c>
      <c r="G1717" s="21" t="s">
        <v>4426</v>
      </c>
      <c r="H1717" s="93">
        <v>20</v>
      </c>
      <c r="I1717" s="94">
        <v>5</v>
      </c>
      <c r="J1717" s="55">
        <f t="shared" si="183"/>
        <v>100</v>
      </c>
      <c r="K1717" s="597">
        <v>1.2</v>
      </c>
      <c r="L1717" s="598">
        <f t="shared" si="184"/>
        <v>120</v>
      </c>
      <c r="M1717" s="97" t="s">
        <v>224</v>
      </c>
      <c r="N1717" s="33">
        <v>45449</v>
      </c>
      <c r="O1717" s="32">
        <v>6193</v>
      </c>
      <c r="P1717" s="83">
        <v>87</v>
      </c>
      <c r="Q1717" s="83">
        <f t="shared" si="185"/>
        <v>8700</v>
      </c>
      <c r="S1717" s="7">
        <f t="shared" si="186"/>
        <v>87</v>
      </c>
      <c r="T1717" s="1318">
        <f t="shared" si="187"/>
        <v>8700</v>
      </c>
      <c r="U1717" s="83">
        <v>125</v>
      </c>
      <c r="V1717" s="1560">
        <f t="shared" si="179"/>
        <v>0.42</v>
      </c>
    </row>
    <row r="1718" spans="3:22" s="7" customFormat="1" ht="18" customHeight="1">
      <c r="C1718" s="6" t="s">
        <v>4424</v>
      </c>
      <c r="D1718" s="13" t="s">
        <v>1812</v>
      </c>
      <c r="E1718" s="21">
        <v>4141</v>
      </c>
      <c r="F1718" s="596">
        <v>6</v>
      </c>
      <c r="G1718" s="21" t="s">
        <v>4427</v>
      </c>
      <c r="H1718" s="93">
        <v>20</v>
      </c>
      <c r="I1718" s="94">
        <v>10</v>
      </c>
      <c r="J1718" s="55">
        <f t="shared" si="183"/>
        <v>200</v>
      </c>
      <c r="K1718" s="597">
        <v>1.2</v>
      </c>
      <c r="L1718" s="598">
        <f t="shared" si="184"/>
        <v>240</v>
      </c>
      <c r="M1718" s="97" t="s">
        <v>224</v>
      </c>
      <c r="N1718" s="33">
        <v>45449</v>
      </c>
      <c r="O1718" s="32">
        <v>6193</v>
      </c>
      <c r="P1718" s="83">
        <v>87</v>
      </c>
      <c r="Q1718" s="83">
        <f t="shared" si="185"/>
        <v>17400</v>
      </c>
      <c r="S1718" s="7">
        <f t="shared" si="186"/>
        <v>87</v>
      </c>
      <c r="T1718" s="1318">
        <f t="shared" si="187"/>
        <v>17400</v>
      </c>
      <c r="U1718" s="83">
        <v>125</v>
      </c>
      <c r="V1718" s="1560">
        <f t="shared" si="179"/>
        <v>0.42</v>
      </c>
    </row>
    <row r="1719" spans="3:22" s="7" customFormat="1" ht="18" customHeight="1">
      <c r="C1719" s="6" t="s">
        <v>4424</v>
      </c>
      <c r="D1719" s="13" t="s">
        <v>1812</v>
      </c>
      <c r="E1719" s="21">
        <v>4141</v>
      </c>
      <c r="F1719" s="596">
        <v>6</v>
      </c>
      <c r="G1719" s="21" t="s">
        <v>277</v>
      </c>
      <c r="H1719" s="93">
        <v>20</v>
      </c>
      <c r="I1719" s="94">
        <v>50</v>
      </c>
      <c r="J1719" s="55">
        <f t="shared" si="183"/>
        <v>1000</v>
      </c>
      <c r="K1719" s="597">
        <v>1.2</v>
      </c>
      <c r="L1719" s="598">
        <f t="shared" si="184"/>
        <v>1200</v>
      </c>
      <c r="M1719" s="97" t="s">
        <v>224</v>
      </c>
      <c r="N1719" s="33">
        <v>45428</v>
      </c>
      <c r="O1719" s="32">
        <v>6133</v>
      </c>
      <c r="P1719" s="83">
        <v>87</v>
      </c>
      <c r="Q1719" s="83">
        <f t="shared" si="185"/>
        <v>87000</v>
      </c>
      <c r="S1719" s="7">
        <f t="shared" si="186"/>
        <v>87</v>
      </c>
      <c r="T1719" s="1318">
        <f t="shared" si="187"/>
        <v>87000</v>
      </c>
      <c r="U1719" s="83">
        <v>125</v>
      </c>
      <c r="V1719" s="1560">
        <f t="shared" si="179"/>
        <v>0.42</v>
      </c>
    </row>
    <row r="1720" spans="3:22" s="7" customFormat="1" ht="18" customHeight="1">
      <c r="C1720" s="6" t="s">
        <v>4424</v>
      </c>
      <c r="D1720" s="13" t="s">
        <v>1812</v>
      </c>
      <c r="E1720" s="21">
        <v>4141</v>
      </c>
      <c r="F1720" s="596">
        <v>9</v>
      </c>
      <c r="G1720" s="21" t="s">
        <v>4425</v>
      </c>
      <c r="H1720" s="93">
        <v>20</v>
      </c>
      <c r="I1720" s="94">
        <v>5</v>
      </c>
      <c r="J1720" s="55">
        <f t="shared" si="183"/>
        <v>100</v>
      </c>
      <c r="K1720" s="597">
        <v>1.33</v>
      </c>
      <c r="L1720" s="598">
        <f t="shared" si="184"/>
        <v>133</v>
      </c>
      <c r="M1720" s="97" t="s">
        <v>224</v>
      </c>
      <c r="N1720" s="33">
        <v>45449</v>
      </c>
      <c r="O1720" s="32">
        <v>6193</v>
      </c>
      <c r="P1720" s="83">
        <v>97</v>
      </c>
      <c r="Q1720" s="83">
        <f t="shared" si="185"/>
        <v>9700</v>
      </c>
      <c r="S1720" s="7">
        <f t="shared" si="186"/>
        <v>97</v>
      </c>
      <c r="T1720" s="1318">
        <f t="shared" si="187"/>
        <v>9700</v>
      </c>
      <c r="U1720" s="83">
        <v>125</v>
      </c>
      <c r="V1720" s="1560">
        <f t="shared" si="179"/>
        <v>0.41654135338345866</v>
      </c>
    </row>
    <row r="1721" spans="3:22" s="7" customFormat="1" ht="18" customHeight="1">
      <c r="C1721" s="6" t="s">
        <v>4424</v>
      </c>
      <c r="D1721" s="13" t="s">
        <v>1812</v>
      </c>
      <c r="E1721" s="21">
        <v>4141</v>
      </c>
      <c r="F1721" s="596">
        <v>9</v>
      </c>
      <c r="G1721" s="21" t="s">
        <v>4457</v>
      </c>
      <c r="H1721" s="93">
        <v>20</v>
      </c>
      <c r="I1721" s="94">
        <v>5</v>
      </c>
      <c r="J1721" s="55">
        <f t="shared" si="183"/>
        <v>100</v>
      </c>
      <c r="K1721" s="597">
        <v>1.33</v>
      </c>
      <c r="L1721" s="598">
        <f t="shared" si="184"/>
        <v>133</v>
      </c>
      <c r="M1721" s="97" t="s">
        <v>224</v>
      </c>
      <c r="N1721" s="33">
        <v>45449</v>
      </c>
      <c r="O1721" s="32">
        <v>6193</v>
      </c>
      <c r="P1721" s="83">
        <v>97</v>
      </c>
      <c r="Q1721" s="83">
        <f t="shared" si="185"/>
        <v>9700</v>
      </c>
      <c r="S1721" s="7">
        <f t="shared" si="186"/>
        <v>97</v>
      </c>
      <c r="T1721" s="1318">
        <f t="shared" si="187"/>
        <v>9700</v>
      </c>
      <c r="U1721" s="83">
        <v>125</v>
      </c>
      <c r="V1721" s="1560">
        <f t="shared" si="179"/>
        <v>0.41654135338345866</v>
      </c>
    </row>
    <row r="1722" spans="3:22" s="7" customFormat="1" ht="18" customHeight="1">
      <c r="C1722" s="6" t="s">
        <v>4424</v>
      </c>
      <c r="D1722" s="13" t="s">
        <v>1812</v>
      </c>
      <c r="E1722" s="21">
        <v>4141</v>
      </c>
      <c r="F1722" s="596">
        <v>9</v>
      </c>
      <c r="G1722" s="21" t="s">
        <v>4427</v>
      </c>
      <c r="H1722" s="93">
        <v>20</v>
      </c>
      <c r="I1722" s="94">
        <v>5</v>
      </c>
      <c r="J1722" s="55">
        <f t="shared" si="183"/>
        <v>100</v>
      </c>
      <c r="K1722" s="597">
        <v>1.33</v>
      </c>
      <c r="L1722" s="598">
        <f t="shared" si="184"/>
        <v>133</v>
      </c>
      <c r="M1722" s="97" t="s">
        <v>224</v>
      </c>
      <c r="N1722" s="33">
        <v>45449</v>
      </c>
      <c r="O1722" s="32">
        <v>6193</v>
      </c>
      <c r="P1722" s="83">
        <v>97</v>
      </c>
      <c r="Q1722" s="83">
        <f t="shared" si="185"/>
        <v>9700</v>
      </c>
      <c r="S1722" s="7">
        <f t="shared" si="186"/>
        <v>97</v>
      </c>
      <c r="T1722" s="1318">
        <f t="shared" si="187"/>
        <v>9700</v>
      </c>
      <c r="U1722" s="83">
        <v>125</v>
      </c>
      <c r="V1722" s="1560">
        <f t="shared" si="179"/>
        <v>0.41654135338345866</v>
      </c>
    </row>
    <row r="1723" spans="3:22" s="7" customFormat="1" ht="18" customHeight="1">
      <c r="C1723" s="6" t="s">
        <v>4424</v>
      </c>
      <c r="D1723" s="13" t="s">
        <v>1812</v>
      </c>
      <c r="E1723" s="21">
        <v>4141</v>
      </c>
      <c r="F1723" s="596">
        <v>9</v>
      </c>
      <c r="G1723" s="21" t="s">
        <v>4429</v>
      </c>
      <c r="H1723" s="93">
        <v>20</v>
      </c>
      <c r="I1723" s="94">
        <v>5</v>
      </c>
      <c r="J1723" s="55">
        <f t="shared" si="183"/>
        <v>100</v>
      </c>
      <c r="K1723" s="597">
        <v>1.33</v>
      </c>
      <c r="L1723" s="598">
        <f t="shared" si="184"/>
        <v>133</v>
      </c>
      <c r="M1723" s="97" t="s">
        <v>224</v>
      </c>
      <c r="N1723" s="33">
        <v>45428</v>
      </c>
      <c r="O1723" s="32">
        <v>6133</v>
      </c>
      <c r="P1723" s="83">
        <v>97</v>
      </c>
      <c r="Q1723" s="83">
        <f t="shared" si="185"/>
        <v>9700</v>
      </c>
      <c r="S1723" s="7">
        <f t="shared" si="186"/>
        <v>97</v>
      </c>
      <c r="T1723" s="1318">
        <f t="shared" si="187"/>
        <v>9700</v>
      </c>
      <c r="U1723" s="83">
        <v>125</v>
      </c>
      <c r="V1723" s="1560">
        <f t="shared" si="179"/>
        <v>0.41654135338345866</v>
      </c>
    </row>
    <row r="1724" spans="3:22" ht="18" customHeight="1">
      <c r="C1724" s="6" t="s">
        <v>4424</v>
      </c>
      <c r="D1724" s="13" t="s">
        <v>1812</v>
      </c>
      <c r="E1724" s="21"/>
      <c r="F1724" s="38"/>
      <c r="G1724" s="38" t="s">
        <v>4430</v>
      </c>
      <c r="H1724" s="39"/>
      <c r="I1724" s="94"/>
      <c r="J1724" s="39">
        <v>2</v>
      </c>
      <c r="K1724" s="611">
        <v>270</v>
      </c>
      <c r="L1724" s="598">
        <f t="shared" si="184"/>
        <v>540</v>
      </c>
      <c r="M1724" s="97" t="s">
        <v>224</v>
      </c>
      <c r="N1724" s="33">
        <v>45449</v>
      </c>
      <c r="O1724" s="32">
        <v>6193</v>
      </c>
      <c r="P1724" s="83">
        <v>22000</v>
      </c>
      <c r="Q1724" s="83">
        <f t="shared" si="185"/>
        <v>44000</v>
      </c>
      <c r="S1724" s="7">
        <f t="shared" si="186"/>
        <v>22000</v>
      </c>
      <c r="T1724" s="1318">
        <f t="shared" si="187"/>
        <v>44000</v>
      </c>
      <c r="U1724" s="83">
        <v>125</v>
      </c>
      <c r="V1724" s="1560">
        <f t="shared" si="179"/>
        <v>0.34814814814814815</v>
      </c>
    </row>
    <row r="1725" spans="3:22" ht="18" customHeight="1">
      <c r="C1725" s="6" t="s">
        <v>4424</v>
      </c>
      <c r="D1725" s="13" t="s">
        <v>1812</v>
      </c>
      <c r="E1725" s="21"/>
      <c r="F1725" s="38"/>
      <c r="G1725" s="38" t="s">
        <v>4430</v>
      </c>
      <c r="H1725" s="39"/>
      <c r="I1725" s="94"/>
      <c r="J1725" s="39">
        <v>4</v>
      </c>
      <c r="K1725" s="611">
        <v>270</v>
      </c>
      <c r="L1725" s="598">
        <f t="shared" si="184"/>
        <v>1080</v>
      </c>
      <c r="M1725" s="97" t="s">
        <v>224</v>
      </c>
      <c r="N1725" s="33">
        <v>45449</v>
      </c>
      <c r="O1725" s="32">
        <v>6193</v>
      </c>
      <c r="P1725" s="83">
        <v>27000</v>
      </c>
      <c r="Q1725" s="83">
        <f t="shared" si="185"/>
        <v>108000</v>
      </c>
      <c r="S1725" s="7">
        <f t="shared" si="186"/>
        <v>27000</v>
      </c>
      <c r="T1725" s="1318">
        <f t="shared" si="187"/>
        <v>108000</v>
      </c>
      <c r="U1725" s="83">
        <v>125</v>
      </c>
      <c r="V1725" s="1560">
        <f t="shared" si="179"/>
        <v>0.2</v>
      </c>
    </row>
    <row r="1726" spans="3:22" ht="18" customHeight="1">
      <c r="C1726" s="6" t="s">
        <v>4424</v>
      </c>
      <c r="D1726" s="13" t="s">
        <v>1812</v>
      </c>
      <c r="E1726" s="21">
        <v>4141</v>
      </c>
      <c r="F1726" s="38"/>
      <c r="G1726" s="38" t="s">
        <v>4431</v>
      </c>
      <c r="H1726" s="39"/>
      <c r="I1726" s="94"/>
      <c r="J1726" s="39">
        <v>4</v>
      </c>
      <c r="K1726" s="611">
        <v>65</v>
      </c>
      <c r="L1726" s="598">
        <f t="shared" si="184"/>
        <v>260</v>
      </c>
      <c r="M1726" s="97" t="s">
        <v>224</v>
      </c>
      <c r="N1726" s="33">
        <v>45412</v>
      </c>
      <c r="O1726" s="32">
        <v>6110</v>
      </c>
      <c r="P1726" s="83">
        <v>6000</v>
      </c>
      <c r="Q1726" s="83">
        <f t="shared" si="185"/>
        <v>24000</v>
      </c>
      <c r="S1726" s="7">
        <f t="shared" si="186"/>
        <v>6000</v>
      </c>
      <c r="T1726" s="1318">
        <f t="shared" si="187"/>
        <v>24000</v>
      </c>
      <c r="U1726" s="83">
        <v>125</v>
      </c>
      <c r="V1726" s="1560">
        <f t="shared" si="179"/>
        <v>0.26153846153846155</v>
      </c>
    </row>
    <row r="1727" spans="3:22" ht="18.600000000000001" customHeight="1">
      <c r="C1727" s="6" t="s">
        <v>4424</v>
      </c>
      <c r="D1727" s="13" t="s">
        <v>1812</v>
      </c>
      <c r="E1727" s="21"/>
      <c r="F1727" s="38"/>
      <c r="G1727" s="38" t="s">
        <v>218</v>
      </c>
      <c r="H1727" s="39"/>
      <c r="I1727" s="94"/>
      <c r="J1727" s="39">
        <v>1</v>
      </c>
      <c r="K1727" s="611">
        <v>0</v>
      </c>
      <c r="L1727" s="598">
        <f t="shared" si="184"/>
        <v>0</v>
      </c>
      <c r="M1727" s="898"/>
      <c r="N1727" s="33">
        <v>45412</v>
      </c>
      <c r="O1727" s="32">
        <v>6110</v>
      </c>
      <c r="P1727" s="83">
        <v>1100</v>
      </c>
      <c r="Q1727" s="83">
        <f t="shared" si="185"/>
        <v>1100</v>
      </c>
      <c r="S1727" s="7">
        <f t="shared" si="186"/>
        <v>1100</v>
      </c>
      <c r="T1727" s="1318">
        <f t="shared" si="187"/>
        <v>1100</v>
      </c>
      <c r="U1727" s="83">
        <v>125</v>
      </c>
      <c r="V1727" s="1560" t="e">
        <f t="shared" si="179"/>
        <v>#DIV/0!</v>
      </c>
    </row>
    <row r="1728" spans="3:22" s="159" customFormat="1" ht="18" customHeight="1">
      <c r="C1728" s="149" t="s">
        <v>4424</v>
      </c>
      <c r="D1728" s="150" t="s">
        <v>1812</v>
      </c>
      <c r="E1728" s="191"/>
      <c r="F1728" s="152"/>
      <c r="G1728" s="152" t="s">
        <v>168</v>
      </c>
      <c r="H1728" s="154" t="s">
        <v>169</v>
      </c>
      <c r="I1728" s="155"/>
      <c r="J1728" s="153"/>
      <c r="K1728" s="600">
        <v>0</v>
      </c>
      <c r="L1728" s="601"/>
      <c r="M1728" s="601"/>
      <c r="N1728" s="157"/>
      <c r="O1728" s="156"/>
      <c r="P1728" s="179"/>
      <c r="Q1728" s="179"/>
      <c r="S1728" s="179"/>
      <c r="T1728" s="179"/>
      <c r="U1728" s="83">
        <v>125</v>
      </c>
      <c r="V1728" s="1560" t="e">
        <f t="shared" si="179"/>
        <v>#DIV/0!</v>
      </c>
    </row>
    <row r="1729" spans="3:22" s="7" customFormat="1" ht="18" customHeight="1">
      <c r="C1729" s="6" t="s">
        <v>4451</v>
      </c>
      <c r="D1729" s="13" t="s">
        <v>1812</v>
      </c>
      <c r="E1729" s="18" t="s">
        <v>79</v>
      </c>
      <c r="F1729" s="92"/>
      <c r="G1729" s="21"/>
      <c r="H1729" s="93"/>
      <c r="I1729" s="94"/>
      <c r="J1729" s="93"/>
      <c r="K1729" s="95" t="s">
        <v>8</v>
      </c>
      <c r="L1729" s="33"/>
      <c r="M1729" s="33"/>
      <c r="N1729" s="33">
        <v>45440</v>
      </c>
      <c r="O1729" s="32">
        <v>6157</v>
      </c>
      <c r="P1729" s="83"/>
      <c r="Q1729" s="83"/>
      <c r="S1729" s="7">
        <f t="shared" ref="S1729:S1734" si="188">P1729</f>
        <v>0</v>
      </c>
      <c r="T1729" s="1318">
        <f t="shared" ref="T1729:T1734" si="189">Q1729</f>
        <v>0</v>
      </c>
      <c r="U1729" s="83">
        <v>125</v>
      </c>
      <c r="V1729" s="1560" t="e">
        <f t="shared" ref="V1729:V1741" si="190">(((K1729*U1729)-P1729)/(K1729*U1729))</f>
        <v>#VALUE!</v>
      </c>
    </row>
    <row r="1730" spans="3:22" s="7" customFormat="1" ht="18" customHeight="1">
      <c r="C1730" s="6" t="s">
        <v>4451</v>
      </c>
      <c r="D1730" s="13" t="s">
        <v>1812</v>
      </c>
      <c r="E1730" s="21">
        <v>4141</v>
      </c>
      <c r="F1730" s="596">
        <v>9</v>
      </c>
      <c r="G1730" s="21" t="s">
        <v>4211</v>
      </c>
      <c r="H1730" s="93">
        <v>20</v>
      </c>
      <c r="I1730" s="94">
        <v>15</v>
      </c>
      <c r="J1730" s="55">
        <f>H1730*I1730</f>
        <v>300</v>
      </c>
      <c r="K1730" s="597">
        <v>1.33</v>
      </c>
      <c r="L1730" s="598">
        <f>K1730*J1730</f>
        <v>399</v>
      </c>
      <c r="M1730" s="97" t="s">
        <v>224</v>
      </c>
      <c r="N1730" s="33">
        <v>45440</v>
      </c>
      <c r="O1730" s="32">
        <v>6157</v>
      </c>
      <c r="P1730" s="83">
        <v>97</v>
      </c>
      <c r="Q1730" s="83">
        <f>P1730*J1730</f>
        <v>29100</v>
      </c>
      <c r="S1730" s="7">
        <f t="shared" si="188"/>
        <v>97</v>
      </c>
      <c r="T1730" s="1318">
        <f t="shared" si="189"/>
        <v>29100</v>
      </c>
      <c r="U1730" s="83">
        <v>125</v>
      </c>
      <c r="V1730" s="1560">
        <f t="shared" si="190"/>
        <v>0.41654135338345866</v>
      </c>
    </row>
    <row r="1731" spans="3:22" ht="18" customHeight="1">
      <c r="C1731" s="6" t="s">
        <v>4451</v>
      </c>
      <c r="D1731" s="13" t="s">
        <v>1812</v>
      </c>
      <c r="E1731" s="21"/>
      <c r="F1731" s="38"/>
      <c r="G1731" s="38" t="s">
        <v>4430</v>
      </c>
      <c r="H1731" s="39"/>
      <c r="I1731" s="94"/>
      <c r="J1731" s="39">
        <v>1</v>
      </c>
      <c r="K1731" s="611">
        <v>270</v>
      </c>
      <c r="L1731" s="598">
        <f>K1731*J1731</f>
        <v>270</v>
      </c>
      <c r="M1731" s="33"/>
      <c r="N1731" s="33">
        <v>45440</v>
      </c>
      <c r="O1731" s="32">
        <v>6157</v>
      </c>
      <c r="P1731" s="83">
        <v>27000</v>
      </c>
      <c r="Q1731" s="83">
        <f>P1731*J1731</f>
        <v>27000</v>
      </c>
      <c r="S1731" s="7">
        <f>P1731</f>
        <v>27000</v>
      </c>
      <c r="T1731" s="1318">
        <f>Q1731</f>
        <v>27000</v>
      </c>
      <c r="U1731" s="83">
        <v>125</v>
      </c>
      <c r="V1731" s="1560">
        <f>(((K1731*U1731)-P1731)/(K1731*U1731))</f>
        <v>0.2</v>
      </c>
    </row>
    <row r="1732" spans="3:22" s="7" customFormat="1" ht="18" customHeight="1">
      <c r="C1732" s="6" t="s">
        <v>4451</v>
      </c>
      <c r="D1732" s="13" t="s">
        <v>1812</v>
      </c>
      <c r="E1732" s="21">
        <v>4141</v>
      </c>
      <c r="F1732" s="596">
        <v>9</v>
      </c>
      <c r="G1732" s="21" t="s">
        <v>4255</v>
      </c>
      <c r="H1732" s="93">
        <v>20</v>
      </c>
      <c r="I1732" s="94">
        <v>5</v>
      </c>
      <c r="J1732" s="55">
        <f>H1732*I1732</f>
        <v>100</v>
      </c>
      <c r="K1732" s="597">
        <v>1.33</v>
      </c>
      <c r="L1732" s="598">
        <f>K1732*J1732</f>
        <v>133</v>
      </c>
      <c r="M1732" s="97" t="s">
        <v>224</v>
      </c>
      <c r="N1732" s="33">
        <v>45408</v>
      </c>
      <c r="O1732" s="32">
        <v>6106</v>
      </c>
      <c r="P1732" s="83">
        <v>97</v>
      </c>
      <c r="Q1732" s="83">
        <f>P1732*J1732</f>
        <v>9700</v>
      </c>
      <c r="S1732" s="7">
        <f t="shared" si="188"/>
        <v>97</v>
      </c>
      <c r="T1732" s="1318">
        <f t="shared" si="189"/>
        <v>9700</v>
      </c>
      <c r="U1732" s="83">
        <v>125</v>
      </c>
      <c r="V1732" s="1560">
        <f t="shared" si="190"/>
        <v>0.41654135338345866</v>
      </c>
    </row>
    <row r="1733" spans="3:22" s="7" customFormat="1" ht="18" customHeight="1">
      <c r="C1733" s="6" t="s">
        <v>4451</v>
      </c>
      <c r="D1733" s="13" t="s">
        <v>1812</v>
      </c>
      <c r="E1733" s="21">
        <v>4141</v>
      </c>
      <c r="F1733" s="596">
        <v>6</v>
      </c>
      <c r="G1733" s="21" t="s">
        <v>4255</v>
      </c>
      <c r="H1733" s="93">
        <v>20</v>
      </c>
      <c r="I1733" s="94">
        <v>10</v>
      </c>
      <c r="J1733" s="55">
        <f>H1733*I1733</f>
        <v>200</v>
      </c>
      <c r="K1733" s="597">
        <v>1.2</v>
      </c>
      <c r="L1733" s="598">
        <f>K1733*J1733</f>
        <v>240</v>
      </c>
      <c r="M1733" s="97" t="s">
        <v>224</v>
      </c>
      <c r="N1733" s="33">
        <v>45408</v>
      </c>
      <c r="O1733" s="32">
        <v>6106</v>
      </c>
      <c r="P1733" s="83">
        <v>87</v>
      </c>
      <c r="Q1733" s="83">
        <f>P1733*J1733</f>
        <v>17400</v>
      </c>
      <c r="S1733" s="7">
        <f t="shared" si="188"/>
        <v>87</v>
      </c>
      <c r="T1733" s="1318">
        <f t="shared" si="189"/>
        <v>17400</v>
      </c>
      <c r="U1733" s="83">
        <v>125</v>
      </c>
      <c r="V1733" s="1560">
        <f t="shared" si="190"/>
        <v>0.42</v>
      </c>
    </row>
    <row r="1734" spans="3:22" ht="18.600000000000001" customHeight="1">
      <c r="C1734" s="6" t="s">
        <v>4451</v>
      </c>
      <c r="D1734" s="13" t="s">
        <v>1812</v>
      </c>
      <c r="E1734" s="21"/>
      <c r="F1734" s="38"/>
      <c r="G1734" s="38" t="s">
        <v>218</v>
      </c>
      <c r="H1734" s="39"/>
      <c r="I1734" s="94"/>
      <c r="J1734" s="39">
        <v>1</v>
      </c>
      <c r="K1734" s="611">
        <v>12</v>
      </c>
      <c r="L1734" s="598">
        <f>K1734*J1734</f>
        <v>12</v>
      </c>
      <c r="M1734" s="898"/>
      <c r="N1734" s="33">
        <v>45408</v>
      </c>
      <c r="O1734" s="32">
        <v>6106</v>
      </c>
      <c r="P1734" s="83">
        <v>1100</v>
      </c>
      <c r="Q1734" s="83">
        <f>P1734*J1734</f>
        <v>1100</v>
      </c>
      <c r="S1734" s="7">
        <f t="shared" si="188"/>
        <v>1100</v>
      </c>
      <c r="T1734" s="1318">
        <f t="shared" si="189"/>
        <v>1100</v>
      </c>
      <c r="U1734" s="83">
        <v>125</v>
      </c>
      <c r="V1734" s="1560">
        <f t="shared" si="190"/>
        <v>0.26666666666666666</v>
      </c>
    </row>
    <row r="1735" spans="3:22" s="159" customFormat="1" ht="18" customHeight="1">
      <c r="C1735" s="149" t="s">
        <v>4451</v>
      </c>
      <c r="D1735" s="150" t="s">
        <v>1812</v>
      </c>
      <c r="E1735" s="191"/>
      <c r="F1735" s="152"/>
      <c r="G1735" s="152" t="s">
        <v>168</v>
      </c>
      <c r="H1735" s="154" t="s">
        <v>169</v>
      </c>
      <c r="I1735" s="155"/>
      <c r="J1735" s="153"/>
      <c r="K1735" s="600">
        <v>0</v>
      </c>
      <c r="L1735" s="601"/>
      <c r="M1735" s="601"/>
      <c r="N1735" s="157">
        <v>45408</v>
      </c>
      <c r="O1735" s="156">
        <v>6106</v>
      </c>
      <c r="P1735" s="179"/>
      <c r="Q1735" s="179"/>
      <c r="S1735" s="179"/>
      <c r="T1735" s="179"/>
      <c r="U1735" s="83">
        <v>125</v>
      </c>
      <c r="V1735" s="1560" t="e">
        <f t="shared" si="190"/>
        <v>#DIV/0!</v>
      </c>
    </row>
    <row r="1736" spans="3:22" s="7" customFormat="1" ht="18" customHeight="1">
      <c r="C1736" s="6" t="s">
        <v>4459</v>
      </c>
      <c r="D1736" s="13" t="s">
        <v>2277</v>
      </c>
      <c r="E1736" s="18" t="s">
        <v>19</v>
      </c>
      <c r="F1736" s="23"/>
      <c r="G1736" s="21"/>
      <c r="H1736" s="55"/>
      <c r="I1736" s="56"/>
      <c r="J1736" s="55"/>
      <c r="K1736" s="15" t="s">
        <v>8</v>
      </c>
      <c r="L1736" s="688"/>
      <c r="M1736" s="688"/>
      <c r="N1736" s="33">
        <v>45432</v>
      </c>
      <c r="O1736" s="32">
        <v>6138</v>
      </c>
      <c r="P1736" s="83"/>
      <c r="Q1736" s="83"/>
      <c r="S1736" s="7">
        <f t="shared" ref="S1736:S1741" si="191">P1736</f>
        <v>0</v>
      </c>
      <c r="T1736" s="1318">
        <f t="shared" ref="T1736:T1741" si="192">Q1736</f>
        <v>0</v>
      </c>
      <c r="U1736" s="83">
        <v>125</v>
      </c>
      <c r="V1736" s="1560" t="e">
        <f t="shared" si="190"/>
        <v>#VALUE!</v>
      </c>
    </row>
    <row r="1737" spans="3:22" s="7" customFormat="1" ht="18" customHeight="1">
      <c r="C1737" s="6" t="s">
        <v>4460</v>
      </c>
      <c r="D1737" s="13" t="s">
        <v>2277</v>
      </c>
      <c r="E1737" s="740" t="s">
        <v>3857</v>
      </c>
      <c r="F1737" s="23"/>
      <c r="G1737" s="21" t="s">
        <v>25</v>
      </c>
      <c r="H1737" s="93"/>
      <c r="I1737" s="94"/>
      <c r="J1737" s="163">
        <v>50</v>
      </c>
      <c r="K1737" s="597">
        <v>1.17</v>
      </c>
      <c r="L1737" s="598">
        <f>K1737*J1737</f>
        <v>58.5</v>
      </c>
      <c r="M1737" s="97" t="s">
        <v>224</v>
      </c>
      <c r="N1737" s="33">
        <v>45432</v>
      </c>
      <c r="O1737" s="32">
        <v>6138</v>
      </c>
      <c r="P1737" s="83">
        <v>77</v>
      </c>
      <c r="Q1737" s="83">
        <f>P1737*J1737</f>
        <v>3850</v>
      </c>
      <c r="R1737" s="7" t="s">
        <v>265</v>
      </c>
      <c r="S1737" s="7">
        <f t="shared" si="191"/>
        <v>77</v>
      </c>
      <c r="T1737" s="1318">
        <f t="shared" si="192"/>
        <v>3850</v>
      </c>
      <c r="U1737" s="83">
        <v>125</v>
      </c>
      <c r="V1737" s="1560">
        <f t="shared" si="190"/>
        <v>0.47350427350427349</v>
      </c>
    </row>
    <row r="1738" spans="3:22" s="7" customFormat="1" ht="18" customHeight="1">
      <c r="C1738" s="6" t="s">
        <v>4458</v>
      </c>
      <c r="D1738" s="13" t="s">
        <v>2277</v>
      </c>
      <c r="E1738" s="740" t="s">
        <v>4461</v>
      </c>
      <c r="F1738" s="23"/>
      <c r="G1738" s="21" t="s">
        <v>25</v>
      </c>
      <c r="H1738" s="93"/>
      <c r="I1738" s="94"/>
      <c r="J1738" s="163">
        <v>50</v>
      </c>
      <c r="K1738" s="597">
        <v>1.21</v>
      </c>
      <c r="L1738" s="598">
        <f>K1738*J1738</f>
        <v>60.5</v>
      </c>
      <c r="M1738" s="97" t="s">
        <v>224</v>
      </c>
      <c r="N1738" s="33">
        <v>45432</v>
      </c>
      <c r="O1738" s="32">
        <v>6139</v>
      </c>
      <c r="P1738" s="83">
        <v>83</v>
      </c>
      <c r="Q1738" s="83">
        <f>P1738*J1738</f>
        <v>4150</v>
      </c>
      <c r="R1738" s="7" t="s">
        <v>265</v>
      </c>
      <c r="S1738" s="7">
        <f>P1738</f>
        <v>83</v>
      </c>
      <c r="T1738" s="1318">
        <f>Q1738</f>
        <v>4150</v>
      </c>
      <c r="U1738" s="83">
        <v>125</v>
      </c>
      <c r="V1738" s="1560">
        <f>(((K1738*U1738)-P1738)/(K1738*U1738))</f>
        <v>0.45123966942148758</v>
      </c>
    </row>
    <row r="1739" spans="3:22" s="7" customFormat="1" ht="18" customHeight="1">
      <c r="C1739" s="6" t="s">
        <v>4460</v>
      </c>
      <c r="D1739" s="13" t="s">
        <v>2277</v>
      </c>
      <c r="E1739" s="740" t="s">
        <v>4461</v>
      </c>
      <c r="F1739" s="23"/>
      <c r="G1739" s="21" t="s">
        <v>25</v>
      </c>
      <c r="H1739" s="93"/>
      <c r="I1739" s="94"/>
      <c r="J1739" s="163">
        <v>150</v>
      </c>
      <c r="K1739" s="597">
        <v>1.21</v>
      </c>
      <c r="L1739" s="598">
        <f>K1739*J1739</f>
        <v>181.5</v>
      </c>
      <c r="M1739" s="97" t="s">
        <v>224</v>
      </c>
      <c r="N1739" s="33">
        <v>45432</v>
      </c>
      <c r="O1739" s="32">
        <v>6138</v>
      </c>
      <c r="P1739" s="83">
        <v>83</v>
      </c>
      <c r="Q1739" s="83">
        <f>P1739*J1739</f>
        <v>12450</v>
      </c>
      <c r="R1739" s="7" t="s">
        <v>265</v>
      </c>
      <c r="S1739" s="7">
        <f>P1739</f>
        <v>83</v>
      </c>
      <c r="T1739" s="1318">
        <f>Q1739</f>
        <v>12450</v>
      </c>
      <c r="U1739" s="83">
        <v>125</v>
      </c>
      <c r="V1739" s="1560">
        <f>(((K1739*U1739)-P1739)/(K1739*U1739))</f>
        <v>0.45123966942148758</v>
      </c>
    </row>
    <row r="1740" spans="3:22" ht="18" customHeight="1">
      <c r="C1740" s="6" t="s">
        <v>4460</v>
      </c>
      <c r="D1740" s="13" t="s">
        <v>2277</v>
      </c>
      <c r="E1740" s="21"/>
      <c r="F1740" s="38"/>
      <c r="G1740" s="38" t="s">
        <v>218</v>
      </c>
      <c r="H1740" s="39"/>
      <c r="I1740" s="94"/>
      <c r="J1740" s="39">
        <v>1</v>
      </c>
      <c r="K1740" s="611">
        <v>12</v>
      </c>
      <c r="L1740" s="598">
        <f>K1740*J1740</f>
        <v>12</v>
      </c>
      <c r="M1740" s="898"/>
      <c r="N1740" s="33">
        <v>45432</v>
      </c>
      <c r="O1740" s="32">
        <v>6138</v>
      </c>
      <c r="P1740" s="83">
        <v>0</v>
      </c>
      <c r="Q1740" s="83">
        <f>P1740*J1740</f>
        <v>0</v>
      </c>
      <c r="S1740" s="7">
        <f t="shared" si="191"/>
        <v>0</v>
      </c>
      <c r="T1740" s="1318">
        <f t="shared" si="192"/>
        <v>0</v>
      </c>
      <c r="U1740" s="83">
        <v>125</v>
      </c>
      <c r="V1740" s="1560">
        <f t="shared" si="190"/>
        <v>1</v>
      </c>
    </row>
    <row r="1741" spans="3:22" s="159" customFormat="1" ht="18" customHeight="1">
      <c r="C1741" s="149" t="s">
        <v>4460</v>
      </c>
      <c r="D1741" s="150" t="s">
        <v>2277</v>
      </c>
      <c r="E1741" s="191"/>
      <c r="F1741" s="152"/>
      <c r="G1741" s="152" t="s">
        <v>168</v>
      </c>
      <c r="H1741" s="154" t="s">
        <v>169</v>
      </c>
      <c r="I1741" s="155"/>
      <c r="J1741" s="153"/>
      <c r="K1741" s="600">
        <v>0</v>
      </c>
      <c r="L1741" s="601"/>
      <c r="M1741" s="601"/>
      <c r="N1741" s="157"/>
      <c r="O1741" s="156"/>
      <c r="P1741" s="164">
        <v>0</v>
      </c>
      <c r="Q1741" s="165">
        <v>0</v>
      </c>
      <c r="S1741" s="7">
        <f t="shared" si="191"/>
        <v>0</v>
      </c>
      <c r="T1741" s="1318">
        <f t="shared" si="192"/>
        <v>0</v>
      </c>
      <c r="U1741" s="83">
        <v>125</v>
      </c>
      <c r="V1741" s="1560" t="e">
        <f t="shared" si="190"/>
        <v>#DIV/0!</v>
      </c>
    </row>
    <row r="1742" spans="3:22" s="7" customFormat="1" ht="15">
      <c r="C1742" s="6" t="s">
        <v>4477</v>
      </c>
      <c r="D1742" s="13" t="s">
        <v>2244</v>
      </c>
      <c r="E1742" s="18" t="s">
        <v>4478</v>
      </c>
      <c r="F1742" s="23"/>
      <c r="G1742" s="21"/>
      <c r="H1742" s="55"/>
      <c r="I1742" s="56"/>
      <c r="J1742" s="55"/>
      <c r="K1742" s="15" t="s">
        <v>8</v>
      </c>
      <c r="L1742" s="10"/>
      <c r="M1742" s="10"/>
      <c r="N1742" s="33">
        <v>45446</v>
      </c>
      <c r="O1742" s="32">
        <v>6167</v>
      </c>
      <c r="P1742" s="100"/>
      <c r="Q1742" s="100"/>
      <c r="T1742" s="1301"/>
      <c r="U1742" s="6" t="s">
        <v>3</v>
      </c>
    </row>
    <row r="1743" spans="3:22" s="7" customFormat="1" ht="15.75" customHeight="1">
      <c r="C1743" s="6" t="s">
        <v>4477</v>
      </c>
      <c r="D1743" s="13" t="s">
        <v>2244</v>
      </c>
      <c r="E1743" s="21" t="s">
        <v>4479</v>
      </c>
      <c r="F1743" s="13"/>
      <c r="G1743" s="21" t="s">
        <v>25</v>
      </c>
      <c r="H1743" s="93">
        <v>13.7</v>
      </c>
      <c r="I1743" s="94">
        <v>1</v>
      </c>
      <c r="J1743" s="107">
        <f>H1743*I1743</f>
        <v>13.7</v>
      </c>
      <c r="K1743" s="611">
        <v>5.6</v>
      </c>
      <c r="L1743" s="598">
        <f>K1743*J1743</f>
        <v>76.719999999999985</v>
      </c>
      <c r="M1743" s="97" t="s">
        <v>224</v>
      </c>
      <c r="N1743" s="33">
        <v>45446</v>
      </c>
      <c r="O1743" s="32">
        <v>6167</v>
      </c>
      <c r="P1743" s="83">
        <v>470</v>
      </c>
      <c r="Q1743" s="83">
        <f>P1743*J1743</f>
        <v>6439</v>
      </c>
      <c r="R1743" s="7" t="s">
        <v>265</v>
      </c>
      <c r="S1743" s="7">
        <f t="shared" ref="S1743:S1750" si="193">P1743</f>
        <v>470</v>
      </c>
      <c r="T1743" s="1318">
        <f t="shared" ref="T1743:T1750" si="194">Q1743</f>
        <v>6439</v>
      </c>
      <c r="U1743" s="83">
        <v>125</v>
      </c>
      <c r="V1743" s="1560">
        <f>(((K1743*U1743)-P1743)/(K1743*U1743))</f>
        <v>0.32857142857142857</v>
      </c>
    </row>
    <row r="1744" spans="3:22" ht="18" customHeight="1">
      <c r="C1744" s="6" t="s">
        <v>4477</v>
      </c>
      <c r="D1744" s="13" t="s">
        <v>2244</v>
      </c>
      <c r="E1744" s="21"/>
      <c r="F1744" s="38"/>
      <c r="G1744" s="38" t="s">
        <v>218</v>
      </c>
      <c r="H1744" s="39"/>
      <c r="I1744" s="94"/>
      <c r="J1744" s="39">
        <v>1</v>
      </c>
      <c r="K1744" s="611">
        <v>12</v>
      </c>
      <c r="L1744" s="598">
        <f>K1744*J1744</f>
        <v>12</v>
      </c>
      <c r="M1744" s="898"/>
      <c r="N1744" s="33">
        <v>45446</v>
      </c>
      <c r="O1744" s="32">
        <v>6167</v>
      </c>
      <c r="P1744" s="83">
        <v>900</v>
      </c>
      <c r="Q1744" s="83">
        <f>P1744*J1744</f>
        <v>900</v>
      </c>
      <c r="R1744" s="700"/>
      <c r="S1744" s="1594">
        <f t="shared" si="193"/>
        <v>900</v>
      </c>
      <c r="T1744" s="1757">
        <f t="shared" si="194"/>
        <v>900</v>
      </c>
      <c r="U1744" s="83">
        <v>125</v>
      </c>
      <c r="V1744" s="1560">
        <f>(((K1744*U1744)-P1744)/(K1744*U1744))</f>
        <v>0.4</v>
      </c>
    </row>
    <row r="1745" spans="3:22" s="159" customFormat="1" ht="18" customHeight="1">
      <c r="C1745" s="149" t="s">
        <v>4477</v>
      </c>
      <c r="D1745" s="150" t="s">
        <v>2244</v>
      </c>
      <c r="E1745" s="191"/>
      <c r="F1745" s="152"/>
      <c r="G1745" s="152" t="s">
        <v>168</v>
      </c>
      <c r="H1745" s="154" t="s">
        <v>169</v>
      </c>
      <c r="I1745" s="155"/>
      <c r="J1745" s="153"/>
      <c r="K1745" s="600">
        <v>0</v>
      </c>
      <c r="L1745" s="601"/>
      <c r="M1745" s="601"/>
      <c r="N1745" s="157">
        <v>45446</v>
      </c>
      <c r="O1745" s="156">
        <v>6167</v>
      </c>
      <c r="P1745" s="164">
        <v>0</v>
      </c>
      <c r="Q1745" s="165">
        <v>0</v>
      </c>
      <c r="S1745" s="7">
        <f t="shared" si="193"/>
        <v>0</v>
      </c>
      <c r="T1745" s="1318">
        <f t="shared" si="194"/>
        <v>0</v>
      </c>
      <c r="U1745" s="83">
        <v>125</v>
      </c>
      <c r="V1745" s="1560" t="e">
        <f>(((K1745*U1745)-P1745)/(K1745*U1745))</f>
        <v>#DIV/0!</v>
      </c>
    </row>
    <row r="1746" spans="3:22" s="7" customFormat="1" ht="18" customHeight="1">
      <c r="C1746" s="6" t="s">
        <v>4480</v>
      </c>
      <c r="D1746" s="13" t="s">
        <v>2277</v>
      </c>
      <c r="E1746" s="18" t="s">
        <v>19</v>
      </c>
      <c r="F1746" s="23"/>
      <c r="G1746" s="21"/>
      <c r="H1746" s="55"/>
      <c r="I1746" s="56"/>
      <c r="J1746" s="55"/>
      <c r="K1746" s="15" t="s">
        <v>8</v>
      </c>
      <c r="L1746" s="688"/>
      <c r="M1746" s="688"/>
      <c r="N1746" s="33">
        <v>45462</v>
      </c>
      <c r="O1746" s="32">
        <v>6237</v>
      </c>
      <c r="P1746" s="83"/>
      <c r="Q1746" s="83"/>
      <c r="S1746" s="7">
        <f t="shared" si="193"/>
        <v>0</v>
      </c>
      <c r="T1746" s="1318">
        <f t="shared" si="194"/>
        <v>0</v>
      </c>
      <c r="U1746" s="83">
        <v>125</v>
      </c>
    </row>
    <row r="1747" spans="3:22" s="7" customFormat="1" ht="18" customHeight="1">
      <c r="C1747" s="6" t="s">
        <v>4480</v>
      </c>
      <c r="D1747" s="13" t="s">
        <v>2277</v>
      </c>
      <c r="E1747" s="740" t="s">
        <v>2761</v>
      </c>
      <c r="F1747" s="23"/>
      <c r="G1747" s="21" t="s">
        <v>25</v>
      </c>
      <c r="H1747" s="93">
        <v>12.7</v>
      </c>
      <c r="I1747" s="94">
        <v>2</v>
      </c>
      <c r="J1747" s="108">
        <f>H1747*I1747</f>
        <v>25.4</v>
      </c>
      <c r="K1747" s="597">
        <v>9.82</v>
      </c>
      <c r="L1747" s="598">
        <f>K1747*J1747</f>
        <v>249.428</v>
      </c>
      <c r="M1747" s="97" t="s">
        <v>224</v>
      </c>
      <c r="N1747" s="33">
        <v>45462</v>
      </c>
      <c r="O1747" s="32">
        <v>6237</v>
      </c>
      <c r="P1747" s="83">
        <v>870</v>
      </c>
      <c r="Q1747" s="83">
        <f>P1747*J1747</f>
        <v>22098</v>
      </c>
      <c r="S1747" s="7">
        <f t="shared" si="193"/>
        <v>870</v>
      </c>
      <c r="T1747" s="1318">
        <f t="shared" si="194"/>
        <v>22098</v>
      </c>
      <c r="U1747" s="83">
        <v>125</v>
      </c>
      <c r="V1747" s="1560">
        <f>(((K1747*U1747)-P1747)/(K1747*U1747))</f>
        <v>0.29124236252545826</v>
      </c>
    </row>
    <row r="1748" spans="3:22" ht="18" customHeight="1">
      <c r="C1748" s="6" t="s">
        <v>4480</v>
      </c>
      <c r="D1748" s="13" t="s">
        <v>2277</v>
      </c>
      <c r="E1748" s="21"/>
      <c r="F1748" s="38"/>
      <c r="G1748" s="38" t="s">
        <v>218</v>
      </c>
      <c r="H1748" s="39"/>
      <c r="I1748" s="94"/>
      <c r="J1748" s="39">
        <v>1</v>
      </c>
      <c r="K1748" s="611">
        <v>12</v>
      </c>
      <c r="L1748" s="598">
        <f>K1748*J1748</f>
        <v>12</v>
      </c>
      <c r="M1748" s="898"/>
      <c r="N1748" s="33">
        <v>45462</v>
      </c>
      <c r="O1748" s="32">
        <v>6237</v>
      </c>
      <c r="P1748" s="83">
        <v>0</v>
      </c>
      <c r="Q1748" s="83">
        <v>0</v>
      </c>
      <c r="S1748" s="7">
        <f>P1748</f>
        <v>0</v>
      </c>
      <c r="T1748" s="1318">
        <f>Q1748</f>
        <v>0</v>
      </c>
      <c r="U1748" s="83">
        <v>125</v>
      </c>
    </row>
    <row r="1749" spans="3:22" s="7" customFormat="1" ht="18" customHeight="1">
      <c r="C1749" s="6" t="s">
        <v>4480</v>
      </c>
      <c r="D1749" s="13" t="s">
        <v>2277</v>
      </c>
      <c r="E1749" s="740" t="s">
        <v>2761</v>
      </c>
      <c r="F1749" s="23"/>
      <c r="G1749" s="21" t="s">
        <v>25</v>
      </c>
      <c r="H1749" s="93">
        <v>0.7</v>
      </c>
      <c r="I1749" s="94">
        <v>2</v>
      </c>
      <c r="J1749" s="108">
        <f>H1749*I1749</f>
        <v>1.4</v>
      </c>
      <c r="K1749" s="597">
        <v>9.82</v>
      </c>
      <c r="L1749" s="598">
        <v>0</v>
      </c>
      <c r="M1749" s="97" t="s">
        <v>224</v>
      </c>
      <c r="N1749" s="33">
        <v>45462</v>
      </c>
      <c r="O1749" s="1741" t="s">
        <v>4509</v>
      </c>
      <c r="P1749" s="83">
        <v>870</v>
      </c>
      <c r="Q1749" s="83">
        <f>P1749*J1749</f>
        <v>1218</v>
      </c>
      <c r="S1749" s="7">
        <f>P1749</f>
        <v>870</v>
      </c>
      <c r="T1749" s="1318">
        <f>Q1749</f>
        <v>1218</v>
      </c>
      <c r="U1749" s="83">
        <v>125</v>
      </c>
      <c r="V1749" s="1560">
        <f>(((K1749*U1749)-P1749)/(K1749*U1749))</f>
        <v>0.29124236252545826</v>
      </c>
    </row>
    <row r="1750" spans="3:22" s="159" customFormat="1" ht="18" customHeight="1">
      <c r="C1750" s="149" t="s">
        <v>4480</v>
      </c>
      <c r="D1750" s="150" t="s">
        <v>2277</v>
      </c>
      <c r="E1750" s="191"/>
      <c r="F1750" s="152"/>
      <c r="G1750" s="152" t="s">
        <v>168</v>
      </c>
      <c r="H1750" s="154" t="s">
        <v>169</v>
      </c>
      <c r="I1750" s="155"/>
      <c r="J1750" s="153"/>
      <c r="K1750" s="600">
        <v>0</v>
      </c>
      <c r="L1750" s="601"/>
      <c r="M1750" s="601"/>
      <c r="N1750" s="157">
        <v>45462</v>
      </c>
      <c r="O1750" s="156">
        <v>6237</v>
      </c>
      <c r="P1750" s="164">
        <v>0</v>
      </c>
      <c r="Q1750" s="165">
        <v>0</v>
      </c>
      <c r="S1750" s="7">
        <f t="shared" si="193"/>
        <v>0</v>
      </c>
      <c r="T1750" s="1318">
        <f t="shared" si="194"/>
        <v>0</v>
      </c>
      <c r="U1750" s="83">
        <v>125</v>
      </c>
    </row>
    <row r="1751" spans="3:22" s="7" customFormat="1" ht="15">
      <c r="C1751" s="6" t="s">
        <v>4487</v>
      </c>
      <c r="D1751" s="13" t="s">
        <v>2244</v>
      </c>
      <c r="E1751" s="18" t="s">
        <v>2181</v>
      </c>
      <c r="F1751" s="23"/>
      <c r="G1751" s="21"/>
      <c r="H1751" s="55"/>
      <c r="I1751" s="56"/>
      <c r="J1751" s="55"/>
      <c r="K1751" s="15" t="s">
        <v>8</v>
      </c>
      <c r="L1751" s="10"/>
      <c r="M1751" s="10"/>
      <c r="N1751" s="33">
        <v>45448</v>
      </c>
      <c r="O1751" s="32">
        <v>6192</v>
      </c>
      <c r="P1751" s="100"/>
      <c r="Q1751" s="100"/>
      <c r="T1751" s="1301"/>
      <c r="U1751" s="6" t="s">
        <v>3</v>
      </c>
    </row>
    <row r="1752" spans="3:22" s="7" customFormat="1" ht="15.75" customHeight="1">
      <c r="C1752" s="6" t="s">
        <v>4487</v>
      </c>
      <c r="D1752" s="13" t="s">
        <v>2244</v>
      </c>
      <c r="E1752" s="21" t="s">
        <v>4484</v>
      </c>
      <c r="F1752" s="13"/>
      <c r="G1752" s="21" t="s">
        <v>25</v>
      </c>
      <c r="H1752" s="93"/>
      <c r="I1752" s="94"/>
      <c r="J1752" s="8">
        <v>5</v>
      </c>
      <c r="K1752" s="611">
        <v>2.74</v>
      </c>
      <c r="L1752" s="598">
        <f>K1752*J1752</f>
        <v>13.700000000000001</v>
      </c>
      <c r="M1752" s="97" t="s">
        <v>224</v>
      </c>
      <c r="N1752" s="33">
        <v>45448</v>
      </c>
      <c r="O1752" s="32">
        <v>6192</v>
      </c>
      <c r="P1752" s="83">
        <v>230</v>
      </c>
      <c r="Q1752" s="83">
        <f>P1752*J1752</f>
        <v>1150</v>
      </c>
      <c r="R1752" s="7" t="s">
        <v>265</v>
      </c>
      <c r="S1752" s="7">
        <f t="shared" ref="S1752:T1755" si="195">P1752</f>
        <v>230</v>
      </c>
      <c r="T1752" s="1318">
        <f t="shared" si="195"/>
        <v>1150</v>
      </c>
      <c r="U1752" s="83">
        <v>125</v>
      </c>
      <c r="V1752" s="1560">
        <f>(((K1752*U1752)-P1752)/(K1752*U1752))</f>
        <v>0.32846715328467152</v>
      </c>
    </row>
    <row r="1753" spans="3:22" s="7" customFormat="1" ht="15.75" customHeight="1">
      <c r="C1753" s="6" t="s">
        <v>4487</v>
      </c>
      <c r="D1753" s="13" t="s">
        <v>2244</v>
      </c>
      <c r="E1753" s="21" t="s">
        <v>4485</v>
      </c>
      <c r="F1753" s="13"/>
      <c r="G1753" s="21" t="s">
        <v>25</v>
      </c>
      <c r="H1753" s="93"/>
      <c r="I1753" s="94"/>
      <c r="J1753" s="8">
        <v>5</v>
      </c>
      <c r="K1753" s="611">
        <v>2.2400000000000002</v>
      </c>
      <c r="L1753" s="598">
        <f>K1753*J1753</f>
        <v>11.200000000000001</v>
      </c>
      <c r="M1753" s="97" t="s">
        <v>224</v>
      </c>
      <c r="N1753" s="33">
        <v>45448</v>
      </c>
      <c r="O1753" s="32">
        <v>6192</v>
      </c>
      <c r="P1753" s="83">
        <v>188</v>
      </c>
      <c r="Q1753" s="83">
        <f>P1753*J1753</f>
        <v>940</v>
      </c>
      <c r="R1753" s="7" t="s">
        <v>265</v>
      </c>
      <c r="S1753" s="7">
        <f t="shared" si="195"/>
        <v>188</v>
      </c>
      <c r="T1753" s="1318">
        <f t="shared" si="195"/>
        <v>940</v>
      </c>
      <c r="U1753" s="83">
        <v>125</v>
      </c>
      <c r="V1753" s="1560">
        <f>(((K1753*U1753)-P1753)/(K1753*U1753))</f>
        <v>0.32857142857142857</v>
      </c>
    </row>
    <row r="1754" spans="3:22" ht="18" customHeight="1">
      <c r="C1754" s="6" t="s">
        <v>4487</v>
      </c>
      <c r="D1754" s="13" t="s">
        <v>2244</v>
      </c>
      <c r="E1754" s="21"/>
      <c r="F1754" s="38"/>
      <c r="G1754" s="38" t="s">
        <v>218</v>
      </c>
      <c r="H1754" s="39"/>
      <c r="I1754" s="94"/>
      <c r="J1754" s="39">
        <v>1</v>
      </c>
      <c r="K1754" s="611">
        <v>12</v>
      </c>
      <c r="L1754" s="598">
        <f>K1754*J1754</f>
        <v>12</v>
      </c>
      <c r="M1754" s="898"/>
      <c r="N1754" s="33">
        <v>45448</v>
      </c>
      <c r="O1754" s="32">
        <v>6192</v>
      </c>
      <c r="P1754" s="83">
        <v>0</v>
      </c>
      <c r="Q1754" s="83">
        <f>P1754*J1754</f>
        <v>0</v>
      </c>
      <c r="S1754" s="7">
        <f t="shared" si="195"/>
        <v>0</v>
      </c>
      <c r="T1754" s="1318">
        <f t="shared" si="195"/>
        <v>0</v>
      </c>
      <c r="U1754" s="83">
        <v>125</v>
      </c>
      <c r="V1754" s="1560">
        <f>(((K1754*U1754)-P1754)/(K1754*U1754))</f>
        <v>1</v>
      </c>
    </row>
    <row r="1755" spans="3:22" s="159" customFormat="1" ht="18" customHeight="1">
      <c r="C1755" s="149" t="s">
        <v>4487</v>
      </c>
      <c r="D1755" s="150" t="s">
        <v>2244</v>
      </c>
      <c r="E1755" s="191"/>
      <c r="F1755" s="152"/>
      <c r="G1755" s="152" t="s">
        <v>168</v>
      </c>
      <c r="H1755" s="154" t="s">
        <v>169</v>
      </c>
      <c r="I1755" s="155"/>
      <c r="J1755" s="153"/>
      <c r="K1755" s="600">
        <v>0</v>
      </c>
      <c r="L1755" s="601"/>
      <c r="M1755" s="601"/>
      <c r="N1755" s="157">
        <v>45448</v>
      </c>
      <c r="O1755" s="156">
        <v>6192</v>
      </c>
      <c r="P1755" s="164">
        <v>0</v>
      </c>
      <c r="Q1755" s="165">
        <v>0</v>
      </c>
      <c r="S1755" s="7">
        <f t="shared" si="195"/>
        <v>0</v>
      </c>
      <c r="T1755" s="1318">
        <f t="shared" si="195"/>
        <v>0</v>
      </c>
      <c r="U1755" s="83">
        <v>125</v>
      </c>
      <c r="V1755" s="1560" t="e">
        <f>(((K1755*U1755)-P1755)/(K1755*U1755))</f>
        <v>#DIV/0!</v>
      </c>
    </row>
    <row r="1756" spans="3:22" s="7" customFormat="1" ht="15">
      <c r="C1756" s="6" t="s">
        <v>4506</v>
      </c>
      <c r="D1756" s="13" t="s">
        <v>2003</v>
      </c>
      <c r="E1756" s="18" t="s">
        <v>2181</v>
      </c>
      <c r="F1756" s="23"/>
      <c r="G1756" s="21"/>
      <c r="H1756" s="55"/>
      <c r="I1756" s="56"/>
      <c r="J1756" s="55"/>
      <c r="K1756" s="15" t="s">
        <v>8</v>
      </c>
      <c r="L1756" s="10"/>
      <c r="M1756" s="10"/>
      <c r="N1756" s="33">
        <v>45461</v>
      </c>
      <c r="O1756" s="32">
        <v>6233</v>
      </c>
      <c r="P1756" s="100"/>
      <c r="Q1756" s="100"/>
      <c r="T1756" s="1301"/>
      <c r="U1756" s="6" t="s">
        <v>3</v>
      </c>
    </row>
    <row r="1757" spans="3:22" s="7" customFormat="1" ht="15.75" customHeight="1">
      <c r="C1757" s="6" t="s">
        <v>4506</v>
      </c>
      <c r="D1757" s="13" t="s">
        <v>2003</v>
      </c>
      <c r="E1757" s="21" t="s">
        <v>4507</v>
      </c>
      <c r="F1757" s="13"/>
      <c r="G1757" s="21" t="s">
        <v>4508</v>
      </c>
      <c r="H1757" s="93"/>
      <c r="I1757" s="94"/>
      <c r="J1757" s="8">
        <v>10</v>
      </c>
      <c r="K1757" s="611">
        <v>2.92</v>
      </c>
      <c r="L1757" s="598">
        <f>K1757*J1757</f>
        <v>29.2</v>
      </c>
      <c r="M1757" s="97" t="s">
        <v>224</v>
      </c>
      <c r="N1757" s="33">
        <v>45461</v>
      </c>
      <c r="O1757" s="32">
        <v>6233</v>
      </c>
      <c r="P1757" s="83">
        <v>245</v>
      </c>
      <c r="Q1757" s="83">
        <f>P1757*J1757</f>
        <v>2450</v>
      </c>
      <c r="R1757" s="7" t="s">
        <v>265</v>
      </c>
      <c r="S1757" s="7">
        <f t="shared" ref="S1757:T1759" si="196">P1757</f>
        <v>245</v>
      </c>
      <c r="T1757" s="1318">
        <f t="shared" si="196"/>
        <v>2450</v>
      </c>
      <c r="U1757" s="83">
        <v>125</v>
      </c>
      <c r="V1757" s="1560">
        <f>(((K1757*U1757)-P1757)/(K1757*U1757))</f>
        <v>0.32876712328767121</v>
      </c>
    </row>
    <row r="1758" spans="3:22" ht="18" customHeight="1">
      <c r="C1758" s="6" t="s">
        <v>4506</v>
      </c>
      <c r="D1758" s="13" t="s">
        <v>2003</v>
      </c>
      <c r="E1758" s="21"/>
      <c r="F1758" s="38"/>
      <c r="G1758" s="38" t="s">
        <v>218</v>
      </c>
      <c r="H1758" s="39"/>
      <c r="I1758" s="94"/>
      <c r="J1758" s="39">
        <v>1</v>
      </c>
      <c r="K1758" s="611">
        <v>12</v>
      </c>
      <c r="L1758" s="598">
        <f>K1758*J1758</f>
        <v>12</v>
      </c>
      <c r="M1758" s="898"/>
      <c r="N1758" s="33">
        <v>45461</v>
      </c>
      <c r="O1758" s="32">
        <v>6233</v>
      </c>
      <c r="P1758" s="83">
        <v>800</v>
      </c>
      <c r="Q1758" s="83">
        <f>P1758*J1758</f>
        <v>800</v>
      </c>
      <c r="S1758" s="7">
        <f t="shared" si="196"/>
        <v>800</v>
      </c>
      <c r="T1758" s="1318">
        <f t="shared" si="196"/>
        <v>800</v>
      </c>
      <c r="U1758" s="83">
        <v>125</v>
      </c>
      <c r="V1758" s="1560">
        <f>(((K1758*U1758)-P1758)/(K1758*U1758))</f>
        <v>0.46666666666666667</v>
      </c>
    </row>
    <row r="1759" spans="3:22" s="159" customFormat="1" ht="17.25" customHeight="1">
      <c r="C1759" s="149" t="s">
        <v>4506</v>
      </c>
      <c r="D1759" s="150" t="s">
        <v>2003</v>
      </c>
      <c r="E1759" s="191"/>
      <c r="F1759" s="152"/>
      <c r="G1759" s="152" t="s">
        <v>168</v>
      </c>
      <c r="H1759" s="154" t="s">
        <v>4524</v>
      </c>
      <c r="I1759" s="155"/>
      <c r="J1759" s="153"/>
      <c r="K1759" s="911">
        <v>30</v>
      </c>
      <c r="L1759" s="911">
        <v>30</v>
      </c>
      <c r="M1759" s="601"/>
      <c r="N1759" s="157">
        <v>45461</v>
      </c>
      <c r="O1759" s="156">
        <v>6233</v>
      </c>
      <c r="P1759" s="179">
        <v>3649</v>
      </c>
      <c r="Q1759" s="179">
        <v>3649</v>
      </c>
      <c r="S1759" s="7">
        <f t="shared" si="196"/>
        <v>3649</v>
      </c>
      <c r="T1759" s="1318">
        <f t="shared" si="196"/>
        <v>3649</v>
      </c>
      <c r="U1759" s="83">
        <v>125</v>
      </c>
      <c r="V1759" s="1560">
        <f>(((K1759*U1759)-P1759)/(K1759*U1759))</f>
        <v>2.6933333333333333E-2</v>
      </c>
    </row>
    <row r="1760" spans="3:22" s="7" customFormat="1" ht="15">
      <c r="C1760" s="6" t="s">
        <v>4521</v>
      </c>
      <c r="D1760" s="13" t="s">
        <v>2003</v>
      </c>
      <c r="E1760" s="18" t="s">
        <v>27</v>
      </c>
      <c r="F1760" s="23"/>
      <c r="G1760" s="21"/>
      <c r="H1760" s="55"/>
      <c r="I1760" s="56"/>
      <c r="J1760" s="55"/>
      <c r="K1760" s="15" t="s">
        <v>8</v>
      </c>
      <c r="L1760" s="10"/>
      <c r="M1760" s="10"/>
      <c r="N1760" s="33">
        <v>45464</v>
      </c>
      <c r="O1760" s="1761" t="s">
        <v>4526</v>
      </c>
      <c r="P1760" s="100"/>
      <c r="Q1760" s="100"/>
      <c r="T1760" s="1301"/>
      <c r="U1760" s="6" t="s">
        <v>3</v>
      </c>
    </row>
    <row r="1761" spans="3:22" s="7" customFormat="1" ht="15.75" customHeight="1">
      <c r="C1761" s="6" t="s">
        <v>4521</v>
      </c>
      <c r="D1761" s="13" t="s">
        <v>2003</v>
      </c>
      <c r="E1761" s="21" t="s">
        <v>4522</v>
      </c>
      <c r="F1761" s="13"/>
      <c r="G1761" s="21" t="s">
        <v>4508</v>
      </c>
      <c r="H1761" s="93"/>
      <c r="I1761" s="94"/>
      <c r="J1761" s="8">
        <v>4</v>
      </c>
      <c r="K1761" s="611">
        <v>0.66</v>
      </c>
      <c r="L1761" s="598">
        <f>K1761*J1761</f>
        <v>2.64</v>
      </c>
      <c r="M1761" s="97" t="s">
        <v>224</v>
      </c>
      <c r="N1761" s="33">
        <v>45464</v>
      </c>
      <c r="O1761" s="1761" t="s">
        <v>4526</v>
      </c>
      <c r="P1761" s="83">
        <v>55</v>
      </c>
      <c r="Q1761" s="83">
        <f>P1761*J1761</f>
        <v>220</v>
      </c>
      <c r="R1761" s="7" t="s">
        <v>265</v>
      </c>
      <c r="S1761" s="7">
        <f t="shared" ref="S1761:T1764" si="197">P1761</f>
        <v>55</v>
      </c>
      <c r="T1761" s="1318">
        <f t="shared" si="197"/>
        <v>220</v>
      </c>
      <c r="U1761" s="83">
        <v>125</v>
      </c>
      <c r="V1761" s="1560">
        <f>(((K1761*U1761)-P1761)/(K1761*U1761))</f>
        <v>0.33333333333333331</v>
      </c>
    </row>
    <row r="1762" spans="3:22" s="7" customFormat="1" ht="15.75" customHeight="1">
      <c r="C1762" s="6" t="s">
        <v>4521</v>
      </c>
      <c r="D1762" s="13" t="s">
        <v>2003</v>
      </c>
      <c r="E1762" s="21" t="s">
        <v>4523</v>
      </c>
      <c r="F1762" s="13"/>
      <c r="G1762" s="21" t="s">
        <v>4508</v>
      </c>
      <c r="H1762" s="93"/>
      <c r="I1762" s="94"/>
      <c r="J1762" s="8">
        <v>4</v>
      </c>
      <c r="K1762" s="611">
        <v>0.72</v>
      </c>
      <c r="L1762" s="598">
        <f>K1762*J1762</f>
        <v>2.88</v>
      </c>
      <c r="M1762" s="97" t="s">
        <v>224</v>
      </c>
      <c r="N1762" s="33">
        <v>45464</v>
      </c>
      <c r="O1762" s="1761" t="s">
        <v>4526</v>
      </c>
      <c r="P1762" s="83">
        <v>60</v>
      </c>
      <c r="Q1762" s="83">
        <f>P1762*J1762</f>
        <v>240</v>
      </c>
      <c r="R1762" s="7" t="s">
        <v>265</v>
      </c>
      <c r="S1762" s="7">
        <f t="shared" si="197"/>
        <v>60</v>
      </c>
      <c r="T1762" s="1318">
        <f t="shared" si="197"/>
        <v>240</v>
      </c>
      <c r="U1762" s="83">
        <v>125</v>
      </c>
      <c r="V1762" s="1560">
        <f>(((K1762*U1762)-P1762)/(K1762*U1762))</f>
        <v>0.33333333333333331</v>
      </c>
    </row>
    <row r="1763" spans="3:22" ht="18" customHeight="1">
      <c r="C1763" s="6" t="s">
        <v>4521</v>
      </c>
      <c r="D1763" s="13" t="s">
        <v>2003</v>
      </c>
      <c r="E1763" s="21"/>
      <c r="F1763" s="38"/>
      <c r="G1763" s="38" t="s">
        <v>218</v>
      </c>
      <c r="H1763" s="39"/>
      <c r="I1763" s="94"/>
      <c r="J1763" s="39">
        <v>1</v>
      </c>
      <c r="K1763" s="611">
        <v>12</v>
      </c>
      <c r="L1763" s="598">
        <f>K1763*J1763</f>
        <v>12</v>
      </c>
      <c r="M1763" s="898"/>
      <c r="N1763" s="33">
        <v>45464</v>
      </c>
      <c r="O1763" s="1761" t="s">
        <v>4526</v>
      </c>
      <c r="P1763" s="83">
        <v>800</v>
      </c>
      <c r="Q1763" s="83">
        <f>P1763*J1763</f>
        <v>800</v>
      </c>
      <c r="S1763" s="7">
        <f t="shared" si="197"/>
        <v>800</v>
      </c>
      <c r="T1763" s="1318">
        <f t="shared" si="197"/>
        <v>800</v>
      </c>
      <c r="U1763" s="83">
        <v>125</v>
      </c>
      <c r="V1763" s="1560">
        <f>(((K1763*U1763)-P1763)/(K1763*U1763))</f>
        <v>0.46666666666666667</v>
      </c>
    </row>
    <row r="1764" spans="3:22" s="159" customFormat="1" ht="18" customHeight="1">
      <c r="C1764" s="149" t="s">
        <v>4521</v>
      </c>
      <c r="D1764" s="150" t="s">
        <v>2003</v>
      </c>
      <c r="E1764" s="191"/>
      <c r="F1764" s="152"/>
      <c r="G1764" s="152" t="s">
        <v>168</v>
      </c>
      <c r="H1764" s="154" t="s">
        <v>4524</v>
      </c>
      <c r="I1764" s="155"/>
      <c r="J1764" s="153"/>
      <c r="K1764" s="911" t="s">
        <v>3574</v>
      </c>
      <c r="L1764" s="911" t="s">
        <v>3574</v>
      </c>
      <c r="M1764" s="601"/>
      <c r="N1764" s="157">
        <v>45464</v>
      </c>
      <c r="O1764" s="1762" t="s">
        <v>4526</v>
      </c>
      <c r="P1764" s="1760" t="s">
        <v>3574</v>
      </c>
      <c r="Q1764" s="1760" t="s">
        <v>3574</v>
      </c>
      <c r="S1764" s="7" t="str">
        <f t="shared" si="197"/>
        <v>??</v>
      </c>
      <c r="T1764" s="1318" t="str">
        <f t="shared" si="197"/>
        <v>??</v>
      </c>
      <c r="U1764" s="83">
        <v>125</v>
      </c>
      <c r="V1764" s="1560" t="e">
        <f>(((K1764*U1764)-P1764)/(K1764*U1764))</f>
        <v>#VALUE!</v>
      </c>
    </row>
    <row r="1765" spans="3:22" s="7" customFormat="1" ht="18" customHeight="1">
      <c r="C1765" s="6" t="s">
        <v>4551</v>
      </c>
      <c r="D1765" s="13" t="s">
        <v>4552</v>
      </c>
      <c r="E1765" s="18" t="s">
        <v>2181</v>
      </c>
      <c r="F1765" s="23"/>
      <c r="G1765" s="21"/>
      <c r="H1765" s="55"/>
      <c r="I1765" s="56"/>
      <c r="J1765" s="55"/>
      <c r="K1765" s="15" t="s">
        <v>8</v>
      </c>
      <c r="L1765" s="10"/>
      <c r="M1765" s="10"/>
      <c r="N1765" s="33"/>
      <c r="O1765" s="1761"/>
      <c r="P1765" s="100"/>
      <c r="Q1765" s="100"/>
      <c r="T1765" s="1301"/>
      <c r="U1765" s="6" t="s">
        <v>3</v>
      </c>
    </row>
    <row r="1766" spans="3:22" s="7" customFormat="1" ht="15.75" customHeight="1">
      <c r="C1766" s="6" t="s">
        <v>4551</v>
      </c>
      <c r="D1766" s="13" t="s">
        <v>4552</v>
      </c>
      <c r="E1766" s="71" t="s">
        <v>4553</v>
      </c>
      <c r="F1766" s="13"/>
      <c r="G1766" s="21" t="s">
        <v>25</v>
      </c>
      <c r="H1766" s="93"/>
      <c r="I1766" s="94"/>
      <c r="J1766" s="8">
        <v>200</v>
      </c>
      <c r="K1766" s="611">
        <v>0.69</v>
      </c>
      <c r="L1766" s="598">
        <f t="shared" ref="L1766:L1777" si="198">K1766*J1766</f>
        <v>138</v>
      </c>
      <c r="M1766" s="97" t="s">
        <v>224</v>
      </c>
      <c r="N1766" s="33"/>
      <c r="O1766" s="32"/>
      <c r="P1766" s="83">
        <v>68</v>
      </c>
      <c r="Q1766" s="83">
        <f t="shared" ref="Q1766:Q1778" si="199">P1766*J1766</f>
        <v>13600</v>
      </c>
      <c r="R1766" s="7" t="s">
        <v>265</v>
      </c>
      <c r="S1766" s="7">
        <f t="shared" ref="S1766" si="200">P1766</f>
        <v>68</v>
      </c>
      <c r="T1766" s="1318">
        <f t="shared" ref="T1766" si="201">Q1766</f>
        <v>13600</v>
      </c>
      <c r="U1766" s="83">
        <v>140</v>
      </c>
      <c r="V1766" s="1560">
        <f t="shared" ref="V1766:V1779" si="202">(((K1766*U1766)-P1766)/(K1766*U1766))</f>
        <v>0.29606625258799169</v>
      </c>
    </row>
    <row r="1767" spans="3:22" s="7" customFormat="1" ht="15.75" customHeight="1">
      <c r="C1767" s="6" t="s">
        <v>4551</v>
      </c>
      <c r="D1767" s="13" t="s">
        <v>4552</v>
      </c>
      <c r="E1767" s="71" t="s">
        <v>4554</v>
      </c>
      <c r="F1767" s="13"/>
      <c r="G1767" s="21" t="s">
        <v>25</v>
      </c>
      <c r="H1767" s="93"/>
      <c r="I1767" s="94"/>
      <c r="J1767" s="8">
        <v>50</v>
      </c>
      <c r="K1767" s="611">
        <v>0.5</v>
      </c>
      <c r="L1767" s="598">
        <f t="shared" si="198"/>
        <v>25</v>
      </c>
      <c r="M1767" s="97" t="s">
        <v>224</v>
      </c>
      <c r="N1767" s="33"/>
      <c r="O1767" s="32"/>
      <c r="P1767" s="83">
        <v>49</v>
      </c>
      <c r="Q1767" s="83">
        <f t="shared" si="199"/>
        <v>2450</v>
      </c>
      <c r="R1767" s="7" t="s">
        <v>265</v>
      </c>
      <c r="S1767" s="7">
        <f t="shared" ref="S1767:S1770" si="203">P1767</f>
        <v>49</v>
      </c>
      <c r="T1767" s="1318">
        <f t="shared" ref="T1767:T1770" si="204">Q1767</f>
        <v>2450</v>
      </c>
      <c r="U1767" s="83">
        <v>140</v>
      </c>
      <c r="V1767" s="1560">
        <f t="shared" si="202"/>
        <v>0.3</v>
      </c>
    </row>
    <row r="1768" spans="3:22" s="7" customFormat="1" ht="15.75" customHeight="1">
      <c r="C1768" s="6" t="s">
        <v>4551</v>
      </c>
      <c r="D1768" s="13" t="s">
        <v>4552</v>
      </c>
      <c r="E1768" s="71" t="s">
        <v>4555</v>
      </c>
      <c r="F1768" s="13"/>
      <c r="G1768" s="21" t="s">
        <v>25</v>
      </c>
      <c r="H1768" s="93"/>
      <c r="I1768" s="94"/>
      <c r="J1768" s="8">
        <v>50</v>
      </c>
      <c r="K1768" s="611">
        <v>0.51</v>
      </c>
      <c r="L1768" s="598">
        <f t="shared" si="198"/>
        <v>25.5</v>
      </c>
      <c r="M1768" s="97" t="s">
        <v>224</v>
      </c>
      <c r="N1768" s="33"/>
      <c r="O1768" s="32"/>
      <c r="P1768" s="83">
        <v>50</v>
      </c>
      <c r="Q1768" s="83">
        <f t="shared" si="199"/>
        <v>2500</v>
      </c>
      <c r="R1768" s="7" t="s">
        <v>265</v>
      </c>
      <c r="S1768" s="7">
        <f t="shared" si="203"/>
        <v>50</v>
      </c>
      <c r="T1768" s="1318">
        <f t="shared" si="204"/>
        <v>2500</v>
      </c>
      <c r="U1768" s="83">
        <v>140</v>
      </c>
      <c r="V1768" s="1560">
        <f t="shared" si="202"/>
        <v>0.29971988795518212</v>
      </c>
    </row>
    <row r="1769" spans="3:22" s="7" customFormat="1" ht="15.75" customHeight="1">
      <c r="C1769" s="6" t="s">
        <v>4551</v>
      </c>
      <c r="D1769" s="13" t="s">
        <v>4552</v>
      </c>
      <c r="E1769" s="71" t="s">
        <v>4556</v>
      </c>
      <c r="F1769" s="13"/>
      <c r="G1769" s="21" t="s">
        <v>25</v>
      </c>
      <c r="H1769" s="93"/>
      <c r="I1769" s="94"/>
      <c r="J1769" s="8">
        <v>50</v>
      </c>
      <c r="K1769" s="611">
        <v>0.49</v>
      </c>
      <c r="L1769" s="598">
        <f t="shared" si="198"/>
        <v>24.5</v>
      </c>
      <c r="M1769" s="97" t="s">
        <v>224</v>
      </c>
      <c r="N1769" s="33"/>
      <c r="O1769" s="32"/>
      <c r="P1769" s="83">
        <v>48</v>
      </c>
      <c r="Q1769" s="83">
        <f t="shared" si="199"/>
        <v>2400</v>
      </c>
      <c r="R1769" s="7" t="s">
        <v>265</v>
      </c>
      <c r="S1769" s="7">
        <f t="shared" si="203"/>
        <v>48</v>
      </c>
      <c r="T1769" s="1318">
        <f t="shared" si="204"/>
        <v>2400</v>
      </c>
      <c r="U1769" s="83">
        <v>140</v>
      </c>
      <c r="V1769" s="1560">
        <f t="shared" si="202"/>
        <v>0.30029154518950429</v>
      </c>
    </row>
    <row r="1770" spans="3:22" s="7" customFormat="1" ht="15.75" customHeight="1">
      <c r="C1770" s="6" t="s">
        <v>4551</v>
      </c>
      <c r="D1770" s="13" t="s">
        <v>4552</v>
      </c>
      <c r="E1770" s="71" t="s">
        <v>4557</v>
      </c>
      <c r="F1770" s="13"/>
      <c r="G1770" s="21" t="s">
        <v>25</v>
      </c>
      <c r="H1770" s="93"/>
      <c r="I1770" s="94"/>
      <c r="J1770" s="8">
        <v>50</v>
      </c>
      <c r="K1770" s="611">
        <v>0.81</v>
      </c>
      <c r="L1770" s="598">
        <f t="shared" si="198"/>
        <v>40.5</v>
      </c>
      <c r="M1770" s="97" t="s">
        <v>224</v>
      </c>
      <c r="N1770" s="33"/>
      <c r="O1770" s="32"/>
      <c r="P1770" s="83">
        <v>79</v>
      </c>
      <c r="Q1770" s="83">
        <f t="shared" si="199"/>
        <v>3950</v>
      </c>
      <c r="R1770" s="7" t="s">
        <v>265</v>
      </c>
      <c r="S1770" s="7">
        <f t="shared" si="203"/>
        <v>79</v>
      </c>
      <c r="T1770" s="1318">
        <f t="shared" si="204"/>
        <v>3950</v>
      </c>
      <c r="U1770" s="83">
        <v>140</v>
      </c>
      <c r="V1770" s="1560">
        <f t="shared" si="202"/>
        <v>0.30335097001763672</v>
      </c>
    </row>
    <row r="1771" spans="3:22" s="7" customFormat="1" ht="15.75" customHeight="1">
      <c r="C1771" s="6" t="s">
        <v>4551</v>
      </c>
      <c r="D1771" s="13" t="s">
        <v>4552</v>
      </c>
      <c r="E1771" s="71" t="s">
        <v>4558</v>
      </c>
      <c r="F1771" s="13"/>
      <c r="G1771" s="21" t="s">
        <v>4559</v>
      </c>
      <c r="H1771" s="93"/>
      <c r="I1771" s="94"/>
      <c r="J1771" s="8">
        <v>50</v>
      </c>
      <c r="K1771" s="611">
        <v>0.37</v>
      </c>
      <c r="L1771" s="598">
        <f t="shared" si="198"/>
        <v>18.5</v>
      </c>
      <c r="M1771" s="97" t="s">
        <v>224</v>
      </c>
      <c r="N1771" s="33"/>
      <c r="O1771" s="32"/>
      <c r="P1771" s="83">
        <v>36</v>
      </c>
      <c r="Q1771" s="83">
        <f t="shared" si="199"/>
        <v>1800</v>
      </c>
      <c r="R1771" s="7" t="s">
        <v>265</v>
      </c>
      <c r="S1771" s="7">
        <f t="shared" ref="S1771" si="205">P1771</f>
        <v>36</v>
      </c>
      <c r="T1771" s="1318">
        <f t="shared" ref="T1771" si="206">Q1771</f>
        <v>1800</v>
      </c>
      <c r="U1771" s="83">
        <v>140</v>
      </c>
      <c r="V1771" s="1560">
        <f t="shared" si="202"/>
        <v>0.30501930501930496</v>
      </c>
    </row>
    <row r="1772" spans="3:22" s="7" customFormat="1" ht="15.75" customHeight="1">
      <c r="C1772" s="6" t="s">
        <v>4551</v>
      </c>
      <c r="D1772" s="13" t="s">
        <v>4552</v>
      </c>
      <c r="E1772" s="71" t="s">
        <v>4560</v>
      </c>
      <c r="F1772" s="13"/>
      <c r="G1772" s="21" t="s">
        <v>4559</v>
      </c>
      <c r="H1772" s="93"/>
      <c r="I1772" s="94"/>
      <c r="J1772" s="8">
        <v>50</v>
      </c>
      <c r="K1772" s="611">
        <v>0.28000000000000003</v>
      </c>
      <c r="L1772" s="598">
        <f t="shared" si="198"/>
        <v>14.000000000000002</v>
      </c>
      <c r="M1772" s="97" t="s">
        <v>224</v>
      </c>
      <c r="N1772" s="33"/>
      <c r="O1772" s="32"/>
      <c r="P1772" s="83">
        <v>27</v>
      </c>
      <c r="Q1772" s="83">
        <f t="shared" si="199"/>
        <v>1350</v>
      </c>
      <c r="R1772" s="7" t="s">
        <v>265</v>
      </c>
      <c r="S1772" s="7">
        <f t="shared" ref="S1772:S1775" si="207">P1772</f>
        <v>27</v>
      </c>
      <c r="T1772" s="1318">
        <f t="shared" ref="T1772:T1775" si="208">Q1772</f>
        <v>1350</v>
      </c>
      <c r="U1772" s="83">
        <v>140</v>
      </c>
      <c r="V1772" s="1560">
        <f t="shared" si="202"/>
        <v>0.31122448979591844</v>
      </c>
    </row>
    <row r="1773" spans="3:22" s="7" customFormat="1" ht="15.75" customHeight="1">
      <c r="C1773" s="6" t="s">
        <v>4551</v>
      </c>
      <c r="D1773" s="13" t="s">
        <v>4552</v>
      </c>
      <c r="E1773" s="71" t="s">
        <v>4561</v>
      </c>
      <c r="F1773" s="13"/>
      <c r="G1773" s="21" t="s">
        <v>4559</v>
      </c>
      <c r="H1773" s="93"/>
      <c r="I1773" s="94"/>
      <c r="J1773" s="8">
        <v>50</v>
      </c>
      <c r="K1773" s="611">
        <v>0.39</v>
      </c>
      <c r="L1773" s="598">
        <f t="shared" si="198"/>
        <v>19.5</v>
      </c>
      <c r="M1773" s="97" t="s">
        <v>224</v>
      </c>
      <c r="N1773" s="33"/>
      <c r="O1773" s="32"/>
      <c r="P1773" s="83">
        <v>38</v>
      </c>
      <c r="Q1773" s="83">
        <f t="shared" si="199"/>
        <v>1900</v>
      </c>
      <c r="R1773" s="7" t="s">
        <v>265</v>
      </c>
      <c r="S1773" s="7">
        <f t="shared" si="207"/>
        <v>38</v>
      </c>
      <c r="T1773" s="1318">
        <f t="shared" si="208"/>
        <v>1900</v>
      </c>
      <c r="U1773" s="83">
        <v>140</v>
      </c>
      <c r="V1773" s="1560">
        <f t="shared" si="202"/>
        <v>0.30402930402930406</v>
      </c>
    </row>
    <row r="1774" spans="3:22" ht="18" customHeight="1">
      <c r="C1774" s="6" t="s">
        <v>4551</v>
      </c>
      <c r="D1774" s="13" t="s">
        <v>4552</v>
      </c>
      <c r="E1774" s="21"/>
      <c r="F1774" s="38"/>
      <c r="G1774" s="38" t="s">
        <v>71</v>
      </c>
      <c r="H1774" s="39"/>
      <c r="I1774" s="94"/>
      <c r="J1774" s="39">
        <v>3</v>
      </c>
      <c r="K1774" s="611">
        <v>65</v>
      </c>
      <c r="L1774" s="598">
        <f t="shared" si="198"/>
        <v>195</v>
      </c>
      <c r="M1774" s="898"/>
      <c r="N1774" s="33"/>
      <c r="O1774" s="1761"/>
      <c r="P1774" s="83">
        <v>7000</v>
      </c>
      <c r="Q1774" s="83">
        <f t="shared" si="199"/>
        <v>21000</v>
      </c>
      <c r="S1774" s="7">
        <f t="shared" si="207"/>
        <v>7000</v>
      </c>
      <c r="T1774" s="1318">
        <f t="shared" si="208"/>
        <v>21000</v>
      </c>
      <c r="U1774" s="83">
        <v>140</v>
      </c>
      <c r="V1774" s="1560">
        <f t="shared" si="202"/>
        <v>0.23076923076923078</v>
      </c>
    </row>
    <row r="1775" spans="3:22" s="7" customFormat="1" ht="15.75" customHeight="1">
      <c r="C1775" s="6" t="s">
        <v>4551</v>
      </c>
      <c r="D1775" s="13" t="s">
        <v>4552</v>
      </c>
      <c r="E1775" s="71" t="s">
        <v>4558</v>
      </c>
      <c r="F1775" s="13"/>
      <c r="G1775" s="21" t="s">
        <v>4559</v>
      </c>
      <c r="H1775" s="93"/>
      <c r="I1775" s="94"/>
      <c r="J1775" s="1771">
        <v>100</v>
      </c>
      <c r="K1775" s="611">
        <v>1.08</v>
      </c>
      <c r="L1775" s="598">
        <f t="shared" si="198"/>
        <v>108</v>
      </c>
      <c r="M1775" s="97" t="s">
        <v>224</v>
      </c>
      <c r="N1775" s="33"/>
      <c r="O1775" s="32"/>
      <c r="P1775" s="83">
        <f>36+70</f>
        <v>106</v>
      </c>
      <c r="Q1775" s="83">
        <f t="shared" si="199"/>
        <v>10600</v>
      </c>
      <c r="R1775" s="7" t="s">
        <v>265</v>
      </c>
      <c r="S1775" s="7">
        <f t="shared" si="207"/>
        <v>106</v>
      </c>
      <c r="T1775" s="1318">
        <f t="shared" si="208"/>
        <v>10600</v>
      </c>
      <c r="U1775" s="83">
        <v>140</v>
      </c>
      <c r="V1775" s="1560">
        <f t="shared" si="202"/>
        <v>0.29894179894179901</v>
      </c>
    </row>
    <row r="1776" spans="3:22" s="7" customFormat="1" ht="15.75" customHeight="1">
      <c r="C1776" s="6" t="s">
        <v>4551</v>
      </c>
      <c r="D1776" s="13" t="s">
        <v>4552</v>
      </c>
      <c r="E1776" s="71" t="s">
        <v>4560</v>
      </c>
      <c r="F1776" s="13"/>
      <c r="G1776" s="21" t="s">
        <v>4559</v>
      </c>
      <c r="H1776" s="93"/>
      <c r="I1776" s="94"/>
      <c r="J1776" s="1771">
        <v>100</v>
      </c>
      <c r="K1776" s="611">
        <v>0.99</v>
      </c>
      <c r="L1776" s="598">
        <f t="shared" si="198"/>
        <v>99</v>
      </c>
      <c r="M1776" s="97" t="s">
        <v>224</v>
      </c>
      <c r="N1776" s="33"/>
      <c r="O1776" s="32"/>
      <c r="P1776" s="83">
        <f>27+70</f>
        <v>97</v>
      </c>
      <c r="Q1776" s="83">
        <f t="shared" si="199"/>
        <v>9700</v>
      </c>
      <c r="R1776" s="7" t="s">
        <v>265</v>
      </c>
      <c r="S1776" s="7">
        <f t="shared" ref="S1776:S1779" si="209">P1776</f>
        <v>97</v>
      </c>
      <c r="T1776" s="1318">
        <f t="shared" ref="T1776:T1779" si="210">Q1776</f>
        <v>9700</v>
      </c>
      <c r="U1776" s="83">
        <v>140</v>
      </c>
      <c r="V1776" s="1560">
        <f t="shared" si="202"/>
        <v>0.3001443001443001</v>
      </c>
    </row>
    <row r="1777" spans="3:22" s="7" customFormat="1" ht="15.75" customHeight="1">
      <c r="C1777" s="6" t="s">
        <v>4551</v>
      </c>
      <c r="D1777" s="13" t="s">
        <v>4552</v>
      </c>
      <c r="E1777" s="71" t="s">
        <v>4561</v>
      </c>
      <c r="F1777" s="13"/>
      <c r="G1777" s="21" t="s">
        <v>4559</v>
      </c>
      <c r="H1777" s="93"/>
      <c r="I1777" s="94"/>
      <c r="J1777" s="1771">
        <v>100</v>
      </c>
      <c r="K1777" s="611">
        <v>1.1000000000000001</v>
      </c>
      <c r="L1777" s="598">
        <f t="shared" si="198"/>
        <v>110.00000000000001</v>
      </c>
      <c r="M1777" s="97" t="s">
        <v>224</v>
      </c>
      <c r="N1777" s="33"/>
      <c r="O1777" s="32"/>
      <c r="P1777" s="83">
        <f>38+70</f>
        <v>108</v>
      </c>
      <c r="Q1777" s="83">
        <f t="shared" si="199"/>
        <v>10800</v>
      </c>
      <c r="R1777" s="7" t="s">
        <v>265</v>
      </c>
      <c r="S1777" s="7">
        <f t="shared" si="209"/>
        <v>108</v>
      </c>
      <c r="T1777" s="1318">
        <f t="shared" si="210"/>
        <v>10800</v>
      </c>
      <c r="U1777" s="83">
        <v>140</v>
      </c>
      <c r="V1777" s="1560">
        <f t="shared" si="202"/>
        <v>0.29870129870129869</v>
      </c>
    </row>
    <row r="1778" spans="3:22" ht="18" customHeight="1">
      <c r="C1778" s="6" t="s">
        <v>4551</v>
      </c>
      <c r="D1778" s="13" t="s">
        <v>4552</v>
      </c>
      <c r="E1778" s="21"/>
      <c r="F1778" s="38"/>
      <c r="G1778" s="38" t="s">
        <v>218</v>
      </c>
      <c r="H1778" s="39"/>
      <c r="I1778" s="94"/>
      <c r="J1778" s="39">
        <v>1</v>
      </c>
      <c r="K1778" s="611">
        <v>12</v>
      </c>
      <c r="L1778" s="598"/>
      <c r="M1778" s="898"/>
      <c r="N1778" s="33"/>
      <c r="O1778" s="1761"/>
      <c r="P1778" s="358">
        <v>900</v>
      </c>
      <c r="Q1778" s="358">
        <f t="shared" si="199"/>
        <v>900</v>
      </c>
      <c r="S1778" s="7">
        <f t="shared" si="209"/>
        <v>900</v>
      </c>
      <c r="T1778" s="1318">
        <f t="shared" si="210"/>
        <v>900</v>
      </c>
      <c r="U1778" s="83">
        <v>125</v>
      </c>
      <c r="V1778" s="1560">
        <f t="shared" si="202"/>
        <v>0.4</v>
      </c>
    </row>
    <row r="1779" spans="3:22" s="159" customFormat="1" ht="18" customHeight="1">
      <c r="C1779" s="149" t="s">
        <v>4551</v>
      </c>
      <c r="D1779" s="150" t="s">
        <v>4552</v>
      </c>
      <c r="E1779" s="191"/>
      <c r="F1779" s="152"/>
      <c r="G1779" s="152" t="s">
        <v>4564</v>
      </c>
      <c r="H1779" s="154" t="s">
        <v>4524</v>
      </c>
      <c r="I1779" s="155"/>
      <c r="J1779" s="154">
        <v>1</v>
      </c>
      <c r="K1779" s="911" t="s">
        <v>3574</v>
      </c>
      <c r="L1779" s="911" t="s">
        <v>3574</v>
      </c>
      <c r="M1779" s="601"/>
      <c r="N1779" s="157"/>
      <c r="O1779" s="1762"/>
      <c r="P1779" s="1760" t="s">
        <v>3574</v>
      </c>
      <c r="Q1779" s="1760" t="s">
        <v>3574</v>
      </c>
      <c r="S1779" s="83" t="str">
        <f t="shared" si="209"/>
        <v>??</v>
      </c>
      <c r="T1779" s="1455" t="str">
        <f t="shared" si="210"/>
        <v>??</v>
      </c>
      <c r="U1779" s="83">
        <v>125</v>
      </c>
      <c r="V1779" s="1560" t="e">
        <f t="shared" si="202"/>
        <v>#VALUE!</v>
      </c>
    </row>
    <row r="1780" spans="3:22" s="7" customFormat="1" ht="18" customHeight="1">
      <c r="C1780" s="6" t="s">
        <v>4582</v>
      </c>
      <c r="D1780" s="13" t="s">
        <v>4552</v>
      </c>
      <c r="E1780" s="18" t="s">
        <v>4583</v>
      </c>
      <c r="F1780" s="23"/>
      <c r="G1780" s="21"/>
      <c r="H1780" s="55"/>
      <c r="I1780" s="56"/>
      <c r="J1780" s="55"/>
      <c r="K1780" s="15" t="s">
        <v>8</v>
      </c>
      <c r="L1780" s="10"/>
      <c r="M1780" s="10"/>
      <c r="N1780" s="33"/>
      <c r="O1780" s="1761"/>
      <c r="P1780" s="100"/>
      <c r="Q1780" s="100"/>
      <c r="T1780" s="1301"/>
      <c r="U1780" s="6" t="s">
        <v>3</v>
      </c>
    </row>
    <row r="1781" spans="3:22" s="7" customFormat="1" ht="15.75" customHeight="1">
      <c r="C1781" s="6" t="s">
        <v>4582</v>
      </c>
      <c r="D1781" s="13" t="s">
        <v>4552</v>
      </c>
      <c r="E1781" s="71" t="s">
        <v>4584</v>
      </c>
      <c r="F1781" s="13"/>
      <c r="G1781" s="21" t="s">
        <v>20</v>
      </c>
      <c r="H1781" s="93"/>
      <c r="I1781" s="94"/>
      <c r="J1781" s="8">
        <v>10</v>
      </c>
      <c r="K1781" s="611">
        <v>1.39</v>
      </c>
      <c r="L1781" s="598">
        <f t="shared" ref="L1781:L1788" si="211">K1781*J1781</f>
        <v>13.899999999999999</v>
      </c>
      <c r="M1781" s="97" t="s">
        <v>224</v>
      </c>
      <c r="N1781" s="33"/>
      <c r="O1781" s="32"/>
      <c r="P1781" s="83">
        <v>136</v>
      </c>
      <c r="Q1781" s="83">
        <f t="shared" ref="Q1781:Q1782" si="212">P1781*J1781</f>
        <v>1360</v>
      </c>
      <c r="R1781" s="7" t="s">
        <v>265</v>
      </c>
      <c r="S1781" s="7">
        <f t="shared" ref="S1781:S1782" si="213">P1781</f>
        <v>136</v>
      </c>
      <c r="T1781" s="1318">
        <f t="shared" ref="T1781:T1782" si="214">Q1781</f>
        <v>1360</v>
      </c>
      <c r="U1781" s="83">
        <v>140</v>
      </c>
      <c r="V1781" s="1560">
        <f t="shared" ref="V1781:V1782" si="215">(((K1781*U1781)-P1781)/(K1781*U1781))</f>
        <v>0.30113052415210689</v>
      </c>
    </row>
    <row r="1782" spans="3:22" ht="18" customHeight="1">
      <c r="C1782" s="6" t="s">
        <v>4582</v>
      </c>
      <c r="D1782" s="13" t="s">
        <v>4552</v>
      </c>
      <c r="E1782" s="21"/>
      <c r="F1782" s="38"/>
      <c r="G1782" s="38" t="s">
        <v>4587</v>
      </c>
      <c r="H1782" s="39"/>
      <c r="I1782" s="94"/>
      <c r="J1782" s="39">
        <v>1</v>
      </c>
      <c r="K1782" s="611">
        <v>75</v>
      </c>
      <c r="L1782" s="598">
        <f t="shared" si="211"/>
        <v>75</v>
      </c>
      <c r="M1782" s="898"/>
      <c r="N1782" s="33"/>
      <c r="O1782" s="1761"/>
      <c r="P1782" s="83">
        <v>8000</v>
      </c>
      <c r="Q1782" s="83">
        <f t="shared" si="212"/>
        <v>8000</v>
      </c>
      <c r="S1782" s="7">
        <f t="shared" si="213"/>
        <v>8000</v>
      </c>
      <c r="T1782" s="1318">
        <f t="shared" si="214"/>
        <v>8000</v>
      </c>
      <c r="U1782" s="83">
        <v>125</v>
      </c>
      <c r="V1782" s="1560">
        <f t="shared" si="215"/>
        <v>0.14666666666666667</v>
      </c>
    </row>
    <row r="1783" spans="3:22" s="7" customFormat="1" ht="15.75" customHeight="1">
      <c r="C1783" s="6" t="s">
        <v>4582</v>
      </c>
      <c r="D1783" s="13" t="s">
        <v>4552</v>
      </c>
      <c r="E1783" s="71" t="s">
        <v>4585</v>
      </c>
      <c r="F1783" s="13"/>
      <c r="G1783" s="21" t="s">
        <v>20</v>
      </c>
      <c r="H1783" s="93"/>
      <c r="I1783" s="94"/>
      <c r="J1783" s="8">
        <v>10</v>
      </c>
      <c r="K1783" s="611">
        <v>2.0999999999999996</v>
      </c>
      <c r="L1783" s="598">
        <f t="shared" si="211"/>
        <v>20.999999999999996</v>
      </c>
      <c r="M1783" s="97" t="s">
        <v>224</v>
      </c>
      <c r="N1783" s="33"/>
      <c r="O1783" s="32"/>
      <c r="P1783" s="83">
        <v>205</v>
      </c>
      <c r="Q1783" s="83">
        <f t="shared" ref="Q1783:Q1789" si="216">P1783*J1783</f>
        <v>2050</v>
      </c>
      <c r="R1783" s="7" t="s">
        <v>265</v>
      </c>
      <c r="S1783" s="7">
        <f t="shared" ref="S1783:S1790" si="217">P1783</f>
        <v>205</v>
      </c>
      <c r="T1783" s="1318">
        <f t="shared" ref="T1783:T1790" si="218">Q1783</f>
        <v>2050</v>
      </c>
      <c r="U1783" s="83">
        <v>140</v>
      </c>
      <c r="V1783" s="1560">
        <f t="shared" ref="V1783:V1790" si="219">(((K1783*U1783)-P1783)/(K1783*U1783))</f>
        <v>0.30272108843537404</v>
      </c>
    </row>
    <row r="1784" spans="3:22" ht="18" customHeight="1">
      <c r="C1784" s="6" t="s">
        <v>4582</v>
      </c>
      <c r="D1784" s="13" t="s">
        <v>4552</v>
      </c>
      <c r="E1784" s="21"/>
      <c r="F1784" s="38"/>
      <c r="G1784" s="38" t="s">
        <v>4587</v>
      </c>
      <c r="H1784" s="39"/>
      <c r="I1784" s="94"/>
      <c r="J1784" s="39">
        <v>1</v>
      </c>
      <c r="K1784" s="611">
        <v>75</v>
      </c>
      <c r="L1784" s="598">
        <f t="shared" si="211"/>
        <v>75</v>
      </c>
      <c r="M1784" s="898"/>
      <c r="N1784" s="33"/>
      <c r="O1784" s="1761"/>
      <c r="P1784" s="83">
        <v>8000</v>
      </c>
      <c r="Q1784" s="83">
        <f t="shared" ref="Q1784" si="220">P1784*J1784</f>
        <v>8000</v>
      </c>
      <c r="S1784" s="7">
        <f t="shared" ref="S1784" si="221">P1784</f>
        <v>8000</v>
      </c>
      <c r="T1784" s="1318">
        <f t="shared" ref="T1784" si="222">Q1784</f>
        <v>8000</v>
      </c>
      <c r="U1784" s="83">
        <v>125</v>
      </c>
      <c r="V1784" s="1560">
        <f t="shared" ref="V1784" si="223">(((K1784*U1784)-P1784)/(K1784*U1784))</f>
        <v>0.14666666666666667</v>
      </c>
    </row>
    <row r="1785" spans="3:22" s="7" customFormat="1" ht="15.75" customHeight="1">
      <c r="C1785" s="6" t="s">
        <v>4582</v>
      </c>
      <c r="D1785" s="13" t="s">
        <v>4552</v>
      </c>
      <c r="E1785" s="71" t="s">
        <v>4586</v>
      </c>
      <c r="F1785" s="13"/>
      <c r="G1785" s="21" t="s">
        <v>20</v>
      </c>
      <c r="H1785" s="93"/>
      <c r="I1785" s="94"/>
      <c r="J1785" s="8">
        <v>10</v>
      </c>
      <c r="K1785" s="611">
        <v>2.5</v>
      </c>
      <c r="L1785" s="598">
        <f t="shared" si="211"/>
        <v>25</v>
      </c>
      <c r="M1785" s="97" t="s">
        <v>224</v>
      </c>
      <c r="N1785" s="33"/>
      <c r="O1785" s="32"/>
      <c r="P1785" s="83">
        <v>245</v>
      </c>
      <c r="Q1785" s="83">
        <f t="shared" si="216"/>
        <v>2450</v>
      </c>
      <c r="R1785" s="7" t="s">
        <v>265</v>
      </c>
      <c r="S1785" s="7">
        <f t="shared" si="217"/>
        <v>245</v>
      </c>
      <c r="T1785" s="1318">
        <f t="shared" si="218"/>
        <v>2450</v>
      </c>
      <c r="U1785" s="83">
        <v>140</v>
      </c>
      <c r="V1785" s="1560">
        <f t="shared" si="219"/>
        <v>0.3</v>
      </c>
    </row>
    <row r="1786" spans="3:22" ht="18" customHeight="1">
      <c r="C1786" s="6" t="s">
        <v>4582</v>
      </c>
      <c r="D1786" s="13" t="s">
        <v>4552</v>
      </c>
      <c r="E1786" s="21"/>
      <c r="F1786" s="38"/>
      <c r="G1786" s="38" t="s">
        <v>4587</v>
      </c>
      <c r="H1786" s="39"/>
      <c r="I1786" s="94"/>
      <c r="J1786" s="39">
        <v>1</v>
      </c>
      <c r="K1786" s="611">
        <v>90</v>
      </c>
      <c r="L1786" s="598">
        <f t="shared" si="211"/>
        <v>90</v>
      </c>
      <c r="M1786" s="898"/>
      <c r="N1786" s="33"/>
      <c r="O1786" s="1761"/>
      <c r="P1786" s="83">
        <v>10000</v>
      </c>
      <c r="Q1786" s="83">
        <f t="shared" ref="Q1786" si="224">P1786*J1786</f>
        <v>10000</v>
      </c>
      <c r="S1786" s="7">
        <f t="shared" ref="S1786" si="225">P1786</f>
        <v>10000</v>
      </c>
      <c r="T1786" s="1318">
        <f t="shared" ref="T1786" si="226">Q1786</f>
        <v>10000</v>
      </c>
      <c r="U1786" s="83">
        <v>125</v>
      </c>
      <c r="V1786" s="1560">
        <f t="shared" ref="V1786" si="227">(((K1786*U1786)-P1786)/(K1786*U1786))</f>
        <v>0.1111111111111111</v>
      </c>
    </row>
    <row r="1787" spans="3:22" s="7" customFormat="1" ht="15.75" customHeight="1">
      <c r="C1787" s="6" t="s">
        <v>4582</v>
      </c>
      <c r="D1787" s="13" t="s">
        <v>4552</v>
      </c>
      <c r="E1787" s="71" t="s">
        <v>4588</v>
      </c>
      <c r="F1787" s="13"/>
      <c r="G1787" s="21" t="s">
        <v>20</v>
      </c>
      <c r="H1787" s="93"/>
      <c r="I1787" s="94"/>
      <c r="J1787" s="8">
        <v>10</v>
      </c>
      <c r="K1787" s="611">
        <v>2.0499999999999998</v>
      </c>
      <c r="L1787" s="598">
        <f t="shared" si="211"/>
        <v>20.5</v>
      </c>
      <c r="M1787" s="97" t="s">
        <v>224</v>
      </c>
      <c r="N1787" s="33"/>
      <c r="O1787" s="32"/>
      <c r="P1787" s="83">
        <v>200</v>
      </c>
      <c r="Q1787" s="83">
        <f t="shared" si="216"/>
        <v>2000</v>
      </c>
      <c r="R1787" s="7" t="s">
        <v>265</v>
      </c>
      <c r="S1787" s="7">
        <f t="shared" si="217"/>
        <v>200</v>
      </c>
      <c r="T1787" s="1318">
        <f t="shared" si="218"/>
        <v>2000</v>
      </c>
      <c r="U1787" s="83">
        <v>140</v>
      </c>
      <c r="V1787" s="1560">
        <f t="shared" si="219"/>
        <v>0.30313588850174217</v>
      </c>
    </row>
    <row r="1788" spans="3:22" ht="18" customHeight="1">
      <c r="C1788" s="6" t="s">
        <v>4582</v>
      </c>
      <c r="D1788" s="13" t="s">
        <v>4552</v>
      </c>
      <c r="E1788" s="21"/>
      <c r="F1788" s="38"/>
      <c r="G1788" s="38" t="s">
        <v>4587</v>
      </c>
      <c r="H1788" s="39"/>
      <c r="I1788" s="94"/>
      <c r="J1788" s="39">
        <v>1</v>
      </c>
      <c r="K1788" s="611">
        <v>85</v>
      </c>
      <c r="L1788" s="598">
        <f t="shared" si="211"/>
        <v>85</v>
      </c>
      <c r="M1788" s="898"/>
      <c r="N1788" s="33"/>
      <c r="O1788" s="1761"/>
      <c r="P1788" s="83">
        <v>9000</v>
      </c>
      <c r="Q1788" s="83">
        <f t="shared" si="216"/>
        <v>9000</v>
      </c>
      <c r="S1788" s="7">
        <f t="shared" si="217"/>
        <v>9000</v>
      </c>
      <c r="T1788" s="1318">
        <f t="shared" si="218"/>
        <v>9000</v>
      </c>
      <c r="U1788" s="83">
        <v>125</v>
      </c>
      <c r="V1788" s="1560">
        <f t="shared" si="219"/>
        <v>0.15294117647058825</v>
      </c>
    </row>
    <row r="1789" spans="3:22" ht="18" customHeight="1">
      <c r="C1789" s="6" t="s">
        <v>4582</v>
      </c>
      <c r="D1789" s="13" t="s">
        <v>4552</v>
      </c>
      <c r="E1789" s="21"/>
      <c r="F1789" s="38"/>
      <c r="G1789" s="38" t="s">
        <v>218</v>
      </c>
      <c r="H1789" s="39"/>
      <c r="I1789" s="94"/>
      <c r="J1789" s="39">
        <v>1</v>
      </c>
      <c r="K1789" s="611">
        <v>12</v>
      </c>
      <c r="L1789" s="598">
        <v>0</v>
      </c>
      <c r="M1789" s="898"/>
      <c r="N1789" s="33"/>
      <c r="O1789" s="1761"/>
      <c r="P1789" s="358">
        <v>900</v>
      </c>
      <c r="Q1789" s="358">
        <f t="shared" si="216"/>
        <v>900</v>
      </c>
      <c r="S1789" s="7">
        <f t="shared" si="217"/>
        <v>900</v>
      </c>
      <c r="T1789" s="1318">
        <f t="shared" si="218"/>
        <v>900</v>
      </c>
      <c r="U1789" s="83">
        <v>125</v>
      </c>
      <c r="V1789" s="1560">
        <f t="shared" si="219"/>
        <v>0.4</v>
      </c>
    </row>
    <row r="1790" spans="3:22" s="159" customFormat="1" ht="18" customHeight="1">
      <c r="C1790" s="149" t="s">
        <v>4582</v>
      </c>
      <c r="D1790" s="150" t="s">
        <v>4552</v>
      </c>
      <c r="E1790" s="191"/>
      <c r="F1790" s="152"/>
      <c r="G1790" s="152" t="s">
        <v>4564</v>
      </c>
      <c r="H1790" s="154" t="s">
        <v>4524</v>
      </c>
      <c r="I1790" s="155"/>
      <c r="J1790" s="154">
        <v>1</v>
      </c>
      <c r="K1790" s="911" t="s">
        <v>3574</v>
      </c>
      <c r="L1790" s="911" t="s">
        <v>3574</v>
      </c>
      <c r="M1790" s="601"/>
      <c r="N1790" s="157"/>
      <c r="O1790" s="1762"/>
      <c r="P1790" s="1760" t="s">
        <v>3574</v>
      </c>
      <c r="Q1790" s="1760" t="s">
        <v>3574</v>
      </c>
      <c r="S1790" s="83" t="str">
        <f t="shared" si="217"/>
        <v>??</v>
      </c>
      <c r="T1790" s="1455" t="str">
        <f t="shared" si="218"/>
        <v>??</v>
      </c>
      <c r="U1790" s="83">
        <v>125</v>
      </c>
      <c r="V1790" s="1560" t="e">
        <f t="shared" si="219"/>
        <v>#VALUE!</v>
      </c>
    </row>
    <row r="1791" spans="3:22" s="7" customFormat="1" ht="18" customHeight="1">
      <c r="C1791" s="6" t="s">
        <v>4582</v>
      </c>
      <c r="D1791" s="13" t="s">
        <v>4552</v>
      </c>
      <c r="E1791" s="18" t="s">
        <v>4583</v>
      </c>
      <c r="F1791" s="23"/>
      <c r="G1791" s="21"/>
      <c r="H1791" s="55"/>
      <c r="I1791" s="56"/>
      <c r="J1791" s="55"/>
      <c r="K1791" s="15" t="s">
        <v>8</v>
      </c>
      <c r="L1791" s="10"/>
      <c r="M1791" s="10"/>
      <c r="N1791" s="33">
        <v>45534</v>
      </c>
      <c r="O1791" s="32">
        <v>6441</v>
      </c>
      <c r="P1791" s="100"/>
      <c r="Q1791" s="100"/>
      <c r="T1791" s="1301"/>
      <c r="U1791" s="6" t="s">
        <v>3</v>
      </c>
    </row>
    <row r="1792" spans="3:22" s="7" customFormat="1" ht="15.75" customHeight="1">
      <c r="C1792" s="6" t="s">
        <v>4582</v>
      </c>
      <c r="D1792" s="13" t="s">
        <v>4552</v>
      </c>
      <c r="E1792" s="21" t="s">
        <v>4584</v>
      </c>
      <c r="F1792" s="13"/>
      <c r="G1792" s="21" t="s">
        <v>25</v>
      </c>
      <c r="H1792" s="93"/>
      <c r="I1792" s="94"/>
      <c r="J1792" s="8">
        <v>1</v>
      </c>
      <c r="K1792" s="611">
        <v>1.39</v>
      </c>
      <c r="L1792" s="598">
        <f t="shared" ref="L1792:L1795" si="228">K1792*J1792</f>
        <v>1.39</v>
      </c>
      <c r="M1792" s="97" t="s">
        <v>224</v>
      </c>
      <c r="N1792" s="33">
        <v>45534</v>
      </c>
      <c r="O1792" s="32">
        <v>6441</v>
      </c>
      <c r="P1792" s="83">
        <v>136</v>
      </c>
      <c r="Q1792" s="83">
        <f t="shared" ref="Q1792:Q1796" si="229">P1792*J1792</f>
        <v>136</v>
      </c>
      <c r="R1792" s="7" t="s">
        <v>265</v>
      </c>
      <c r="S1792" s="7">
        <f t="shared" ref="S1792:S1798" si="230">P1792</f>
        <v>136</v>
      </c>
      <c r="T1792" s="1318">
        <f t="shared" ref="T1792:T1798" si="231">Q1792</f>
        <v>136</v>
      </c>
      <c r="U1792" s="83">
        <v>140</v>
      </c>
      <c r="V1792" s="1560">
        <f t="shared" ref="V1792:V1797" si="232">(((K1792*U1792)-P1792)/(K1792*U1792))</f>
        <v>0.30113052415210689</v>
      </c>
    </row>
    <row r="1793" spans="1:24" s="7" customFormat="1" ht="15.75" customHeight="1">
      <c r="C1793" s="6" t="s">
        <v>4582</v>
      </c>
      <c r="D1793" s="13" t="s">
        <v>4552</v>
      </c>
      <c r="E1793" s="21" t="s">
        <v>4585</v>
      </c>
      <c r="F1793" s="13"/>
      <c r="G1793" s="21" t="s">
        <v>25</v>
      </c>
      <c r="H1793" s="93"/>
      <c r="I1793" s="94"/>
      <c r="J1793" s="8">
        <v>1</v>
      </c>
      <c r="K1793" s="611">
        <v>2.0999999999999996</v>
      </c>
      <c r="L1793" s="598">
        <f t="shared" si="228"/>
        <v>2.0999999999999996</v>
      </c>
      <c r="M1793" s="97" t="s">
        <v>224</v>
      </c>
      <c r="N1793" s="33">
        <v>45534</v>
      </c>
      <c r="O1793" s="32">
        <v>6441</v>
      </c>
      <c r="P1793" s="83">
        <v>205</v>
      </c>
      <c r="Q1793" s="83">
        <f t="shared" si="229"/>
        <v>205</v>
      </c>
      <c r="R1793" s="7" t="s">
        <v>265</v>
      </c>
      <c r="S1793" s="7">
        <f t="shared" si="230"/>
        <v>205</v>
      </c>
      <c r="T1793" s="1318">
        <f t="shared" si="231"/>
        <v>205</v>
      </c>
      <c r="U1793" s="83">
        <v>140</v>
      </c>
      <c r="V1793" s="1560">
        <f t="shared" si="232"/>
        <v>0.30272108843537404</v>
      </c>
    </row>
    <row r="1794" spans="1:24" s="7" customFormat="1" ht="15.75" customHeight="1">
      <c r="C1794" s="6" t="s">
        <v>4582</v>
      </c>
      <c r="D1794" s="13" t="s">
        <v>4552</v>
      </c>
      <c r="E1794" s="21" t="s">
        <v>4586</v>
      </c>
      <c r="F1794" s="13"/>
      <c r="G1794" s="21" t="s">
        <v>25</v>
      </c>
      <c r="H1794" s="93"/>
      <c r="I1794" s="94"/>
      <c r="J1794" s="8">
        <v>1</v>
      </c>
      <c r="K1794" s="611">
        <v>2.5</v>
      </c>
      <c r="L1794" s="598">
        <f t="shared" si="228"/>
        <v>2.5</v>
      </c>
      <c r="M1794" s="97" t="s">
        <v>224</v>
      </c>
      <c r="N1794" s="33">
        <v>45534</v>
      </c>
      <c r="O1794" s="32">
        <v>6441</v>
      </c>
      <c r="P1794" s="83">
        <v>245</v>
      </c>
      <c r="Q1794" s="83">
        <f t="shared" si="229"/>
        <v>245</v>
      </c>
      <c r="R1794" s="7" t="s">
        <v>265</v>
      </c>
      <c r="S1794" s="7">
        <f t="shared" si="230"/>
        <v>245</v>
      </c>
      <c r="T1794" s="1318">
        <f t="shared" si="231"/>
        <v>245</v>
      </c>
      <c r="U1794" s="83">
        <v>140</v>
      </c>
      <c r="V1794" s="1560">
        <f t="shared" si="232"/>
        <v>0.3</v>
      </c>
    </row>
    <row r="1795" spans="1:24" s="7" customFormat="1" ht="15.75" customHeight="1">
      <c r="C1795" s="6" t="s">
        <v>4582</v>
      </c>
      <c r="D1795" s="13" t="s">
        <v>4552</v>
      </c>
      <c r="E1795" s="21" t="s">
        <v>4588</v>
      </c>
      <c r="F1795" s="13"/>
      <c r="G1795" s="21" t="s">
        <v>25</v>
      </c>
      <c r="H1795" s="93"/>
      <c r="I1795" s="94"/>
      <c r="J1795" s="8">
        <v>1</v>
      </c>
      <c r="K1795" s="611">
        <v>2.0499999999999998</v>
      </c>
      <c r="L1795" s="598">
        <f t="shared" si="228"/>
        <v>2.0499999999999998</v>
      </c>
      <c r="M1795" s="97" t="s">
        <v>224</v>
      </c>
      <c r="N1795" s="33">
        <v>45534</v>
      </c>
      <c r="O1795" s="32">
        <v>6441</v>
      </c>
      <c r="P1795" s="83">
        <v>200</v>
      </c>
      <c r="Q1795" s="83">
        <f t="shared" si="229"/>
        <v>200</v>
      </c>
      <c r="R1795" s="7" t="s">
        <v>265</v>
      </c>
      <c r="S1795" s="7">
        <f t="shared" si="230"/>
        <v>200</v>
      </c>
      <c r="T1795" s="1318">
        <f t="shared" si="231"/>
        <v>200</v>
      </c>
      <c r="U1795" s="83">
        <v>140</v>
      </c>
      <c r="V1795" s="1560">
        <f t="shared" si="232"/>
        <v>0.30313588850174217</v>
      </c>
    </row>
    <row r="1796" spans="1:24" ht="18" customHeight="1">
      <c r="C1796" s="6" t="s">
        <v>4582</v>
      </c>
      <c r="D1796" s="13" t="s">
        <v>4552</v>
      </c>
      <c r="E1796" s="21"/>
      <c r="F1796" s="38"/>
      <c r="G1796" s="38" t="s">
        <v>218</v>
      </c>
      <c r="H1796" s="39"/>
      <c r="I1796" s="94"/>
      <c r="J1796" s="39">
        <v>1</v>
      </c>
      <c r="K1796" s="611">
        <v>12</v>
      </c>
      <c r="L1796" s="598">
        <v>0</v>
      </c>
      <c r="M1796" s="898"/>
      <c r="N1796" s="33">
        <v>45534</v>
      </c>
      <c r="O1796" s="32">
        <v>6441</v>
      </c>
      <c r="P1796" s="83">
        <v>900</v>
      </c>
      <c r="Q1796" s="83">
        <f t="shared" si="229"/>
        <v>900</v>
      </c>
      <c r="S1796" s="7">
        <f t="shared" si="230"/>
        <v>900</v>
      </c>
      <c r="T1796" s="1318">
        <f t="shared" si="231"/>
        <v>900</v>
      </c>
      <c r="U1796" s="83">
        <v>125</v>
      </c>
      <c r="V1796" s="1560">
        <f t="shared" si="232"/>
        <v>0.4</v>
      </c>
    </row>
    <row r="1797" spans="1:24" s="159" customFormat="1" ht="18" customHeight="1">
      <c r="C1797" s="149" t="s">
        <v>4582</v>
      </c>
      <c r="D1797" s="150" t="s">
        <v>4552</v>
      </c>
      <c r="E1797" s="191"/>
      <c r="F1797" s="152"/>
      <c r="G1797" s="152" t="s">
        <v>4564</v>
      </c>
      <c r="H1797" s="154" t="s">
        <v>4524</v>
      </c>
      <c r="I1797" s="155"/>
      <c r="J1797" s="154">
        <v>1</v>
      </c>
      <c r="K1797" s="911">
        <v>42</v>
      </c>
      <c r="L1797" s="911">
        <v>42</v>
      </c>
      <c r="M1797" s="601"/>
      <c r="N1797" s="157">
        <v>45534</v>
      </c>
      <c r="O1797" s="156">
        <v>6441</v>
      </c>
      <c r="P1797" s="897">
        <v>4326</v>
      </c>
      <c r="Q1797" s="897">
        <v>4326</v>
      </c>
      <c r="R1797" s="1774"/>
      <c r="S1797" s="897">
        <v>4326</v>
      </c>
      <c r="T1797" s="897">
        <v>4326</v>
      </c>
      <c r="U1797" s="83">
        <v>125</v>
      </c>
      <c r="V1797" s="1560">
        <f t="shared" si="232"/>
        <v>0.17599999999999999</v>
      </c>
    </row>
    <row r="1798" spans="1:24" s="7" customFormat="1" ht="15">
      <c r="C1798" s="6" t="s">
        <v>4594</v>
      </c>
      <c r="D1798" s="13" t="s">
        <v>2277</v>
      </c>
      <c r="E1798" s="18" t="s">
        <v>19</v>
      </c>
      <c r="F1798" s="23"/>
      <c r="G1798" s="21"/>
      <c r="H1798" s="55"/>
      <c r="I1798" s="56"/>
      <c r="J1798" s="55"/>
      <c r="K1798" s="15" t="s">
        <v>8</v>
      </c>
      <c r="L1798" s="688"/>
      <c r="M1798" s="688"/>
      <c r="N1798" s="33">
        <v>45539</v>
      </c>
      <c r="O1798" s="32">
        <v>6451</v>
      </c>
      <c r="P1798" s="83"/>
      <c r="Q1798" s="83"/>
      <c r="S1798" s="7">
        <f t="shared" si="230"/>
        <v>0</v>
      </c>
      <c r="T1798" s="1318">
        <f t="shared" si="231"/>
        <v>0</v>
      </c>
      <c r="U1798" s="83">
        <v>125</v>
      </c>
    </row>
    <row r="1799" spans="1:24" s="7" customFormat="1" ht="15.75">
      <c r="C1799" s="6" t="s">
        <v>4594</v>
      </c>
      <c r="D1799" s="13" t="s">
        <v>2277</v>
      </c>
      <c r="E1799" s="740" t="s">
        <v>2280</v>
      </c>
      <c r="F1799" s="23"/>
      <c r="G1799" s="21" t="s">
        <v>25</v>
      </c>
      <c r="H1799" s="93">
        <v>13.7</v>
      </c>
      <c r="I1799" s="94">
        <v>7</v>
      </c>
      <c r="J1799" s="108">
        <f>H1799*I1799</f>
        <v>95.899999999999991</v>
      </c>
      <c r="K1799" s="597">
        <v>5.94</v>
      </c>
      <c r="L1799" s="598">
        <f>K1799*J1799</f>
        <v>569.64599999999996</v>
      </c>
      <c r="M1799" s="97" t="s">
        <v>224</v>
      </c>
      <c r="N1799" s="33">
        <v>45539</v>
      </c>
      <c r="O1799" s="32">
        <v>6451</v>
      </c>
      <c r="P1799" s="83">
        <v>520</v>
      </c>
      <c r="Q1799" s="83">
        <f>P1799*J1799</f>
        <v>49867.999999999993</v>
      </c>
      <c r="S1799" s="7">
        <f t="shared" ref="S1799:S1801" si="233">P1799</f>
        <v>520</v>
      </c>
      <c r="T1799" s="1318">
        <f t="shared" ref="T1799:T1801" si="234">Q1799</f>
        <v>49867.999999999993</v>
      </c>
      <c r="U1799" s="83">
        <v>125</v>
      </c>
      <c r="V1799" s="1560">
        <f t="shared" ref="V1799:V1801" si="235">(((K1799*U1799)-P1799)/(K1799*U1799))</f>
        <v>0.29966329966329969</v>
      </c>
    </row>
    <row r="1800" spans="1:24" ht="18" customHeight="1">
      <c r="C1800" s="6" t="s">
        <v>4594</v>
      </c>
      <c r="D1800" s="13" t="s">
        <v>2277</v>
      </c>
      <c r="E1800" s="21"/>
      <c r="F1800" s="38"/>
      <c r="G1800" s="38" t="s">
        <v>218</v>
      </c>
      <c r="H1800" s="39"/>
      <c r="I1800" s="94"/>
      <c r="J1800" s="39">
        <v>1</v>
      </c>
      <c r="K1800" s="611">
        <v>12</v>
      </c>
      <c r="L1800" s="598">
        <f>K1800*J1800</f>
        <v>12</v>
      </c>
      <c r="M1800" s="898"/>
      <c r="N1800" s="33">
        <v>45539</v>
      </c>
      <c r="O1800" s="32">
        <v>6451</v>
      </c>
      <c r="P1800" s="83">
        <v>0</v>
      </c>
      <c r="Q1800" s="83">
        <f t="shared" ref="Q1800" si="236">P1800*J1800</f>
        <v>0</v>
      </c>
      <c r="S1800" s="7">
        <f t="shared" si="233"/>
        <v>0</v>
      </c>
      <c r="T1800" s="1318">
        <f t="shared" si="234"/>
        <v>0</v>
      </c>
      <c r="U1800" s="83">
        <v>125</v>
      </c>
      <c r="V1800" s="1560">
        <f t="shared" si="235"/>
        <v>1</v>
      </c>
    </row>
    <row r="1801" spans="1:24" s="159" customFormat="1" ht="15">
      <c r="C1801" s="149" t="s">
        <v>4594</v>
      </c>
      <c r="D1801" s="150" t="s">
        <v>2277</v>
      </c>
      <c r="E1801" s="151"/>
      <c r="F1801" s="152"/>
      <c r="G1801" s="152" t="s">
        <v>168</v>
      </c>
      <c r="H1801" s="154" t="s">
        <v>169</v>
      </c>
      <c r="I1801" s="155"/>
      <c r="J1801" s="153"/>
      <c r="K1801" s="600">
        <v>0</v>
      </c>
      <c r="L1801" s="601"/>
      <c r="M1801" s="601"/>
      <c r="N1801" s="157">
        <v>45539</v>
      </c>
      <c r="O1801" s="156">
        <v>6451</v>
      </c>
      <c r="P1801" s="164">
        <v>0</v>
      </c>
      <c r="Q1801" s="165">
        <v>0</v>
      </c>
      <c r="S1801" s="7">
        <f t="shared" si="233"/>
        <v>0</v>
      </c>
      <c r="T1801" s="1318">
        <f t="shared" si="234"/>
        <v>0</v>
      </c>
      <c r="U1801" s="83">
        <v>125</v>
      </c>
      <c r="V1801" s="1560" t="e">
        <f t="shared" si="235"/>
        <v>#DIV/0!</v>
      </c>
    </row>
    <row r="1802" spans="1:24" s="7" customFormat="1" ht="15" customHeight="1">
      <c r="B1802" s="11"/>
      <c r="C1802" s="6" t="s">
        <v>4610</v>
      </c>
      <c r="D1802" s="13" t="s">
        <v>4611</v>
      </c>
      <c r="E1802" s="18" t="s">
        <v>4607</v>
      </c>
      <c r="F1802" s="23"/>
      <c r="G1802" s="21"/>
      <c r="H1802" s="55"/>
      <c r="I1802" s="56"/>
      <c r="J1802" s="55"/>
      <c r="K1802" s="15" t="s">
        <v>4048</v>
      </c>
      <c r="L1802" s="33"/>
      <c r="M1802" s="33"/>
      <c r="N1802" s="33">
        <v>45560</v>
      </c>
      <c r="O1802" s="32">
        <v>6501</v>
      </c>
      <c r="P1802" s="1779" t="s">
        <v>11</v>
      </c>
      <c r="Q1802" s="1780" t="s">
        <v>4608</v>
      </c>
      <c r="R1802" s="1781"/>
      <c r="S1802" s="1782"/>
      <c r="T1802" s="83"/>
      <c r="U1802" s="1783"/>
      <c r="V1802" s="1452">
        <v>120</v>
      </c>
      <c r="W1802" s="1560" t="e">
        <f t="shared" ref="W1802:W1807" si="237">(((K1802*V1802)-S1802)/(K1802*V1802))</f>
        <v>#VALUE!</v>
      </c>
    </row>
    <row r="1803" spans="1:24" s="7" customFormat="1" ht="18" customHeight="1">
      <c r="B1803" s="11" t="s">
        <v>4609</v>
      </c>
      <c r="C1803" s="6" t="s">
        <v>4610</v>
      </c>
      <c r="D1803" s="13" t="s">
        <v>4611</v>
      </c>
      <c r="E1803" s="21" t="s">
        <v>4612</v>
      </c>
      <c r="F1803" s="86"/>
      <c r="G1803" s="38"/>
      <c r="H1803" s="8"/>
      <c r="I1803" s="56"/>
      <c r="J1803" s="39">
        <v>1</v>
      </c>
      <c r="K1803" s="597">
        <v>10</v>
      </c>
      <c r="L1803" s="598">
        <f>K1803*J1803</f>
        <v>10</v>
      </c>
      <c r="M1803" s="97" t="s">
        <v>224</v>
      </c>
      <c r="N1803" s="33">
        <v>45560</v>
      </c>
      <c r="O1803" s="32">
        <v>6501</v>
      </c>
      <c r="P1803" s="83">
        <v>0</v>
      </c>
      <c r="Q1803" s="83">
        <f t="shared" ref="Q1803:Q1805" si="238">P1803*J1803</f>
        <v>0</v>
      </c>
      <c r="R1803" s="1"/>
      <c r="S1803" s="7">
        <f t="shared" ref="S1803:S1805" si="239">P1803</f>
        <v>0</v>
      </c>
      <c r="T1803" s="1318">
        <f t="shared" ref="T1803:T1805" si="240">Q1803</f>
        <v>0</v>
      </c>
      <c r="U1803" s="83">
        <v>125</v>
      </c>
      <c r="V1803" s="1560">
        <f t="shared" ref="V1803:V1805" si="241">(((K1803*U1803)-P1803)/(K1803*U1803))</f>
        <v>1</v>
      </c>
      <c r="W1803" s="1"/>
      <c r="X1803" s="1"/>
    </row>
    <row r="1804" spans="1:24" s="7" customFormat="1" ht="18" customHeight="1">
      <c r="B1804" s="11" t="s">
        <v>4609</v>
      </c>
      <c r="C1804" s="6" t="s">
        <v>4610</v>
      </c>
      <c r="D1804" s="13" t="s">
        <v>4611</v>
      </c>
      <c r="E1804" s="21" t="s">
        <v>4613</v>
      </c>
      <c r="F1804" s="86"/>
      <c r="G1804" s="38"/>
      <c r="H1804" s="8"/>
      <c r="I1804" s="56"/>
      <c r="J1804" s="39">
        <v>1</v>
      </c>
      <c r="K1804" s="597">
        <v>10</v>
      </c>
      <c r="L1804" s="598">
        <f>K1804*J1804</f>
        <v>10</v>
      </c>
      <c r="M1804" s="97" t="s">
        <v>224</v>
      </c>
      <c r="N1804" s="33">
        <v>45560</v>
      </c>
      <c r="O1804" s="32">
        <v>6501</v>
      </c>
      <c r="P1804" s="83">
        <v>0</v>
      </c>
      <c r="Q1804" s="83">
        <f t="shared" si="238"/>
        <v>0</v>
      </c>
      <c r="R1804" s="1"/>
      <c r="S1804" s="7">
        <f t="shared" si="239"/>
        <v>0</v>
      </c>
      <c r="T1804" s="1318">
        <f t="shared" si="240"/>
        <v>0</v>
      </c>
      <c r="U1804" s="83">
        <v>125</v>
      </c>
      <c r="V1804" s="1560">
        <f t="shared" si="241"/>
        <v>1</v>
      </c>
      <c r="W1804" s="1"/>
      <c r="X1804" s="1"/>
    </row>
    <row r="1805" spans="1:24" s="7" customFormat="1" ht="18" customHeight="1">
      <c r="B1805" s="11" t="s">
        <v>4609</v>
      </c>
      <c r="C1805" s="6" t="s">
        <v>4610</v>
      </c>
      <c r="D1805" s="13" t="s">
        <v>4611</v>
      </c>
      <c r="E1805" s="21" t="s">
        <v>4614</v>
      </c>
      <c r="F1805" s="86"/>
      <c r="G1805" s="38"/>
      <c r="H1805" s="8"/>
      <c r="I1805" s="56"/>
      <c r="J1805" s="39">
        <v>1</v>
      </c>
      <c r="K1805" s="597">
        <v>10</v>
      </c>
      <c r="L1805" s="598">
        <f>K1805*J1805</f>
        <v>10</v>
      </c>
      <c r="M1805" s="97" t="s">
        <v>224</v>
      </c>
      <c r="N1805" s="33">
        <v>45560</v>
      </c>
      <c r="O1805" s="32">
        <v>6501</v>
      </c>
      <c r="P1805" s="83">
        <v>0</v>
      </c>
      <c r="Q1805" s="83">
        <f t="shared" si="238"/>
        <v>0</v>
      </c>
      <c r="R1805" s="1"/>
      <c r="S1805" s="7">
        <f t="shared" si="239"/>
        <v>0</v>
      </c>
      <c r="T1805" s="1318">
        <f t="shared" si="240"/>
        <v>0</v>
      </c>
      <c r="U1805" s="83">
        <v>125</v>
      </c>
      <c r="V1805" s="1560">
        <f t="shared" si="241"/>
        <v>1</v>
      </c>
      <c r="W1805" s="1"/>
      <c r="X1805" s="1"/>
    </row>
    <row r="1806" spans="1:24" s="159" customFormat="1" ht="15">
      <c r="B1806" s="1784"/>
      <c r="C1806" s="149" t="s">
        <v>4610</v>
      </c>
      <c r="D1806" s="150" t="s">
        <v>4611</v>
      </c>
      <c r="E1806" s="191"/>
      <c r="F1806" s="152"/>
      <c r="G1806" s="1785" t="s">
        <v>168</v>
      </c>
      <c r="H1806" s="154" t="s">
        <v>169</v>
      </c>
      <c r="I1806" s="155"/>
      <c r="J1806" s="153"/>
      <c r="K1806" s="1786">
        <v>0</v>
      </c>
      <c r="L1806" s="157"/>
      <c r="M1806" s="157"/>
      <c r="N1806" s="157">
        <v>45560</v>
      </c>
      <c r="O1806" s="156">
        <v>6501</v>
      </c>
      <c r="P1806" s="149"/>
      <c r="Q1806" s="1787">
        <v>0</v>
      </c>
      <c r="S1806" s="1788">
        <v>0</v>
      </c>
      <c r="T1806" s="165">
        <v>0</v>
      </c>
      <c r="U1806" s="1789"/>
      <c r="V1806" s="1452">
        <v>120</v>
      </c>
      <c r="W1806" s="1560" t="e">
        <f t="shared" si="237"/>
        <v>#DIV/0!</v>
      </c>
    </row>
    <row r="1807" spans="1:24" s="7" customFormat="1" ht="15">
      <c r="A1807" s="1"/>
      <c r="B1807" s="11"/>
      <c r="C1807" s="6" t="s">
        <v>4622</v>
      </c>
      <c r="D1807" s="13" t="s">
        <v>4623</v>
      </c>
      <c r="E1807" s="18" t="s">
        <v>264</v>
      </c>
      <c r="F1807" s="23"/>
      <c r="G1807" s="21"/>
      <c r="H1807" s="55"/>
      <c r="I1807" s="56"/>
      <c r="J1807" s="55"/>
      <c r="K1807" s="9" t="s">
        <v>8</v>
      </c>
      <c r="L1807" s="33"/>
      <c r="M1807" s="33"/>
      <c r="N1807" s="33">
        <v>45572</v>
      </c>
      <c r="O1807" s="32">
        <v>6523</v>
      </c>
      <c r="P1807" s="6" t="s">
        <v>3</v>
      </c>
      <c r="Q1807" s="1794"/>
      <c r="S1807" s="1795"/>
      <c r="T1807" s="83"/>
      <c r="U1807" s="1796"/>
      <c r="V1807" s="1452">
        <v>120</v>
      </c>
      <c r="W1807" s="1560" t="e">
        <f t="shared" si="237"/>
        <v>#VALUE!</v>
      </c>
    </row>
    <row r="1808" spans="1:24" s="7" customFormat="1" ht="18" customHeight="1">
      <c r="C1808" s="6" t="s">
        <v>4622</v>
      </c>
      <c r="D1808" s="13" t="s">
        <v>4623</v>
      </c>
      <c r="E1808" s="21">
        <v>11700</v>
      </c>
      <c r="F1808" s="596">
        <v>48</v>
      </c>
      <c r="G1808" s="21" t="s">
        <v>37</v>
      </c>
      <c r="H1808" s="93">
        <v>10</v>
      </c>
      <c r="I1808" s="94">
        <v>1</v>
      </c>
      <c r="J1808" s="55">
        <f t="shared" ref="J1808:J1816" si="242">H1808*I1808</f>
        <v>10</v>
      </c>
      <c r="K1808" s="1797">
        <v>752</v>
      </c>
      <c r="L1808" s="1798">
        <f t="shared" ref="L1808:L1816" si="243">K1808*J1808</f>
        <v>7520</v>
      </c>
      <c r="M1808" s="97" t="s">
        <v>224</v>
      </c>
      <c r="N1808" s="33">
        <v>45572</v>
      </c>
      <c r="O1808" s="32">
        <v>6523</v>
      </c>
      <c r="P1808" s="83">
        <v>376</v>
      </c>
      <c r="Q1808" s="83">
        <f t="shared" ref="Q1808:Q1816" si="244">P1808*J1808</f>
        <v>3760</v>
      </c>
      <c r="S1808" s="7">
        <f t="shared" ref="S1808" si="245">P1808</f>
        <v>376</v>
      </c>
      <c r="T1808" s="1318">
        <f t="shared" ref="T1808" si="246">Q1808</f>
        <v>3760</v>
      </c>
      <c r="U1808" s="83"/>
      <c r="V1808" s="1560">
        <f t="shared" ref="V1808:V1816" si="247">(((K1808)-P1808)/(K1808))</f>
        <v>0.5</v>
      </c>
    </row>
    <row r="1809" spans="2:23" s="7" customFormat="1" ht="18" customHeight="1">
      <c r="C1809" s="6" t="s">
        <v>4622</v>
      </c>
      <c r="D1809" s="13" t="s">
        <v>4623</v>
      </c>
      <c r="E1809" s="21">
        <v>11700</v>
      </c>
      <c r="F1809" s="596">
        <v>48</v>
      </c>
      <c r="G1809" s="21" t="s">
        <v>65</v>
      </c>
      <c r="H1809" s="93">
        <v>10</v>
      </c>
      <c r="I1809" s="94">
        <v>1</v>
      </c>
      <c r="J1809" s="55">
        <f t="shared" si="242"/>
        <v>10</v>
      </c>
      <c r="K1809" s="1797">
        <v>752</v>
      </c>
      <c r="L1809" s="1798">
        <f t="shared" si="243"/>
        <v>7520</v>
      </c>
      <c r="M1809" s="97" t="s">
        <v>224</v>
      </c>
      <c r="N1809" s="33">
        <v>45572</v>
      </c>
      <c r="O1809" s="32">
        <v>6523</v>
      </c>
      <c r="P1809" s="83">
        <v>376</v>
      </c>
      <c r="Q1809" s="83">
        <f t="shared" si="244"/>
        <v>3760</v>
      </c>
      <c r="S1809" s="7">
        <f t="shared" ref="S1809:S1810" si="248">P1809</f>
        <v>376</v>
      </c>
      <c r="T1809" s="1318">
        <f t="shared" ref="T1809:T1810" si="249">Q1809</f>
        <v>3760</v>
      </c>
      <c r="U1809" s="83"/>
      <c r="V1809" s="1560">
        <f t="shared" si="247"/>
        <v>0.5</v>
      </c>
    </row>
    <row r="1810" spans="2:23" s="7" customFormat="1" ht="18" customHeight="1">
      <c r="C1810" s="6" t="s">
        <v>4622</v>
      </c>
      <c r="D1810" s="13" t="s">
        <v>4623</v>
      </c>
      <c r="E1810" s="21">
        <v>11700</v>
      </c>
      <c r="F1810" s="596">
        <v>48</v>
      </c>
      <c r="G1810" s="21" t="s">
        <v>81</v>
      </c>
      <c r="H1810" s="93">
        <v>10</v>
      </c>
      <c r="I1810" s="94">
        <v>1</v>
      </c>
      <c r="J1810" s="55">
        <f t="shared" si="242"/>
        <v>10</v>
      </c>
      <c r="K1810" s="1797">
        <v>752</v>
      </c>
      <c r="L1810" s="1798">
        <f t="shared" si="243"/>
        <v>7520</v>
      </c>
      <c r="M1810" s="97" t="s">
        <v>224</v>
      </c>
      <c r="N1810" s="33">
        <v>45572</v>
      </c>
      <c r="O1810" s="32">
        <v>6523</v>
      </c>
      <c r="P1810" s="83">
        <v>376</v>
      </c>
      <c r="Q1810" s="83">
        <f t="shared" si="244"/>
        <v>3760</v>
      </c>
      <c r="S1810" s="7">
        <f t="shared" si="248"/>
        <v>376</v>
      </c>
      <c r="T1810" s="1318">
        <f t="shared" si="249"/>
        <v>3760</v>
      </c>
      <c r="U1810" s="83"/>
      <c r="V1810" s="1560">
        <f t="shared" si="247"/>
        <v>0.5</v>
      </c>
    </row>
    <row r="1811" spans="2:23" s="7" customFormat="1" ht="18" customHeight="1">
      <c r="C1811" s="6" t="s">
        <v>4622</v>
      </c>
      <c r="D1811" s="13" t="s">
        <v>4623</v>
      </c>
      <c r="E1811" s="21">
        <v>11700</v>
      </c>
      <c r="F1811" s="596">
        <v>48</v>
      </c>
      <c r="G1811" s="21" t="s">
        <v>4262</v>
      </c>
      <c r="H1811" s="93">
        <v>10</v>
      </c>
      <c r="I1811" s="94">
        <v>1</v>
      </c>
      <c r="J1811" s="55">
        <f t="shared" si="242"/>
        <v>10</v>
      </c>
      <c r="K1811" s="1797">
        <v>752</v>
      </c>
      <c r="L1811" s="1798">
        <f t="shared" si="243"/>
        <v>7520</v>
      </c>
      <c r="M1811" s="97" t="s">
        <v>224</v>
      </c>
      <c r="N1811" s="33">
        <v>45572</v>
      </c>
      <c r="O1811" s="32">
        <v>6523</v>
      </c>
      <c r="P1811" s="83">
        <v>376</v>
      </c>
      <c r="Q1811" s="83">
        <f t="shared" si="244"/>
        <v>3760</v>
      </c>
      <c r="S1811" s="7">
        <f t="shared" ref="S1811" si="250">P1811</f>
        <v>376</v>
      </c>
      <c r="T1811" s="1318">
        <f t="shared" ref="T1811" si="251">Q1811</f>
        <v>3760</v>
      </c>
      <c r="U1811" s="83"/>
      <c r="V1811" s="1560">
        <f t="shared" si="247"/>
        <v>0.5</v>
      </c>
    </row>
    <row r="1812" spans="2:23" s="7" customFormat="1" ht="18" customHeight="1">
      <c r="C1812" s="6" t="s">
        <v>4627</v>
      </c>
      <c r="D1812" s="13" t="s">
        <v>4623</v>
      </c>
      <c r="E1812" s="21">
        <v>11700</v>
      </c>
      <c r="F1812" s="596">
        <v>48</v>
      </c>
      <c r="G1812" s="21" t="s">
        <v>4626</v>
      </c>
      <c r="H1812" s="93">
        <v>10</v>
      </c>
      <c r="I1812" s="94">
        <v>1</v>
      </c>
      <c r="J1812" s="55">
        <f t="shared" ref="J1812" si="252">H1812*I1812</f>
        <v>10</v>
      </c>
      <c r="K1812" s="1797">
        <v>752</v>
      </c>
      <c r="L1812" s="1798">
        <f t="shared" ref="L1812" si="253">K1812*J1812</f>
        <v>7520</v>
      </c>
      <c r="M1812" s="97" t="s">
        <v>224</v>
      </c>
      <c r="N1812" s="33">
        <v>45572</v>
      </c>
      <c r="O1812" s="32">
        <v>6523</v>
      </c>
      <c r="P1812" s="83">
        <v>376</v>
      </c>
      <c r="Q1812" s="83">
        <f t="shared" ref="Q1812" si="254">P1812*J1812</f>
        <v>3760</v>
      </c>
      <c r="S1812" s="7">
        <f t="shared" ref="S1812" si="255">P1812</f>
        <v>376</v>
      </c>
      <c r="T1812" s="1318">
        <f t="shared" ref="T1812" si="256">Q1812</f>
        <v>3760</v>
      </c>
      <c r="U1812" s="83"/>
      <c r="V1812" s="1560">
        <f t="shared" ref="V1812" si="257">(((K1812)-P1812)/(K1812))</f>
        <v>0.5</v>
      </c>
    </row>
    <row r="1813" spans="2:23" s="7" customFormat="1" ht="18" customHeight="1">
      <c r="C1813" s="6" t="s">
        <v>4622</v>
      </c>
      <c r="D1813" s="13" t="s">
        <v>4623</v>
      </c>
      <c r="E1813" s="21">
        <v>11700</v>
      </c>
      <c r="F1813" s="596">
        <v>24</v>
      </c>
      <c r="G1813" s="21" t="s">
        <v>37</v>
      </c>
      <c r="H1813" s="93">
        <v>10</v>
      </c>
      <c r="I1813" s="94">
        <v>1</v>
      </c>
      <c r="J1813" s="55">
        <f t="shared" si="242"/>
        <v>10</v>
      </c>
      <c r="K1813" s="1797">
        <v>307</v>
      </c>
      <c r="L1813" s="1798">
        <f t="shared" si="243"/>
        <v>3070</v>
      </c>
      <c r="M1813" s="97" t="s">
        <v>224</v>
      </c>
      <c r="N1813" s="33">
        <v>45572</v>
      </c>
      <c r="O1813" s="32">
        <v>6523</v>
      </c>
      <c r="P1813" s="83">
        <v>153.30000000000001</v>
      </c>
      <c r="Q1813" s="83">
        <f t="shared" si="244"/>
        <v>1533</v>
      </c>
      <c r="S1813" s="7">
        <f t="shared" ref="S1813" si="258">P1813</f>
        <v>153.30000000000001</v>
      </c>
      <c r="T1813" s="1318">
        <f t="shared" ref="T1813" si="259">Q1813</f>
        <v>1533</v>
      </c>
      <c r="U1813" s="83"/>
      <c r="V1813" s="1560">
        <f t="shared" si="247"/>
        <v>0.50065146579804554</v>
      </c>
    </row>
    <row r="1814" spans="2:23" s="7" customFormat="1" ht="18" customHeight="1">
      <c r="C1814" s="6" t="s">
        <v>4622</v>
      </c>
      <c r="D1814" s="13" t="s">
        <v>4623</v>
      </c>
      <c r="E1814" s="21">
        <v>11700</v>
      </c>
      <c r="F1814" s="596">
        <v>24</v>
      </c>
      <c r="G1814" s="21" t="s">
        <v>65</v>
      </c>
      <c r="H1814" s="93">
        <v>10</v>
      </c>
      <c r="I1814" s="94">
        <v>1</v>
      </c>
      <c r="J1814" s="55">
        <f t="shared" si="242"/>
        <v>10</v>
      </c>
      <c r="K1814" s="1797">
        <v>307</v>
      </c>
      <c r="L1814" s="1798">
        <f t="shared" si="243"/>
        <v>3070</v>
      </c>
      <c r="M1814" s="97" t="s">
        <v>224</v>
      </c>
      <c r="N1814" s="33">
        <v>45572</v>
      </c>
      <c r="O1814" s="32">
        <v>6523</v>
      </c>
      <c r="P1814" s="83">
        <v>153.30000000000001</v>
      </c>
      <c r="Q1814" s="83">
        <f t="shared" si="244"/>
        <v>1533</v>
      </c>
      <c r="S1814" s="7">
        <f t="shared" ref="S1814:S1816" si="260">P1814</f>
        <v>153.30000000000001</v>
      </c>
      <c r="T1814" s="1318">
        <f t="shared" ref="T1814:T1816" si="261">Q1814</f>
        <v>1533</v>
      </c>
      <c r="U1814" s="83"/>
      <c r="V1814" s="1560">
        <f t="shared" si="247"/>
        <v>0.50065146579804554</v>
      </c>
    </row>
    <row r="1815" spans="2:23" s="7" customFormat="1" ht="18" customHeight="1">
      <c r="C1815" s="6" t="s">
        <v>4622</v>
      </c>
      <c r="D1815" s="13" t="s">
        <v>4623</v>
      </c>
      <c r="E1815" s="21">
        <v>11700</v>
      </c>
      <c r="F1815" s="596">
        <v>24</v>
      </c>
      <c r="G1815" s="21" t="s">
        <v>4263</v>
      </c>
      <c r="H1815" s="93">
        <v>10</v>
      </c>
      <c r="I1815" s="94">
        <v>1</v>
      </c>
      <c r="J1815" s="55">
        <f t="shared" si="242"/>
        <v>10</v>
      </c>
      <c r="K1815" s="1797">
        <v>307</v>
      </c>
      <c r="L1815" s="1798">
        <f t="shared" si="243"/>
        <v>3070</v>
      </c>
      <c r="M1815" s="97" t="s">
        <v>224</v>
      </c>
      <c r="N1815" s="33">
        <v>45572</v>
      </c>
      <c r="O1815" s="32">
        <v>6523</v>
      </c>
      <c r="P1815" s="83">
        <v>153.30000000000001</v>
      </c>
      <c r="Q1815" s="83">
        <f t="shared" si="244"/>
        <v>1533</v>
      </c>
      <c r="S1815" s="7">
        <f t="shared" si="260"/>
        <v>153.30000000000001</v>
      </c>
      <c r="T1815" s="1318">
        <f t="shared" si="261"/>
        <v>1533</v>
      </c>
      <c r="U1815" s="83"/>
      <c r="V1815" s="1560">
        <f t="shared" si="247"/>
        <v>0.50065146579804554</v>
      </c>
    </row>
    <row r="1816" spans="2:23" s="7" customFormat="1" ht="18" customHeight="1">
      <c r="C1816" s="6" t="s">
        <v>4622</v>
      </c>
      <c r="D1816" s="13" t="s">
        <v>4623</v>
      </c>
      <c r="E1816" s="21">
        <v>11700</v>
      </c>
      <c r="F1816" s="596">
        <v>24</v>
      </c>
      <c r="G1816" s="21" t="s">
        <v>81</v>
      </c>
      <c r="H1816" s="93">
        <v>10</v>
      </c>
      <c r="I1816" s="94">
        <v>1</v>
      </c>
      <c r="J1816" s="55">
        <f t="shared" si="242"/>
        <v>10</v>
      </c>
      <c r="K1816" s="1797">
        <v>307</v>
      </c>
      <c r="L1816" s="1798">
        <f t="shared" si="243"/>
        <v>3070</v>
      </c>
      <c r="M1816" s="97" t="s">
        <v>224</v>
      </c>
      <c r="N1816" s="33">
        <v>45572</v>
      </c>
      <c r="O1816" s="32">
        <v>6523</v>
      </c>
      <c r="P1816" s="83">
        <v>153.30000000000001</v>
      </c>
      <c r="Q1816" s="83">
        <f t="shared" si="244"/>
        <v>1533</v>
      </c>
      <c r="S1816" s="7">
        <f t="shared" si="260"/>
        <v>153.30000000000001</v>
      </c>
      <c r="T1816" s="1318">
        <f t="shared" si="261"/>
        <v>1533</v>
      </c>
      <c r="U1816" s="83"/>
      <c r="V1816" s="1560">
        <f t="shared" si="247"/>
        <v>0.50065146579804554</v>
      </c>
    </row>
    <row r="1817" spans="2:23" s="7" customFormat="1" ht="18" customHeight="1">
      <c r="C1817" s="6" t="s">
        <v>4627</v>
      </c>
      <c r="D1817" s="13" t="s">
        <v>4623</v>
      </c>
      <c r="E1817" s="21">
        <v>11700</v>
      </c>
      <c r="F1817" s="596">
        <v>24</v>
      </c>
      <c r="G1817" s="21" t="s">
        <v>15</v>
      </c>
      <c r="H1817" s="93">
        <v>10</v>
      </c>
      <c r="I1817" s="94">
        <v>1</v>
      </c>
      <c r="J1817" s="55">
        <f t="shared" ref="J1817:J1818" si="262">H1817*I1817</f>
        <v>10</v>
      </c>
      <c r="K1817" s="1797">
        <v>307</v>
      </c>
      <c r="L1817" s="1798">
        <f t="shared" ref="L1817:L1819" si="263">K1817*J1817</f>
        <v>3070</v>
      </c>
      <c r="M1817" s="97" t="s">
        <v>224</v>
      </c>
      <c r="N1817" s="33">
        <v>45572</v>
      </c>
      <c r="O1817" s="32">
        <v>6523</v>
      </c>
      <c r="P1817" s="83">
        <v>153.30000000000001</v>
      </c>
      <c r="Q1817" s="83">
        <f t="shared" ref="Q1817:Q1819" si="264">P1817*J1817</f>
        <v>1533</v>
      </c>
      <c r="S1817" s="7">
        <f t="shared" ref="S1817:S1819" si="265">P1817</f>
        <v>153.30000000000001</v>
      </c>
      <c r="T1817" s="1318">
        <f t="shared" ref="T1817:T1819" si="266">Q1817</f>
        <v>1533</v>
      </c>
      <c r="U1817" s="83"/>
      <c r="V1817" s="1560">
        <f t="shared" ref="V1817:V1819" si="267">(((K1817)-P1817)/(K1817))</f>
        <v>0.50065146579804554</v>
      </c>
    </row>
    <row r="1818" spans="2:23" s="7" customFormat="1" ht="18" customHeight="1">
      <c r="C1818" s="6" t="s">
        <v>4627</v>
      </c>
      <c r="D1818" s="13" t="s">
        <v>4623</v>
      </c>
      <c r="E1818" s="21">
        <v>11700</v>
      </c>
      <c r="F1818" s="596">
        <v>24</v>
      </c>
      <c r="G1818" s="21" t="s">
        <v>4628</v>
      </c>
      <c r="H1818" s="93">
        <v>10</v>
      </c>
      <c r="I1818" s="94">
        <v>1</v>
      </c>
      <c r="J1818" s="55">
        <f t="shared" si="262"/>
        <v>10</v>
      </c>
      <c r="K1818" s="1797">
        <v>307</v>
      </c>
      <c r="L1818" s="1798">
        <f t="shared" si="263"/>
        <v>3070</v>
      </c>
      <c r="M1818" s="97" t="s">
        <v>224</v>
      </c>
      <c r="N1818" s="33">
        <v>45572</v>
      </c>
      <c r="O1818" s="32">
        <v>6523</v>
      </c>
      <c r="P1818" s="83">
        <v>153.30000000000001</v>
      </c>
      <c r="Q1818" s="83">
        <f t="shared" si="264"/>
        <v>1533</v>
      </c>
      <c r="S1818" s="7">
        <f t="shared" si="265"/>
        <v>153.30000000000001</v>
      </c>
      <c r="T1818" s="1318">
        <f t="shared" si="266"/>
        <v>1533</v>
      </c>
      <c r="U1818" s="83"/>
      <c r="V1818" s="1560">
        <f t="shared" si="267"/>
        <v>0.50065146579804554</v>
      </c>
    </row>
    <row r="1819" spans="2:23" s="7" customFormat="1" ht="18" customHeight="1">
      <c r="C1819" s="6" t="s">
        <v>4627</v>
      </c>
      <c r="D1819" s="13" t="s">
        <v>4623</v>
      </c>
      <c r="E1819" s="21">
        <v>11700</v>
      </c>
      <c r="F1819" s="596">
        <v>24</v>
      </c>
      <c r="G1819" s="21" t="s">
        <v>4262</v>
      </c>
      <c r="H1819" s="93"/>
      <c r="I1819" s="94"/>
      <c r="J1819" s="55">
        <v>7</v>
      </c>
      <c r="K1819" s="1797">
        <v>307</v>
      </c>
      <c r="L1819" s="1798">
        <f t="shared" si="263"/>
        <v>2149</v>
      </c>
      <c r="M1819" s="97" t="s">
        <v>224</v>
      </c>
      <c r="N1819" s="33">
        <v>45572</v>
      </c>
      <c r="O1819" s="32">
        <v>6523</v>
      </c>
      <c r="P1819" s="83">
        <v>153.30000000000001</v>
      </c>
      <c r="Q1819" s="83">
        <f t="shared" si="264"/>
        <v>1073.1000000000001</v>
      </c>
      <c r="S1819" s="7">
        <f t="shared" si="265"/>
        <v>153.30000000000001</v>
      </c>
      <c r="T1819" s="1318">
        <f t="shared" si="266"/>
        <v>1073.1000000000001</v>
      </c>
      <c r="U1819" s="83"/>
      <c r="V1819" s="1560">
        <f t="shared" si="267"/>
        <v>0.50065146579804554</v>
      </c>
    </row>
    <row r="1820" spans="2:23" s="7" customFormat="1" ht="18" customHeight="1">
      <c r="C1820" s="6" t="s">
        <v>4627</v>
      </c>
      <c r="D1820" s="13" t="s">
        <v>4623</v>
      </c>
      <c r="E1820" s="21">
        <v>11700</v>
      </c>
      <c r="F1820" s="596">
        <v>36</v>
      </c>
      <c r="G1820" s="21" t="s">
        <v>4262</v>
      </c>
      <c r="H1820" s="93">
        <v>10</v>
      </c>
      <c r="I1820" s="94">
        <v>1</v>
      </c>
      <c r="J1820" s="55">
        <f t="shared" ref="J1820" si="268">H1820*I1820</f>
        <v>10</v>
      </c>
      <c r="K1820" s="1797">
        <v>511</v>
      </c>
      <c r="L1820" s="1798">
        <f t="shared" ref="L1820" si="269">K1820*J1820</f>
        <v>5110</v>
      </c>
      <c r="M1820" s="97" t="s">
        <v>224</v>
      </c>
      <c r="N1820" s="33">
        <v>45572</v>
      </c>
      <c r="O1820" s="32">
        <v>6523</v>
      </c>
      <c r="P1820" s="83">
        <v>255.1</v>
      </c>
      <c r="Q1820" s="83">
        <f t="shared" ref="Q1820" si="270">P1820*J1820</f>
        <v>2551</v>
      </c>
      <c r="S1820" s="7">
        <f t="shared" ref="S1820" si="271">P1820</f>
        <v>255.1</v>
      </c>
      <c r="T1820" s="1318">
        <f t="shared" ref="T1820" si="272">Q1820</f>
        <v>2551</v>
      </c>
      <c r="U1820" s="83"/>
      <c r="V1820" s="1560">
        <f t="shared" ref="V1820" si="273">(((K1820)-P1820)/(K1820))</f>
        <v>0.50078277886497069</v>
      </c>
    </row>
    <row r="1821" spans="2:23" s="159" customFormat="1" ht="17.25">
      <c r="B1821" s="1784"/>
      <c r="C1821" s="149" t="s">
        <v>4622</v>
      </c>
      <c r="D1821" s="150" t="s">
        <v>4623</v>
      </c>
      <c r="E1821" s="191"/>
      <c r="F1821" s="152"/>
      <c r="G1821" s="1785" t="s">
        <v>168</v>
      </c>
      <c r="H1821" s="154" t="s">
        <v>4524</v>
      </c>
      <c r="I1821" s="1799"/>
      <c r="J1821" s="1800"/>
      <c r="K1821" s="1803">
        <v>13000</v>
      </c>
      <c r="L1821" s="1803">
        <v>13000</v>
      </c>
      <c r="M1821" s="157"/>
      <c r="N1821" s="157">
        <v>45572</v>
      </c>
      <c r="O1821" s="156">
        <v>6523</v>
      </c>
      <c r="P1821" s="1806">
        <v>9565</v>
      </c>
      <c r="Q1821" s="1806">
        <v>9565</v>
      </c>
      <c r="S1821" s="1806">
        <v>9565</v>
      </c>
      <c r="T1821" s="1806">
        <v>9565</v>
      </c>
      <c r="U1821" s="1789"/>
      <c r="V1821" s="1452">
        <v>120</v>
      </c>
      <c r="W1821" s="1560">
        <f t="shared" ref="W1821" si="274">(((K1821*V1821)-S1821)/(K1821*V1821))</f>
        <v>0.99386858974358971</v>
      </c>
    </row>
    <row r="1822" spans="2:23" s="7" customFormat="1" ht="18.600000000000001" customHeight="1">
      <c r="C1822" s="6" t="s">
        <v>4629</v>
      </c>
      <c r="D1822" s="13" t="s">
        <v>2277</v>
      </c>
      <c r="E1822" s="18" t="s">
        <v>19</v>
      </c>
      <c r="F1822" s="23"/>
      <c r="G1822" s="21"/>
      <c r="H1822" s="55"/>
      <c r="I1822" s="56"/>
      <c r="J1822" s="55"/>
      <c r="K1822" s="15" t="s">
        <v>8</v>
      </c>
      <c r="L1822" s="688"/>
      <c r="M1822" s="688"/>
      <c r="N1822" s="33">
        <v>45580</v>
      </c>
      <c r="O1822" s="32">
        <v>6542</v>
      </c>
      <c r="P1822" s="83"/>
      <c r="Q1822" s="83"/>
      <c r="S1822" s="7">
        <f t="shared" ref="S1822:S1825" si="275">P1822</f>
        <v>0</v>
      </c>
      <c r="T1822" s="1318">
        <f t="shared" ref="T1822:T1825" si="276">Q1822</f>
        <v>0</v>
      </c>
      <c r="U1822" s="83">
        <v>125</v>
      </c>
    </row>
    <row r="1823" spans="2:23" s="7" customFormat="1" ht="18.600000000000001" customHeight="1">
      <c r="C1823" s="6" t="s">
        <v>4629</v>
      </c>
      <c r="D1823" s="13" t="s">
        <v>2277</v>
      </c>
      <c r="E1823" s="740" t="s">
        <v>2722</v>
      </c>
      <c r="F1823" s="23"/>
      <c r="G1823" s="21" t="s">
        <v>25</v>
      </c>
      <c r="H1823" s="93">
        <v>13.7</v>
      </c>
      <c r="I1823" s="94">
        <v>8</v>
      </c>
      <c r="J1823" s="108">
        <f>H1823*I1823</f>
        <v>109.6</v>
      </c>
      <c r="K1823" s="597">
        <v>3.87</v>
      </c>
      <c r="L1823" s="598">
        <f>K1823*J1823</f>
        <v>424.15199999999999</v>
      </c>
      <c r="M1823" s="97" t="s">
        <v>224</v>
      </c>
      <c r="N1823" s="33">
        <v>45580</v>
      </c>
      <c r="O1823" s="32">
        <v>6542</v>
      </c>
      <c r="P1823" s="83">
        <v>300</v>
      </c>
      <c r="Q1823" s="83">
        <f>P1823*J1823</f>
        <v>32880</v>
      </c>
      <c r="S1823" s="7">
        <f t="shared" si="275"/>
        <v>300</v>
      </c>
      <c r="T1823" s="1318">
        <f t="shared" si="276"/>
        <v>32880</v>
      </c>
      <c r="U1823" s="83">
        <v>125</v>
      </c>
      <c r="V1823" s="1560">
        <f t="shared" ref="V1823:V1824" si="277">(((K1823*U1823)-P1823)/(K1823*U1823))</f>
        <v>0.37984496124031009</v>
      </c>
    </row>
    <row r="1824" spans="2:23" ht="18.600000000000001" customHeight="1">
      <c r="C1824" s="6" t="s">
        <v>4629</v>
      </c>
      <c r="D1824" s="13" t="s">
        <v>2277</v>
      </c>
      <c r="E1824" s="21"/>
      <c r="F1824" s="38"/>
      <c r="G1824" s="38" t="s">
        <v>218</v>
      </c>
      <c r="H1824" s="39"/>
      <c r="I1824" s="94"/>
      <c r="J1824" s="39">
        <v>1</v>
      </c>
      <c r="K1824" s="611">
        <v>12</v>
      </c>
      <c r="L1824" s="598">
        <f>K1824*J1824</f>
        <v>12</v>
      </c>
      <c r="M1824" s="898"/>
      <c r="N1824" s="33">
        <v>45580</v>
      </c>
      <c r="O1824" s="32">
        <v>6542</v>
      </c>
      <c r="P1824" s="83">
        <v>0</v>
      </c>
      <c r="Q1824" s="83">
        <f>P1824*J1824</f>
        <v>0</v>
      </c>
      <c r="S1824" s="7">
        <f t="shared" si="275"/>
        <v>0</v>
      </c>
      <c r="T1824" s="1318">
        <f t="shared" si="276"/>
        <v>0</v>
      </c>
      <c r="U1824" s="83">
        <v>125</v>
      </c>
      <c r="V1824" s="1560">
        <f t="shared" si="277"/>
        <v>1</v>
      </c>
    </row>
    <row r="1825" spans="1:23" s="159" customFormat="1" ht="18.600000000000001" customHeight="1">
      <c r="C1825" s="149" t="s">
        <v>4629</v>
      </c>
      <c r="D1825" s="150" t="s">
        <v>2277</v>
      </c>
      <c r="E1825" s="191"/>
      <c r="F1825" s="152"/>
      <c r="G1825" s="152" t="s">
        <v>168</v>
      </c>
      <c r="H1825" s="154" t="s">
        <v>169</v>
      </c>
      <c r="I1825" s="155"/>
      <c r="J1825" s="153"/>
      <c r="K1825" s="600">
        <v>0</v>
      </c>
      <c r="L1825" s="601"/>
      <c r="M1825" s="601"/>
      <c r="N1825" s="157">
        <v>45580</v>
      </c>
      <c r="O1825" s="156">
        <v>6542</v>
      </c>
      <c r="P1825" s="164">
        <v>0</v>
      </c>
      <c r="Q1825" s="165">
        <v>0</v>
      </c>
      <c r="S1825" s="7">
        <f t="shared" si="275"/>
        <v>0</v>
      </c>
      <c r="T1825" s="1318">
        <f t="shared" si="276"/>
        <v>0</v>
      </c>
      <c r="U1825" s="83">
        <v>125</v>
      </c>
    </row>
    <row r="1826" spans="1:23" s="7" customFormat="1" ht="15">
      <c r="A1826" s="1"/>
      <c r="B1826" s="11"/>
      <c r="C1826" s="1483" t="s">
        <v>4632</v>
      </c>
      <c r="D1826" s="13" t="s">
        <v>4633</v>
      </c>
      <c r="E1826" s="18" t="s">
        <v>4631</v>
      </c>
      <c r="F1826" s="23"/>
      <c r="G1826" s="21"/>
      <c r="H1826" s="55"/>
      <c r="I1826" s="56"/>
      <c r="J1826" s="55"/>
      <c r="K1826" s="9" t="s">
        <v>8</v>
      </c>
      <c r="L1826" s="33"/>
      <c r="M1826" s="33"/>
      <c r="N1826" s="33">
        <v>45590</v>
      </c>
      <c r="O1826" s="32">
        <v>6568</v>
      </c>
      <c r="P1826" s="6" t="s">
        <v>3</v>
      </c>
      <c r="Q1826" s="1794"/>
      <c r="S1826" s="1795"/>
      <c r="T1826" s="83"/>
      <c r="U1826" s="1796"/>
      <c r="V1826" s="1452">
        <v>120</v>
      </c>
      <c r="W1826" s="1560" t="e">
        <f t="shared" ref="W1826" si="278">(((K1826*V1826)-S1826)/(K1826*V1826))</f>
        <v>#VALUE!</v>
      </c>
    </row>
    <row r="1827" spans="1:23" s="7" customFormat="1" ht="18" customHeight="1">
      <c r="C1827" s="1483" t="s">
        <v>4632</v>
      </c>
      <c r="D1827" s="13" t="s">
        <v>4633</v>
      </c>
      <c r="E1827" s="21">
        <v>5634</v>
      </c>
      <c r="F1827" s="901" t="s">
        <v>1808</v>
      </c>
      <c r="G1827" s="1673" t="s">
        <v>4634</v>
      </c>
      <c r="H1827" s="93">
        <v>50</v>
      </c>
      <c r="I1827" s="94">
        <v>2</v>
      </c>
      <c r="J1827" s="55">
        <f t="shared" ref="J1827" si="279">H1827*I1827</f>
        <v>100</v>
      </c>
      <c r="K1827" s="611">
        <v>0.39</v>
      </c>
      <c r="L1827" s="598">
        <f t="shared" ref="L1827" si="280">K1827*J1827</f>
        <v>39</v>
      </c>
      <c r="M1827" s="97" t="s">
        <v>224</v>
      </c>
      <c r="N1827" s="33">
        <v>45590</v>
      </c>
      <c r="O1827" s="32">
        <v>6568</v>
      </c>
      <c r="P1827" s="83">
        <v>23.9</v>
      </c>
      <c r="Q1827" s="83">
        <f t="shared" ref="Q1827" si="281">P1827*J1827</f>
        <v>2390</v>
      </c>
      <c r="S1827" s="7">
        <f t="shared" ref="S1827" si="282">P1827</f>
        <v>23.9</v>
      </c>
      <c r="T1827" s="1318">
        <f t="shared" ref="T1827" si="283">Q1827</f>
        <v>2390</v>
      </c>
      <c r="U1827" s="83">
        <v>125</v>
      </c>
      <c r="V1827" s="1560">
        <f t="shared" ref="V1827" si="284">(((K1827*U1827)-P1827)/(K1827*U1827))</f>
        <v>0.5097435897435898</v>
      </c>
    </row>
    <row r="1828" spans="1:23" s="7" customFormat="1" ht="18" customHeight="1">
      <c r="C1828" s="1483" t="s">
        <v>4632</v>
      </c>
      <c r="D1828" s="13" t="s">
        <v>4633</v>
      </c>
      <c r="E1828" s="21">
        <v>5634</v>
      </c>
      <c r="F1828" s="901" t="s">
        <v>1808</v>
      </c>
      <c r="G1828" s="203" t="s">
        <v>4635</v>
      </c>
      <c r="H1828" s="93">
        <v>50</v>
      </c>
      <c r="I1828" s="94">
        <v>2</v>
      </c>
      <c r="J1828" s="55">
        <f t="shared" ref="J1828:J1829" si="285">H1828*I1828</f>
        <v>100</v>
      </c>
      <c r="K1828" s="611">
        <v>0.39</v>
      </c>
      <c r="L1828" s="598">
        <f t="shared" ref="L1828:L1829" si="286">K1828*J1828</f>
        <v>39</v>
      </c>
      <c r="M1828" s="97" t="s">
        <v>224</v>
      </c>
      <c r="N1828" s="33">
        <v>45590</v>
      </c>
      <c r="O1828" s="32">
        <v>6568</v>
      </c>
      <c r="P1828" s="83">
        <v>23.9</v>
      </c>
      <c r="Q1828" s="83">
        <f t="shared" ref="Q1828:Q1829" si="287">P1828*J1828</f>
        <v>2390</v>
      </c>
      <c r="S1828" s="7">
        <f t="shared" ref="S1828:S1830" si="288">P1828</f>
        <v>23.9</v>
      </c>
      <c r="T1828" s="1318">
        <f t="shared" ref="T1828:T1830" si="289">Q1828</f>
        <v>2390</v>
      </c>
      <c r="U1828" s="83">
        <v>125</v>
      </c>
      <c r="V1828" s="1560">
        <f t="shared" ref="V1828:V1830" si="290">(((K1828*U1828)-P1828)/(K1828*U1828))</f>
        <v>0.5097435897435898</v>
      </c>
    </row>
    <row r="1829" spans="1:23" s="7" customFormat="1" ht="18" customHeight="1">
      <c r="C1829" s="1483" t="s">
        <v>4632</v>
      </c>
      <c r="D1829" s="13" t="s">
        <v>4633</v>
      </c>
      <c r="E1829" s="21">
        <v>5634</v>
      </c>
      <c r="F1829" s="901" t="s">
        <v>1808</v>
      </c>
      <c r="G1829" s="203" t="s">
        <v>4636</v>
      </c>
      <c r="H1829" s="93">
        <v>50</v>
      </c>
      <c r="I1829" s="94">
        <v>2</v>
      </c>
      <c r="J1829" s="55">
        <f t="shared" si="285"/>
        <v>100</v>
      </c>
      <c r="K1829" s="611">
        <v>0.39</v>
      </c>
      <c r="L1829" s="598">
        <f t="shared" si="286"/>
        <v>39</v>
      </c>
      <c r="M1829" s="97" t="s">
        <v>224</v>
      </c>
      <c r="N1829" s="33">
        <v>45590</v>
      </c>
      <c r="O1829" s="32">
        <v>6568</v>
      </c>
      <c r="P1829" s="83">
        <v>23.9</v>
      </c>
      <c r="Q1829" s="83">
        <f t="shared" si="287"/>
        <v>2390</v>
      </c>
      <c r="S1829" s="7">
        <f t="shared" si="288"/>
        <v>23.9</v>
      </c>
      <c r="T1829" s="1318">
        <f t="shared" si="289"/>
        <v>2390</v>
      </c>
      <c r="U1829" s="83">
        <v>125</v>
      </c>
      <c r="V1829" s="1560">
        <f t="shared" si="290"/>
        <v>0.5097435897435898</v>
      </c>
    </row>
    <row r="1830" spans="1:23" ht="18.600000000000001" customHeight="1">
      <c r="C1830" s="1483" t="s">
        <v>4632</v>
      </c>
      <c r="D1830" s="13" t="s">
        <v>4633</v>
      </c>
      <c r="E1830" s="21"/>
      <c r="F1830" s="38"/>
      <c r="G1830" s="38" t="s">
        <v>218</v>
      </c>
      <c r="H1830" s="39"/>
      <c r="I1830" s="94"/>
      <c r="J1830" s="39">
        <v>1</v>
      </c>
      <c r="K1830" s="611">
        <v>12</v>
      </c>
      <c r="L1830" s="598">
        <f>K1830*J1830</f>
        <v>12</v>
      </c>
      <c r="M1830" s="898"/>
      <c r="N1830" s="33">
        <v>45590</v>
      </c>
      <c r="O1830" s="32">
        <v>6568</v>
      </c>
      <c r="P1830" s="83">
        <v>1100</v>
      </c>
      <c r="Q1830" s="83">
        <f>P1830*J1830</f>
        <v>1100</v>
      </c>
      <c r="S1830" s="7">
        <f t="shared" si="288"/>
        <v>1100</v>
      </c>
      <c r="T1830" s="1318">
        <f t="shared" si="289"/>
        <v>1100</v>
      </c>
      <c r="U1830" s="83">
        <v>125</v>
      </c>
      <c r="V1830" s="1560">
        <f t="shared" si="290"/>
        <v>0.26666666666666666</v>
      </c>
    </row>
    <row r="1831" spans="1:23" s="159" customFormat="1" ht="18.600000000000001" customHeight="1">
      <c r="C1831" s="1484" t="s">
        <v>4632</v>
      </c>
      <c r="D1831" s="150" t="s">
        <v>4633</v>
      </c>
      <c r="E1831" s="191"/>
      <c r="F1831" s="152"/>
      <c r="G1831" s="152" t="s">
        <v>168</v>
      </c>
      <c r="H1831" s="154" t="s">
        <v>169</v>
      </c>
      <c r="I1831" s="155"/>
      <c r="J1831" s="153"/>
      <c r="K1831" s="600">
        <v>92</v>
      </c>
      <c r="L1831" s="600">
        <v>92</v>
      </c>
      <c r="M1831" s="601"/>
      <c r="N1831" s="157">
        <v>45590</v>
      </c>
      <c r="O1831" s="156">
        <v>6568</v>
      </c>
      <c r="P1831" s="83">
        <v>4443</v>
      </c>
      <c r="Q1831" s="83">
        <v>4443</v>
      </c>
      <c r="S1831" s="83">
        <v>4443</v>
      </c>
      <c r="T1831" s="83">
        <v>4443</v>
      </c>
      <c r="U1831" s="83">
        <v>125</v>
      </c>
    </row>
    <row r="1832" spans="1:23" s="7" customFormat="1" ht="18" customHeight="1">
      <c r="C1832" s="6" t="s">
        <v>4653</v>
      </c>
      <c r="D1832" s="13" t="s">
        <v>4649</v>
      </c>
      <c r="E1832" s="18" t="s">
        <v>1978</v>
      </c>
      <c r="F1832" s="92"/>
      <c r="G1832" s="21"/>
      <c r="H1832" s="93"/>
      <c r="I1832" s="94"/>
      <c r="J1832" s="93"/>
      <c r="K1832" s="95" t="s">
        <v>8</v>
      </c>
      <c r="L1832" s="33"/>
      <c r="M1832" s="33"/>
      <c r="N1832" s="33">
        <v>45610</v>
      </c>
      <c r="O1832" s="32">
        <v>6601</v>
      </c>
      <c r="P1832" s="83"/>
      <c r="Q1832" s="83"/>
      <c r="S1832" s="7">
        <f t="shared" ref="S1832:S1837" si="291">P1832</f>
        <v>0</v>
      </c>
      <c r="T1832" s="1318">
        <f t="shared" ref="T1832:T1837" si="292">Q1832</f>
        <v>0</v>
      </c>
      <c r="U1832" s="13"/>
    </row>
    <row r="1833" spans="1:23" s="7" customFormat="1" ht="18" customHeight="1">
      <c r="C1833" s="6" t="s">
        <v>4653</v>
      </c>
      <c r="D1833" s="13" t="s">
        <v>4649</v>
      </c>
      <c r="E1833" s="21">
        <v>1966</v>
      </c>
      <c r="F1833" s="596"/>
      <c r="G1833" s="21" t="s">
        <v>4650</v>
      </c>
      <c r="H1833" s="93">
        <v>30</v>
      </c>
      <c r="I1833" s="94">
        <v>4</v>
      </c>
      <c r="J1833" s="55">
        <f>H1833*I1833</f>
        <v>120</v>
      </c>
      <c r="K1833" s="611">
        <v>0.8</v>
      </c>
      <c r="L1833" s="598">
        <f t="shared" ref="L1833:L1834" si="293">K1833*J1833</f>
        <v>96</v>
      </c>
      <c r="M1833" s="97" t="s">
        <v>224</v>
      </c>
      <c r="N1833" s="33">
        <v>45610</v>
      </c>
      <c r="O1833" s="32">
        <v>6601</v>
      </c>
      <c r="P1833" s="83">
        <v>47</v>
      </c>
      <c r="Q1833" s="83">
        <f>P1833*J1833</f>
        <v>5640</v>
      </c>
      <c r="S1833" s="7">
        <f t="shared" si="291"/>
        <v>47</v>
      </c>
      <c r="T1833" s="1318">
        <f t="shared" si="292"/>
        <v>5640</v>
      </c>
      <c r="U1833" s="83">
        <v>125</v>
      </c>
      <c r="V1833" s="1560">
        <f t="shared" ref="V1833:V1835" si="294">(((K1833*U1833)-P1833)/(K1833*U1833))</f>
        <v>0.53</v>
      </c>
    </row>
    <row r="1834" spans="1:23" s="7" customFormat="1" ht="15.75">
      <c r="C1834" s="6" t="s">
        <v>4653</v>
      </c>
      <c r="D1834" s="13" t="s">
        <v>4649</v>
      </c>
      <c r="E1834" s="48"/>
      <c r="F1834" s="38"/>
      <c r="G1834" s="38" t="s">
        <v>218</v>
      </c>
      <c r="H1834" s="39"/>
      <c r="I1834" s="94"/>
      <c r="J1834" s="39">
        <v>1</v>
      </c>
      <c r="K1834" s="611">
        <v>12</v>
      </c>
      <c r="L1834" s="598">
        <f t="shared" si="293"/>
        <v>12</v>
      </c>
      <c r="M1834" s="97"/>
      <c r="N1834" s="33">
        <v>45610</v>
      </c>
      <c r="O1834" s="32">
        <v>6601</v>
      </c>
      <c r="P1834" s="83">
        <v>900</v>
      </c>
      <c r="Q1834" s="83">
        <f>P1834*J1834</f>
        <v>900</v>
      </c>
      <c r="S1834" s="7">
        <f t="shared" si="291"/>
        <v>900</v>
      </c>
      <c r="T1834" s="1318">
        <f t="shared" si="292"/>
        <v>900</v>
      </c>
      <c r="U1834" s="83">
        <v>125</v>
      </c>
      <c r="V1834" s="1560">
        <f t="shared" si="294"/>
        <v>0.4</v>
      </c>
    </row>
    <row r="1835" spans="1:23" s="193" customFormat="1" ht="15">
      <c r="C1835" s="149" t="s">
        <v>4653</v>
      </c>
      <c r="D1835" s="150" t="s">
        <v>4649</v>
      </c>
      <c r="E1835" s="151"/>
      <c r="F1835" s="152"/>
      <c r="G1835" s="152" t="s">
        <v>168</v>
      </c>
      <c r="H1835" s="154" t="s">
        <v>169</v>
      </c>
      <c r="I1835" s="155"/>
      <c r="J1835" s="153"/>
      <c r="K1835" s="894">
        <v>0</v>
      </c>
      <c r="L1835" s="157"/>
      <c r="M1835" s="157"/>
      <c r="N1835" s="157">
        <v>45610</v>
      </c>
      <c r="O1835" s="156">
        <v>6601</v>
      </c>
      <c r="P1835" s="164"/>
      <c r="Q1835" s="164"/>
      <c r="S1835" s="7">
        <f t="shared" si="291"/>
        <v>0</v>
      </c>
      <c r="T1835" s="1318">
        <f t="shared" si="292"/>
        <v>0</v>
      </c>
      <c r="U1835" s="83">
        <v>125</v>
      </c>
      <c r="V1835" s="1560" t="e">
        <f t="shared" si="294"/>
        <v>#DIV/0!</v>
      </c>
    </row>
    <row r="1836" spans="1:23" s="7" customFormat="1" ht="18" customHeight="1">
      <c r="C1836" s="6" t="s">
        <v>4654</v>
      </c>
      <c r="D1836" s="13" t="s">
        <v>2277</v>
      </c>
      <c r="E1836" s="18" t="s">
        <v>19</v>
      </c>
      <c r="F1836" s="23"/>
      <c r="G1836" s="21"/>
      <c r="H1836" s="55"/>
      <c r="I1836" s="56"/>
      <c r="J1836" s="55"/>
      <c r="K1836" s="15" t="s">
        <v>8</v>
      </c>
      <c r="L1836" s="688"/>
      <c r="M1836" s="688"/>
      <c r="N1836" s="33">
        <v>45671</v>
      </c>
      <c r="O1836" s="32">
        <v>6758</v>
      </c>
      <c r="P1836" s="83"/>
      <c r="Q1836" s="83"/>
      <c r="S1836" s="7">
        <f t="shared" si="291"/>
        <v>0</v>
      </c>
      <c r="T1836" s="1318">
        <f t="shared" si="292"/>
        <v>0</v>
      </c>
      <c r="U1836" s="83">
        <v>125</v>
      </c>
    </row>
    <row r="1837" spans="1:23" s="7" customFormat="1" ht="18" customHeight="1">
      <c r="C1837" s="6" t="s">
        <v>4654</v>
      </c>
      <c r="D1837" s="13" t="s">
        <v>2277</v>
      </c>
      <c r="E1837" s="740" t="s">
        <v>2761</v>
      </c>
      <c r="F1837" s="23"/>
      <c r="G1837" s="21" t="s">
        <v>25</v>
      </c>
      <c r="H1837" s="93">
        <v>13.7</v>
      </c>
      <c r="I1837" s="94">
        <v>3</v>
      </c>
      <c r="J1837" s="108">
        <f>H1837*I1837</f>
        <v>41.099999999999994</v>
      </c>
      <c r="K1837" s="597">
        <v>9.82</v>
      </c>
      <c r="L1837" s="598">
        <f>K1837*J1837</f>
        <v>403.60199999999998</v>
      </c>
      <c r="M1837" s="97" t="s">
        <v>224</v>
      </c>
      <c r="N1837" s="33">
        <v>45671</v>
      </c>
      <c r="O1837" s="32">
        <v>6758</v>
      </c>
      <c r="P1837" s="83">
        <v>870</v>
      </c>
      <c r="Q1837" s="83">
        <f>P1837*J1837</f>
        <v>35756.999999999993</v>
      </c>
      <c r="S1837" s="7">
        <f t="shared" si="291"/>
        <v>870</v>
      </c>
      <c r="T1837" s="1318">
        <f t="shared" si="292"/>
        <v>35756.999999999993</v>
      </c>
      <c r="U1837" s="83">
        <v>125</v>
      </c>
      <c r="V1837" s="1560">
        <f>(((K1837*U1837)-P1837)/(K1837*U1837))</f>
        <v>0.29124236252545826</v>
      </c>
    </row>
    <row r="1838" spans="1:23" ht="18" customHeight="1">
      <c r="C1838" s="6" t="s">
        <v>4654</v>
      </c>
      <c r="D1838" s="13" t="s">
        <v>2277</v>
      </c>
      <c r="E1838" s="21"/>
      <c r="F1838" s="38"/>
      <c r="G1838" s="38" t="s">
        <v>218</v>
      </c>
      <c r="H1838" s="39"/>
      <c r="I1838" s="94"/>
      <c r="J1838" s="39">
        <v>1</v>
      </c>
      <c r="K1838" s="611">
        <v>12</v>
      </c>
      <c r="L1838" s="598">
        <f>K1838*J1838</f>
        <v>12</v>
      </c>
      <c r="M1838" s="898"/>
      <c r="N1838" s="33">
        <v>45671</v>
      </c>
      <c r="O1838" s="32">
        <v>6758</v>
      </c>
      <c r="P1838" s="83">
        <v>0</v>
      </c>
      <c r="Q1838" s="83">
        <v>0</v>
      </c>
      <c r="S1838" s="7">
        <f>P1838</f>
        <v>0</v>
      </c>
      <c r="T1838" s="1318">
        <f>Q1838</f>
        <v>0</v>
      </c>
      <c r="U1838" s="83">
        <v>125</v>
      </c>
    </row>
    <row r="1839" spans="1:23" s="159" customFormat="1" ht="18" customHeight="1">
      <c r="C1839" s="149" t="s">
        <v>4654</v>
      </c>
      <c r="D1839" s="150" t="s">
        <v>2277</v>
      </c>
      <c r="E1839" s="191"/>
      <c r="F1839" s="152"/>
      <c r="G1839" s="152" t="s">
        <v>168</v>
      </c>
      <c r="H1839" s="154" t="s">
        <v>169</v>
      </c>
      <c r="I1839" s="155"/>
      <c r="J1839" s="153"/>
      <c r="K1839" s="600">
        <v>0</v>
      </c>
      <c r="L1839" s="601"/>
      <c r="M1839" s="601"/>
      <c r="N1839" s="157">
        <v>45671</v>
      </c>
      <c r="O1839" s="156">
        <v>6758</v>
      </c>
      <c r="P1839" s="164">
        <v>0</v>
      </c>
      <c r="Q1839" s="165">
        <v>0</v>
      </c>
      <c r="S1839" s="7">
        <f t="shared" ref="S1839:S1844" si="295">P1839</f>
        <v>0</v>
      </c>
      <c r="T1839" s="1318">
        <f t="shared" ref="T1839:T1844" si="296">Q1839</f>
        <v>0</v>
      </c>
      <c r="U1839" s="83">
        <v>125</v>
      </c>
    </row>
    <row r="1840" spans="1:23" s="7" customFormat="1" ht="18.600000000000001" customHeight="1">
      <c r="C1840" s="6" t="s">
        <v>4655</v>
      </c>
      <c r="D1840" s="13" t="s">
        <v>2277</v>
      </c>
      <c r="E1840" s="18" t="s">
        <v>19</v>
      </c>
      <c r="F1840" s="23"/>
      <c r="G1840" s="21"/>
      <c r="H1840" s="55"/>
      <c r="I1840" s="56"/>
      <c r="J1840" s="55"/>
      <c r="K1840" s="15" t="s">
        <v>8</v>
      </c>
      <c r="L1840" s="688"/>
      <c r="M1840" s="688"/>
      <c r="N1840" s="33">
        <v>45630</v>
      </c>
      <c r="O1840" s="32">
        <v>6675</v>
      </c>
      <c r="P1840" s="83"/>
      <c r="Q1840" s="83"/>
      <c r="S1840" s="7">
        <f t="shared" si="295"/>
        <v>0</v>
      </c>
      <c r="T1840" s="1318">
        <f t="shared" si="296"/>
        <v>0</v>
      </c>
      <c r="U1840" s="83">
        <v>125</v>
      </c>
    </row>
    <row r="1841" spans="3:22" s="7" customFormat="1" ht="18.600000000000001" customHeight="1">
      <c r="C1841" s="6" t="s">
        <v>4655</v>
      </c>
      <c r="D1841" s="13" t="s">
        <v>2277</v>
      </c>
      <c r="E1841" s="740" t="s">
        <v>2722</v>
      </c>
      <c r="F1841" s="23"/>
      <c r="G1841" s="21" t="s">
        <v>25</v>
      </c>
      <c r="H1841" s="93">
        <v>13.7</v>
      </c>
      <c r="I1841" s="94">
        <v>5</v>
      </c>
      <c r="J1841" s="108">
        <f>H1841*I1841</f>
        <v>68.5</v>
      </c>
      <c r="K1841" s="597">
        <v>3.87</v>
      </c>
      <c r="L1841" s="598">
        <f>K1841*J1841</f>
        <v>265.09500000000003</v>
      </c>
      <c r="M1841" s="97" t="s">
        <v>224</v>
      </c>
      <c r="N1841" s="33">
        <v>45630</v>
      </c>
      <c r="O1841" s="32">
        <v>6675</v>
      </c>
      <c r="P1841" s="83">
        <v>300</v>
      </c>
      <c r="Q1841" s="83">
        <f>P1841*J1841</f>
        <v>20550</v>
      </c>
      <c r="S1841" s="7">
        <f t="shared" si="295"/>
        <v>300</v>
      </c>
      <c r="T1841" s="1318">
        <f t="shared" si="296"/>
        <v>20550</v>
      </c>
      <c r="U1841" s="83">
        <v>125</v>
      </c>
      <c r="V1841" s="1560">
        <f t="shared" ref="V1841:V1843" si="297">(((K1841*U1841)-P1841)/(K1841*U1841))</f>
        <v>0.37984496124031009</v>
      </c>
    </row>
    <row r="1842" spans="3:22" s="7" customFormat="1" ht="15.75">
      <c r="C1842" s="6" t="s">
        <v>4667</v>
      </c>
      <c r="D1842" s="13" t="s">
        <v>2277</v>
      </c>
      <c r="E1842" s="740" t="s">
        <v>2280</v>
      </c>
      <c r="F1842" s="23"/>
      <c r="G1842" s="21" t="s">
        <v>25</v>
      </c>
      <c r="H1842" s="93">
        <v>13.7</v>
      </c>
      <c r="I1842" s="94">
        <v>1</v>
      </c>
      <c r="J1842" s="108">
        <f>H1842*I1842</f>
        <v>13.7</v>
      </c>
      <c r="K1842" s="597">
        <v>5.94</v>
      </c>
      <c r="L1842" s="598">
        <f>K1842*J1842</f>
        <v>81.378</v>
      </c>
      <c r="M1842" s="97" t="s">
        <v>224</v>
      </c>
      <c r="N1842" s="33">
        <v>45630</v>
      </c>
      <c r="O1842" s="32">
        <v>6675</v>
      </c>
      <c r="P1842" s="83">
        <v>520</v>
      </c>
      <c r="Q1842" s="83">
        <f>P1842*J1842</f>
        <v>7124</v>
      </c>
      <c r="S1842" s="7">
        <f t="shared" si="295"/>
        <v>520</v>
      </c>
      <c r="T1842" s="1318">
        <f t="shared" si="296"/>
        <v>7124</v>
      </c>
      <c r="U1842" s="83">
        <v>125</v>
      </c>
      <c r="V1842" s="1560">
        <f t="shared" ref="V1842" si="298">(((K1842*U1842)-P1842)/(K1842*U1842))</f>
        <v>0.29966329966329969</v>
      </c>
    </row>
    <row r="1843" spans="3:22" ht="18.600000000000001" customHeight="1">
      <c r="C1843" s="6" t="s">
        <v>4667</v>
      </c>
      <c r="D1843" s="13" t="s">
        <v>2277</v>
      </c>
      <c r="E1843" s="21"/>
      <c r="F1843" s="38"/>
      <c r="G1843" s="38" t="s">
        <v>218</v>
      </c>
      <c r="H1843" s="39"/>
      <c r="I1843" s="94"/>
      <c r="J1843" s="39">
        <v>1</v>
      </c>
      <c r="K1843" s="611">
        <v>12</v>
      </c>
      <c r="L1843" s="598">
        <f>K1843*J1843</f>
        <v>12</v>
      </c>
      <c r="M1843" s="898"/>
      <c r="N1843" s="33">
        <v>45630</v>
      </c>
      <c r="O1843" s="32">
        <v>6675</v>
      </c>
      <c r="P1843" s="83">
        <v>0</v>
      </c>
      <c r="Q1843" s="83">
        <f>P1843*J1843</f>
        <v>0</v>
      </c>
      <c r="S1843" s="7">
        <f t="shared" si="295"/>
        <v>0</v>
      </c>
      <c r="T1843" s="1318">
        <f t="shared" si="296"/>
        <v>0</v>
      </c>
      <c r="U1843" s="83">
        <v>125</v>
      </c>
      <c r="V1843" s="1560">
        <f t="shared" si="297"/>
        <v>1</v>
      </c>
    </row>
    <row r="1844" spans="3:22" s="159" customFormat="1" ht="18.600000000000001" customHeight="1">
      <c r="C1844" s="149" t="s">
        <v>4667</v>
      </c>
      <c r="D1844" s="150" t="s">
        <v>2277</v>
      </c>
      <c r="E1844" s="191"/>
      <c r="F1844" s="152"/>
      <c r="G1844" s="152" t="s">
        <v>168</v>
      </c>
      <c r="H1844" s="154" t="s">
        <v>169</v>
      </c>
      <c r="I1844" s="155"/>
      <c r="J1844" s="153"/>
      <c r="K1844" s="600">
        <v>0</v>
      </c>
      <c r="L1844" s="601"/>
      <c r="M1844" s="601"/>
      <c r="N1844" s="157">
        <v>45630</v>
      </c>
      <c r="O1844" s="156">
        <v>6675</v>
      </c>
      <c r="P1844" s="164">
        <v>0</v>
      </c>
      <c r="Q1844" s="165">
        <v>0</v>
      </c>
      <c r="S1844" s="7">
        <f t="shared" si="295"/>
        <v>0</v>
      </c>
      <c r="T1844" s="1318">
        <f t="shared" si="296"/>
        <v>0</v>
      </c>
      <c r="U1844" s="83">
        <v>125</v>
      </c>
    </row>
    <row r="1845" spans="3:22" s="7" customFormat="1" ht="18" customHeight="1">
      <c r="C1845" s="6" t="s">
        <v>4657</v>
      </c>
      <c r="D1845" s="13" t="s">
        <v>4658</v>
      </c>
      <c r="E1845" s="18" t="s">
        <v>2181</v>
      </c>
      <c r="F1845" s="23"/>
      <c r="G1845" s="21"/>
      <c r="H1845" s="55"/>
      <c r="I1845" s="56"/>
      <c r="J1845" s="55"/>
      <c r="K1845" s="15" t="s">
        <v>8</v>
      </c>
      <c r="L1845" s="10"/>
      <c r="M1845" s="10"/>
      <c r="N1845" s="33">
        <v>45623</v>
      </c>
      <c r="O1845" s="32">
        <v>6658</v>
      </c>
      <c r="P1845" s="100"/>
      <c r="Q1845" s="100"/>
      <c r="T1845" s="1301"/>
      <c r="U1845" s="6" t="s">
        <v>3</v>
      </c>
    </row>
    <row r="1846" spans="3:22" s="7" customFormat="1" ht="15.75" customHeight="1">
      <c r="C1846" s="6" t="s">
        <v>4657</v>
      </c>
      <c r="D1846" s="13" t="s">
        <v>4658</v>
      </c>
      <c r="E1846" s="21" t="s">
        <v>4659</v>
      </c>
      <c r="F1846" s="13"/>
      <c r="G1846" s="21" t="s">
        <v>4661</v>
      </c>
      <c r="H1846" s="93"/>
      <c r="I1846" s="94"/>
      <c r="J1846" s="8">
        <v>20</v>
      </c>
      <c r="K1846" s="611">
        <v>0.49</v>
      </c>
      <c r="L1846" s="598">
        <f t="shared" ref="L1846:L1848" si="299">K1846*J1846</f>
        <v>9.8000000000000007</v>
      </c>
      <c r="M1846" s="97" t="s">
        <v>224</v>
      </c>
      <c r="N1846" s="33">
        <v>45623</v>
      </c>
      <c r="O1846" s="32">
        <v>6658</v>
      </c>
      <c r="P1846" s="83">
        <v>48</v>
      </c>
      <c r="Q1846" s="83">
        <f t="shared" ref="Q1846:Q1850" si="300">P1846*J1846</f>
        <v>960</v>
      </c>
      <c r="R1846" s="7" t="s">
        <v>265</v>
      </c>
      <c r="S1846" s="7">
        <f t="shared" ref="S1846:S1851" si="301">P1846</f>
        <v>48</v>
      </c>
      <c r="T1846" s="1318">
        <f t="shared" ref="T1846:T1851" si="302">Q1846</f>
        <v>960</v>
      </c>
      <c r="U1846" s="83">
        <v>140</v>
      </c>
      <c r="V1846" s="1560">
        <f t="shared" ref="V1846:V1850" si="303">(((K1846*U1846)-P1846)/(K1846*U1846))</f>
        <v>0.30029154518950429</v>
      </c>
    </row>
    <row r="1847" spans="3:22" s="7" customFormat="1" ht="15.75" customHeight="1">
      <c r="C1847" s="6" t="s">
        <v>4657</v>
      </c>
      <c r="D1847" s="13" t="s">
        <v>4658</v>
      </c>
      <c r="E1847" s="21" t="s">
        <v>4558</v>
      </c>
      <c r="F1847" s="13"/>
      <c r="G1847" s="21" t="s">
        <v>4661</v>
      </c>
      <c r="H1847" s="93"/>
      <c r="I1847" s="94"/>
      <c r="J1847" s="8">
        <v>20</v>
      </c>
      <c r="K1847" s="611">
        <v>0.37</v>
      </c>
      <c r="L1847" s="598">
        <f t="shared" ref="L1847" si="304">K1847*J1847</f>
        <v>7.4</v>
      </c>
      <c r="M1847" s="97" t="s">
        <v>224</v>
      </c>
      <c r="N1847" s="33">
        <v>45623</v>
      </c>
      <c r="O1847" s="32">
        <v>6658</v>
      </c>
      <c r="P1847" s="83">
        <v>36</v>
      </c>
      <c r="Q1847" s="83">
        <f t="shared" ref="Q1847" si="305">P1847*J1847</f>
        <v>720</v>
      </c>
      <c r="R1847" s="7" t="s">
        <v>265</v>
      </c>
      <c r="S1847" s="7">
        <f t="shared" ref="S1847" si="306">P1847</f>
        <v>36</v>
      </c>
      <c r="T1847" s="1318">
        <f t="shared" ref="T1847" si="307">Q1847</f>
        <v>720</v>
      </c>
      <c r="U1847" s="83">
        <v>140</v>
      </c>
      <c r="V1847" s="1560">
        <f t="shared" ref="V1847" si="308">(((K1847*U1847)-P1847)/(K1847*U1847))</f>
        <v>0.30501930501930496</v>
      </c>
    </row>
    <row r="1848" spans="3:22" s="7" customFormat="1" ht="15.75" customHeight="1">
      <c r="C1848" s="6" t="s">
        <v>4657</v>
      </c>
      <c r="D1848" s="13" t="s">
        <v>4658</v>
      </c>
      <c r="E1848" s="21" t="s">
        <v>4660</v>
      </c>
      <c r="F1848" s="13"/>
      <c r="G1848" s="21" t="s">
        <v>4661</v>
      </c>
      <c r="H1848" s="93"/>
      <c r="I1848" s="94"/>
      <c r="J1848" s="8">
        <v>30</v>
      </c>
      <c r="K1848" s="611">
        <v>0.44</v>
      </c>
      <c r="L1848" s="598">
        <f t="shared" si="299"/>
        <v>13.2</v>
      </c>
      <c r="M1848" s="97" t="s">
        <v>224</v>
      </c>
      <c r="N1848" s="33">
        <v>45623</v>
      </c>
      <c r="O1848" s="32">
        <v>6658</v>
      </c>
      <c r="P1848" s="83">
        <v>43</v>
      </c>
      <c r="Q1848" s="83">
        <f t="shared" si="300"/>
        <v>1290</v>
      </c>
      <c r="R1848" s="7" t="s">
        <v>265</v>
      </c>
      <c r="S1848" s="7">
        <f t="shared" si="301"/>
        <v>43</v>
      </c>
      <c r="T1848" s="1318">
        <f t="shared" si="302"/>
        <v>1290</v>
      </c>
      <c r="U1848" s="83">
        <v>140</v>
      </c>
      <c r="V1848" s="1560">
        <f t="shared" si="303"/>
        <v>0.30194805194805197</v>
      </c>
    </row>
    <row r="1849" spans="3:22" s="7" customFormat="1" ht="15.75" customHeight="1">
      <c r="C1849" s="6" t="s">
        <v>4657</v>
      </c>
      <c r="D1849" s="13" t="s">
        <v>4658</v>
      </c>
      <c r="E1849" s="21" t="s">
        <v>4560</v>
      </c>
      <c r="F1849" s="13"/>
      <c r="G1849" s="21" t="s">
        <v>4661</v>
      </c>
      <c r="H1849" s="93"/>
      <c r="I1849" s="94"/>
      <c r="J1849" s="8">
        <v>20</v>
      </c>
      <c r="K1849" s="611">
        <v>0.28000000000000003</v>
      </c>
      <c r="L1849" s="598">
        <f t="shared" ref="L1849" si="309">K1849*J1849</f>
        <v>5.6000000000000005</v>
      </c>
      <c r="M1849" s="97" t="s">
        <v>224</v>
      </c>
      <c r="N1849" s="33">
        <v>45623</v>
      </c>
      <c r="O1849" s="32">
        <v>6658</v>
      </c>
      <c r="P1849" s="83">
        <v>27</v>
      </c>
      <c r="Q1849" s="83">
        <f t="shared" ref="Q1849" si="310">P1849*J1849</f>
        <v>540</v>
      </c>
      <c r="R1849" s="7" t="s">
        <v>265</v>
      </c>
      <c r="S1849" s="7">
        <f t="shared" ref="S1849" si="311">P1849</f>
        <v>27</v>
      </c>
      <c r="T1849" s="1318">
        <f t="shared" ref="T1849" si="312">Q1849</f>
        <v>540</v>
      </c>
      <c r="U1849" s="83">
        <v>140</v>
      </c>
      <c r="V1849" s="1560">
        <f t="shared" ref="V1849" si="313">(((K1849*U1849)-P1849)/(K1849*U1849))</f>
        <v>0.31122448979591844</v>
      </c>
    </row>
    <row r="1850" spans="3:22" ht="18" customHeight="1">
      <c r="C1850" s="6" t="s">
        <v>4657</v>
      </c>
      <c r="D1850" s="13" t="s">
        <v>4658</v>
      </c>
      <c r="E1850" s="21"/>
      <c r="F1850" s="38"/>
      <c r="G1850" s="38" t="s">
        <v>218</v>
      </c>
      <c r="H1850" s="39"/>
      <c r="I1850" s="94"/>
      <c r="J1850" s="39">
        <v>1</v>
      </c>
      <c r="K1850" s="611">
        <v>12</v>
      </c>
      <c r="L1850" s="598">
        <v>12</v>
      </c>
      <c r="M1850" s="898"/>
      <c r="N1850" s="33">
        <v>45623</v>
      </c>
      <c r="O1850" s="32">
        <v>6658</v>
      </c>
      <c r="P1850" s="83">
        <v>900</v>
      </c>
      <c r="Q1850" s="83">
        <f t="shared" si="300"/>
        <v>900</v>
      </c>
      <c r="S1850" s="7">
        <f t="shared" si="301"/>
        <v>900</v>
      </c>
      <c r="T1850" s="1318">
        <f t="shared" si="302"/>
        <v>900</v>
      </c>
      <c r="U1850" s="83">
        <v>125</v>
      </c>
      <c r="V1850" s="1560">
        <f t="shared" si="303"/>
        <v>0.4</v>
      </c>
    </row>
    <row r="1851" spans="3:22" s="159" customFormat="1" ht="18" customHeight="1">
      <c r="C1851" s="149" t="s">
        <v>4657</v>
      </c>
      <c r="D1851" s="150" t="s">
        <v>4658</v>
      </c>
      <c r="E1851" s="191"/>
      <c r="F1851" s="152"/>
      <c r="G1851" s="152" t="s">
        <v>4564</v>
      </c>
      <c r="H1851" s="154" t="s">
        <v>169</v>
      </c>
      <c r="I1851" s="155"/>
      <c r="J1851" s="153"/>
      <c r="K1851" s="600">
        <v>0</v>
      </c>
      <c r="L1851" s="601"/>
      <c r="M1851" s="601"/>
      <c r="N1851" s="157">
        <v>45623</v>
      </c>
      <c r="O1851" s="156">
        <v>6658</v>
      </c>
      <c r="P1851" s="164">
        <v>0</v>
      </c>
      <c r="Q1851" s="165">
        <v>0</v>
      </c>
      <c r="S1851" s="7">
        <f t="shared" si="301"/>
        <v>0</v>
      </c>
      <c r="T1851" s="1318">
        <f t="shared" si="302"/>
        <v>0</v>
      </c>
      <c r="U1851" s="83">
        <v>125</v>
      </c>
    </row>
    <row r="1852" spans="3:22" s="7" customFormat="1" ht="18" customHeight="1">
      <c r="C1852" s="6" t="s">
        <v>4551</v>
      </c>
      <c r="D1852" s="13" t="s">
        <v>4552</v>
      </c>
      <c r="E1852" s="18" t="s">
        <v>2181</v>
      </c>
      <c r="F1852" s="23"/>
      <c r="G1852" s="21"/>
      <c r="H1852" s="55"/>
      <c r="I1852" s="56"/>
      <c r="J1852" s="55"/>
      <c r="K1852" s="15" t="s">
        <v>8</v>
      </c>
      <c r="L1852" s="10"/>
      <c r="M1852" s="10"/>
      <c r="N1852" s="33">
        <v>45632</v>
      </c>
      <c r="O1852" s="32">
        <v>6690</v>
      </c>
      <c r="P1852" s="100"/>
      <c r="Q1852" s="100"/>
      <c r="T1852" s="1301"/>
      <c r="U1852" s="6" t="s">
        <v>3</v>
      </c>
    </row>
    <row r="1853" spans="3:22" s="7" customFormat="1" ht="15.75" customHeight="1">
      <c r="C1853" s="6" t="s">
        <v>4551</v>
      </c>
      <c r="D1853" s="13" t="s">
        <v>4552</v>
      </c>
      <c r="E1853" s="21" t="s">
        <v>4558</v>
      </c>
      <c r="F1853" s="13"/>
      <c r="G1853" s="21" t="s">
        <v>4661</v>
      </c>
      <c r="H1853" s="93"/>
      <c r="I1853" s="94"/>
      <c r="J1853" s="8">
        <v>100</v>
      </c>
      <c r="K1853" s="611">
        <v>0.37</v>
      </c>
      <c r="L1853" s="598">
        <f t="shared" ref="L1853:L1856" si="314">K1853*J1853</f>
        <v>37</v>
      </c>
      <c r="M1853" s="97" t="s">
        <v>224</v>
      </c>
      <c r="N1853" s="33">
        <v>45632</v>
      </c>
      <c r="O1853" s="32">
        <v>6690</v>
      </c>
      <c r="P1853" s="83">
        <v>36</v>
      </c>
      <c r="Q1853" s="83">
        <f t="shared" ref="Q1853:Q1858" si="315">P1853*J1853</f>
        <v>3600</v>
      </c>
      <c r="R1853" s="7" t="s">
        <v>265</v>
      </c>
      <c r="S1853" s="7">
        <f t="shared" ref="S1853:S1861" si="316">P1853</f>
        <v>36</v>
      </c>
      <c r="T1853" s="1318">
        <f t="shared" ref="T1853:T1861" si="317">Q1853</f>
        <v>3600</v>
      </c>
      <c r="U1853" s="83">
        <v>140</v>
      </c>
      <c r="V1853" s="1560">
        <f t="shared" ref="V1853:V1861" si="318">(((K1853*U1853)-P1853)/(K1853*U1853))</f>
        <v>0.30501930501930496</v>
      </c>
    </row>
    <row r="1854" spans="3:22" s="7" customFormat="1" ht="15.75" customHeight="1">
      <c r="C1854" s="6" t="s">
        <v>4551</v>
      </c>
      <c r="D1854" s="13" t="s">
        <v>4552</v>
      </c>
      <c r="E1854" s="21" t="s">
        <v>4561</v>
      </c>
      <c r="F1854" s="13"/>
      <c r="G1854" s="21" t="s">
        <v>4661</v>
      </c>
      <c r="H1854" s="93"/>
      <c r="I1854" s="94"/>
      <c r="J1854" s="8">
        <v>100</v>
      </c>
      <c r="K1854" s="611">
        <v>0.39</v>
      </c>
      <c r="L1854" s="598">
        <f>K1854*J1854</f>
        <v>39</v>
      </c>
      <c r="M1854" s="97" t="s">
        <v>224</v>
      </c>
      <c r="N1854" s="33">
        <v>45632</v>
      </c>
      <c r="O1854" s="32">
        <v>6690</v>
      </c>
      <c r="P1854" s="83">
        <v>38</v>
      </c>
      <c r="Q1854" s="83">
        <f>P1854*J1854</f>
        <v>3800</v>
      </c>
      <c r="R1854" s="7" t="s">
        <v>265</v>
      </c>
      <c r="S1854" s="7">
        <f>P1854</f>
        <v>38</v>
      </c>
      <c r="T1854" s="1318">
        <f>Q1854</f>
        <v>3800</v>
      </c>
      <c r="U1854" s="83">
        <v>140</v>
      </c>
      <c r="V1854" s="1560">
        <f>(((K1854*U1854)-P1854)/(K1854*U1854))</f>
        <v>0.30402930402930406</v>
      </c>
    </row>
    <row r="1855" spans="3:22" s="7" customFormat="1" ht="15.75" customHeight="1">
      <c r="C1855" s="6" t="s">
        <v>4551</v>
      </c>
      <c r="D1855" s="13" t="s">
        <v>4552</v>
      </c>
      <c r="E1855" s="21" t="s">
        <v>4672</v>
      </c>
      <c r="F1855" s="13"/>
      <c r="G1855" s="21" t="s">
        <v>4661</v>
      </c>
      <c r="H1855" s="93"/>
      <c r="I1855" s="94"/>
      <c r="J1855" s="8">
        <v>100</v>
      </c>
      <c r="K1855" s="611">
        <v>0.36</v>
      </c>
      <c r="L1855" s="598">
        <f>K1855*J1855</f>
        <v>36</v>
      </c>
      <c r="M1855" s="97" t="s">
        <v>224</v>
      </c>
      <c r="N1855" s="33">
        <v>45632</v>
      </c>
      <c r="O1855" s="32">
        <v>6690</v>
      </c>
      <c r="P1855" s="83">
        <v>32</v>
      </c>
      <c r="Q1855" s="83">
        <f>P1855*J1855</f>
        <v>3200</v>
      </c>
      <c r="R1855" s="7" t="s">
        <v>265</v>
      </c>
      <c r="S1855" s="7">
        <f>P1855</f>
        <v>32</v>
      </c>
      <c r="T1855" s="1318">
        <f>Q1855</f>
        <v>3200</v>
      </c>
      <c r="U1855" s="83">
        <v>140</v>
      </c>
      <c r="V1855" s="1560">
        <f>(((K1855*U1855)-P1855)/(K1855*U1855))</f>
        <v>0.36507936507936506</v>
      </c>
    </row>
    <row r="1856" spans="3:22" s="7" customFormat="1" ht="15.75" customHeight="1">
      <c r="C1856" s="6" t="s">
        <v>4551</v>
      </c>
      <c r="D1856" s="13" t="s">
        <v>4552</v>
      </c>
      <c r="E1856" s="21" t="s">
        <v>4560</v>
      </c>
      <c r="F1856" s="13"/>
      <c r="G1856" s="21" t="s">
        <v>4661</v>
      </c>
      <c r="H1856" s="93"/>
      <c r="I1856" s="94"/>
      <c r="J1856" s="8">
        <v>100</v>
      </c>
      <c r="K1856" s="611">
        <v>0.28000000000000003</v>
      </c>
      <c r="L1856" s="598">
        <f t="shared" si="314"/>
        <v>28.000000000000004</v>
      </c>
      <c r="M1856" s="97" t="s">
        <v>224</v>
      </c>
      <c r="N1856" s="33">
        <v>45632</v>
      </c>
      <c r="O1856" s="32">
        <v>6690</v>
      </c>
      <c r="P1856" s="83">
        <v>27</v>
      </c>
      <c r="Q1856" s="83">
        <f t="shared" si="315"/>
        <v>2700</v>
      </c>
      <c r="R1856" s="7" t="s">
        <v>265</v>
      </c>
      <c r="S1856" s="7">
        <f t="shared" si="316"/>
        <v>27</v>
      </c>
      <c r="T1856" s="1318">
        <f t="shared" si="317"/>
        <v>2700</v>
      </c>
      <c r="U1856" s="83">
        <v>140</v>
      </c>
      <c r="V1856" s="1560">
        <f t="shared" si="318"/>
        <v>0.31122448979591844</v>
      </c>
    </row>
    <row r="1857" spans="3:22" s="7" customFormat="1" ht="15.75" customHeight="1">
      <c r="C1857" s="6" t="s">
        <v>4551</v>
      </c>
      <c r="D1857" s="13" t="s">
        <v>4552</v>
      </c>
      <c r="E1857" s="21" t="s">
        <v>4673</v>
      </c>
      <c r="F1857" s="13"/>
      <c r="G1857" s="21" t="s">
        <v>4661</v>
      </c>
      <c r="H1857" s="93"/>
      <c r="I1857" s="94"/>
      <c r="J1857" s="8">
        <v>100</v>
      </c>
      <c r="K1857" s="611">
        <v>0.59</v>
      </c>
      <c r="L1857" s="598">
        <f t="shared" ref="L1857:L1858" si="319">K1857*J1857</f>
        <v>59</v>
      </c>
      <c r="M1857" s="97" t="s">
        <v>224</v>
      </c>
      <c r="N1857" s="33">
        <v>45632</v>
      </c>
      <c r="O1857" s="32">
        <v>6690</v>
      </c>
      <c r="P1857" s="83">
        <v>53</v>
      </c>
      <c r="Q1857" s="83">
        <f t="shared" ref="Q1857" si="320">P1857*J1857</f>
        <v>5300</v>
      </c>
      <c r="R1857" s="7" t="s">
        <v>265</v>
      </c>
      <c r="S1857" s="7">
        <f t="shared" ref="S1857" si="321">P1857</f>
        <v>53</v>
      </c>
      <c r="T1857" s="1318">
        <f t="shared" ref="T1857" si="322">Q1857</f>
        <v>5300</v>
      </c>
      <c r="U1857" s="83">
        <v>140</v>
      </c>
      <c r="V1857" s="1560">
        <f t="shared" ref="V1857" si="323">(((K1857*U1857)-P1857)/(K1857*U1857))</f>
        <v>0.35835351089588374</v>
      </c>
    </row>
    <row r="1858" spans="3:22" ht="18" customHeight="1">
      <c r="C1858" s="6" t="s">
        <v>4551</v>
      </c>
      <c r="D1858" s="13" t="s">
        <v>4552</v>
      </c>
      <c r="E1858" s="21"/>
      <c r="F1858" s="38"/>
      <c r="G1858" s="38" t="s">
        <v>218</v>
      </c>
      <c r="H1858" s="39"/>
      <c r="I1858" s="94"/>
      <c r="J1858" s="39">
        <v>1</v>
      </c>
      <c r="K1858" s="611">
        <v>12</v>
      </c>
      <c r="L1858" s="598">
        <f t="shared" si="319"/>
        <v>12</v>
      </c>
      <c r="M1858" s="898"/>
      <c r="N1858" s="33">
        <v>45632</v>
      </c>
      <c r="O1858" s="32">
        <v>6690</v>
      </c>
      <c r="P1858" s="83">
        <v>0</v>
      </c>
      <c r="Q1858" s="83">
        <f t="shared" si="315"/>
        <v>0</v>
      </c>
      <c r="S1858" s="7">
        <f t="shared" si="316"/>
        <v>0</v>
      </c>
      <c r="T1858" s="1318">
        <f t="shared" si="317"/>
        <v>0</v>
      </c>
      <c r="U1858" s="83">
        <v>125</v>
      </c>
      <c r="V1858" s="1560">
        <f t="shared" si="318"/>
        <v>1</v>
      </c>
    </row>
    <row r="1859" spans="3:22" s="159" customFormat="1" ht="18" customHeight="1">
      <c r="C1859" s="149" t="s">
        <v>4551</v>
      </c>
      <c r="D1859" s="150" t="s">
        <v>4552</v>
      </c>
      <c r="E1859" s="191"/>
      <c r="F1859" s="152"/>
      <c r="G1859" s="152" t="s">
        <v>4564</v>
      </c>
      <c r="H1859" s="154" t="s">
        <v>4524</v>
      </c>
      <c r="I1859" s="155"/>
      <c r="J1859" s="154">
        <v>1</v>
      </c>
      <c r="K1859" s="911">
        <v>72</v>
      </c>
      <c r="L1859" s="911">
        <v>72</v>
      </c>
      <c r="M1859" s="601"/>
      <c r="N1859" s="157">
        <v>45632</v>
      </c>
      <c r="O1859" s="156">
        <v>6690</v>
      </c>
      <c r="P1859" s="83">
        <v>10960</v>
      </c>
      <c r="Q1859" s="83">
        <f>P1859*J1858</f>
        <v>10960</v>
      </c>
      <c r="S1859" s="83">
        <f t="shared" si="316"/>
        <v>10960</v>
      </c>
      <c r="T1859" s="1455">
        <f t="shared" si="317"/>
        <v>10960</v>
      </c>
      <c r="U1859" s="83">
        <v>125</v>
      </c>
      <c r="V1859" s="1560">
        <f t="shared" si="318"/>
        <v>-0.21777777777777776</v>
      </c>
    </row>
    <row r="1860" spans="3:22" s="7" customFormat="1" ht="18" customHeight="1">
      <c r="C1860" s="6" t="s">
        <v>4674</v>
      </c>
      <c r="D1860" s="13" t="s">
        <v>1812</v>
      </c>
      <c r="E1860" s="18" t="s">
        <v>79</v>
      </c>
      <c r="F1860" s="92"/>
      <c r="G1860" s="21"/>
      <c r="H1860" s="93"/>
      <c r="I1860" s="94"/>
      <c r="J1860" s="93"/>
      <c r="K1860" s="95" t="s">
        <v>8</v>
      </c>
      <c r="L1860" s="33"/>
      <c r="M1860" s="33"/>
      <c r="N1860" s="33">
        <v>45642</v>
      </c>
      <c r="O1860" s="32">
        <v>6702</v>
      </c>
      <c r="P1860" s="83"/>
      <c r="Q1860" s="83"/>
      <c r="S1860" s="7">
        <f t="shared" si="316"/>
        <v>0</v>
      </c>
      <c r="T1860" s="1318">
        <f t="shared" si="317"/>
        <v>0</v>
      </c>
      <c r="U1860" s="83">
        <v>125</v>
      </c>
      <c r="V1860" s="1560" t="e">
        <f t="shared" si="318"/>
        <v>#VALUE!</v>
      </c>
    </row>
    <row r="1861" spans="3:22" s="7" customFormat="1" ht="18" customHeight="1">
      <c r="C1861" s="6" t="s">
        <v>4674</v>
      </c>
      <c r="D1861" s="13" t="s">
        <v>1812</v>
      </c>
      <c r="E1861" s="21">
        <v>4141</v>
      </c>
      <c r="F1861" s="596">
        <v>9</v>
      </c>
      <c r="G1861" s="21" t="s">
        <v>4675</v>
      </c>
      <c r="H1861" s="93">
        <v>20</v>
      </c>
      <c r="I1861" s="94">
        <v>5</v>
      </c>
      <c r="J1861" s="55">
        <f>H1861*I1861</f>
        <v>100</v>
      </c>
      <c r="K1861" s="597">
        <v>1.33</v>
      </c>
      <c r="L1861" s="598">
        <f>K1861*J1861</f>
        <v>133</v>
      </c>
      <c r="M1861" s="97" t="s">
        <v>224</v>
      </c>
      <c r="N1861" s="33">
        <v>45642</v>
      </c>
      <c r="O1861" s="32">
        <v>6702</v>
      </c>
      <c r="P1861" s="83">
        <v>97</v>
      </c>
      <c r="Q1861" s="83">
        <f>P1861*J1861</f>
        <v>9700</v>
      </c>
      <c r="S1861" s="7">
        <f t="shared" si="316"/>
        <v>97</v>
      </c>
      <c r="T1861" s="1318">
        <f t="shared" si="317"/>
        <v>9700</v>
      </c>
      <c r="U1861" s="83">
        <v>125</v>
      </c>
      <c r="V1861" s="1560">
        <f t="shared" si="318"/>
        <v>0.41654135338345866</v>
      </c>
    </row>
    <row r="1862" spans="3:22" ht="18.600000000000001" customHeight="1">
      <c r="C1862" s="6" t="s">
        <v>4674</v>
      </c>
      <c r="D1862" s="13" t="s">
        <v>1812</v>
      </c>
      <c r="E1862" s="21"/>
      <c r="F1862" s="38"/>
      <c r="G1862" s="38" t="s">
        <v>218</v>
      </c>
      <c r="H1862" s="39"/>
      <c r="I1862" s="94"/>
      <c r="J1862" s="39">
        <v>1</v>
      </c>
      <c r="K1862" s="611">
        <v>12</v>
      </c>
      <c r="L1862" s="598">
        <f>K1862*J1862</f>
        <v>12</v>
      </c>
      <c r="M1862" s="898"/>
      <c r="N1862" s="33">
        <v>45642</v>
      </c>
      <c r="O1862" s="32">
        <v>6702</v>
      </c>
      <c r="P1862" s="83">
        <v>1100</v>
      </c>
      <c r="Q1862" s="83">
        <f>P1862*J1862</f>
        <v>1100</v>
      </c>
      <c r="S1862" s="7">
        <f t="shared" ref="S1862" si="324">P1862</f>
        <v>1100</v>
      </c>
      <c r="T1862" s="1318">
        <f t="shared" ref="T1862" si="325">Q1862</f>
        <v>1100</v>
      </c>
      <c r="U1862" s="83">
        <v>125</v>
      </c>
      <c r="V1862" s="1560">
        <f t="shared" ref="V1862:V1863" si="326">(((K1862*U1862)-P1862)/(K1862*U1862))</f>
        <v>0.26666666666666666</v>
      </c>
    </row>
    <row r="1863" spans="3:22" s="159" customFormat="1" ht="18" customHeight="1">
      <c r="C1863" s="149" t="s">
        <v>4674</v>
      </c>
      <c r="D1863" s="150" t="s">
        <v>1812</v>
      </c>
      <c r="E1863" s="191"/>
      <c r="F1863" s="152"/>
      <c r="G1863" s="152" t="s">
        <v>168</v>
      </c>
      <c r="H1863" s="154" t="s">
        <v>169</v>
      </c>
      <c r="I1863" s="155"/>
      <c r="J1863" s="153"/>
      <c r="K1863" s="600">
        <v>0</v>
      </c>
      <c r="L1863" s="601"/>
      <c r="M1863" s="601"/>
      <c r="N1863" s="157">
        <v>45642</v>
      </c>
      <c r="O1863" s="156">
        <v>6702</v>
      </c>
      <c r="P1863" s="179"/>
      <c r="Q1863" s="179"/>
      <c r="S1863" s="179"/>
      <c r="T1863" s="179"/>
      <c r="U1863" s="83">
        <v>125</v>
      </c>
      <c r="V1863" s="1560" t="e">
        <f t="shared" si="326"/>
        <v>#DIV/0!</v>
      </c>
    </row>
    <row r="1864" spans="3:22" s="7" customFormat="1" ht="18.600000000000001" customHeight="1">
      <c r="C1864" s="6" t="s">
        <v>4676</v>
      </c>
      <c r="D1864" s="13" t="s">
        <v>2277</v>
      </c>
      <c r="E1864" s="18" t="s">
        <v>19</v>
      </c>
      <c r="F1864" s="23"/>
      <c r="G1864" s="21"/>
      <c r="H1864" s="55"/>
      <c r="I1864" s="56"/>
      <c r="J1864" s="55"/>
      <c r="K1864" s="15" t="s">
        <v>8</v>
      </c>
      <c r="L1864" s="688"/>
      <c r="M1864" s="688"/>
      <c r="N1864" s="33">
        <v>45694</v>
      </c>
      <c r="O1864" s="32">
        <v>6827</v>
      </c>
      <c r="P1864" s="83"/>
      <c r="Q1864" s="83"/>
      <c r="S1864" s="7">
        <f t="shared" ref="S1864:S1867" si="327">P1864</f>
        <v>0</v>
      </c>
      <c r="T1864" s="1318">
        <f t="shared" ref="T1864:T1867" si="328">Q1864</f>
        <v>0</v>
      </c>
      <c r="U1864" s="83">
        <v>125</v>
      </c>
    </row>
    <row r="1865" spans="3:22" s="7" customFormat="1" ht="15.75">
      <c r="C1865" s="6" t="s">
        <v>4676</v>
      </c>
      <c r="D1865" s="13" t="s">
        <v>2277</v>
      </c>
      <c r="E1865" s="740" t="s">
        <v>2280</v>
      </c>
      <c r="F1865" s="23"/>
      <c r="G1865" s="21" t="s">
        <v>25</v>
      </c>
      <c r="H1865" s="93">
        <v>13.7</v>
      </c>
      <c r="I1865" s="94">
        <v>10</v>
      </c>
      <c r="J1865" s="108">
        <f>H1865*I1865</f>
        <v>137</v>
      </c>
      <c r="K1865" s="597">
        <v>7.43</v>
      </c>
      <c r="L1865" s="598">
        <f>K1865*J1865</f>
        <v>1017.91</v>
      </c>
      <c r="M1865" s="97" t="s">
        <v>224</v>
      </c>
      <c r="N1865" s="33">
        <v>45694</v>
      </c>
      <c r="O1865" s="32">
        <v>6827</v>
      </c>
      <c r="P1865" s="83">
        <v>650</v>
      </c>
      <c r="Q1865" s="83">
        <f>P1865*J1865</f>
        <v>89050</v>
      </c>
      <c r="S1865" s="7">
        <f t="shared" si="327"/>
        <v>650</v>
      </c>
      <c r="T1865" s="1318">
        <f t="shared" si="328"/>
        <v>89050</v>
      </c>
      <c r="U1865" s="83">
        <v>125</v>
      </c>
      <c r="V1865" s="1560">
        <f t="shared" ref="V1865:V1866" si="329">(((K1865*U1865)-P1865)/(K1865*U1865))</f>
        <v>0.30013458950201882</v>
      </c>
    </row>
    <row r="1866" spans="3:22" ht="18.600000000000001" customHeight="1">
      <c r="C1866" s="6" t="s">
        <v>4676</v>
      </c>
      <c r="D1866" s="13" t="s">
        <v>2277</v>
      </c>
      <c r="E1866" s="21"/>
      <c r="F1866" s="38"/>
      <c r="G1866" s="38" t="s">
        <v>218</v>
      </c>
      <c r="H1866" s="39"/>
      <c r="I1866" s="94"/>
      <c r="J1866" s="39">
        <v>1</v>
      </c>
      <c r="K1866" s="611">
        <v>12</v>
      </c>
      <c r="L1866" s="598">
        <f>K1866*J1866</f>
        <v>12</v>
      </c>
      <c r="M1866" s="898"/>
      <c r="N1866" s="33">
        <v>45694</v>
      </c>
      <c r="O1866" s="32">
        <v>6827</v>
      </c>
      <c r="P1866" s="83">
        <v>0</v>
      </c>
      <c r="Q1866" s="83">
        <f>P1866*J1866</f>
        <v>0</v>
      </c>
      <c r="S1866" s="7">
        <f t="shared" si="327"/>
        <v>0</v>
      </c>
      <c r="T1866" s="1318">
        <f t="shared" si="328"/>
        <v>0</v>
      </c>
      <c r="U1866" s="83">
        <v>125</v>
      </c>
      <c r="V1866" s="1560">
        <f t="shared" si="329"/>
        <v>1</v>
      </c>
    </row>
    <row r="1867" spans="3:22" s="159" customFormat="1" ht="18.600000000000001" customHeight="1">
      <c r="C1867" s="149" t="s">
        <v>4676</v>
      </c>
      <c r="D1867" s="150" t="s">
        <v>2277</v>
      </c>
      <c r="E1867" s="191"/>
      <c r="F1867" s="152"/>
      <c r="G1867" s="152" t="s">
        <v>168</v>
      </c>
      <c r="H1867" s="154" t="s">
        <v>169</v>
      </c>
      <c r="I1867" s="155"/>
      <c r="J1867" s="153"/>
      <c r="K1867" s="600">
        <v>0</v>
      </c>
      <c r="L1867" s="601"/>
      <c r="M1867" s="601"/>
      <c r="N1867" s="157">
        <v>45694</v>
      </c>
      <c r="O1867" s="156">
        <v>6827</v>
      </c>
      <c r="P1867" s="164">
        <v>0</v>
      </c>
      <c r="Q1867" s="165">
        <v>0</v>
      </c>
      <c r="S1867" s="7">
        <f t="shared" si="327"/>
        <v>0</v>
      </c>
      <c r="T1867" s="1318">
        <f t="shared" si="328"/>
        <v>0</v>
      </c>
      <c r="U1867" s="83">
        <v>125</v>
      </c>
    </row>
    <row r="1868" spans="3:22" s="7" customFormat="1" ht="18" customHeight="1">
      <c r="C1868" s="6" t="s">
        <v>4685</v>
      </c>
      <c r="D1868" s="13" t="s">
        <v>4696</v>
      </c>
      <c r="E1868" s="18" t="s">
        <v>2181</v>
      </c>
      <c r="F1868" s="23"/>
      <c r="G1868" s="21"/>
      <c r="H1868" s="55"/>
      <c r="I1868" s="56"/>
      <c r="J1868" s="55"/>
      <c r="K1868" s="15" t="s">
        <v>8</v>
      </c>
      <c r="L1868" s="10"/>
      <c r="M1868" s="10"/>
      <c r="N1868" s="33">
        <v>45674</v>
      </c>
      <c r="O1868" s="32">
        <v>6760</v>
      </c>
      <c r="P1868" s="100"/>
      <c r="Q1868" s="100"/>
      <c r="T1868" s="1301"/>
      <c r="U1868" s="6" t="s">
        <v>3</v>
      </c>
    </row>
    <row r="1869" spans="3:22" s="7" customFormat="1" ht="15.75" customHeight="1">
      <c r="C1869" s="6" t="s">
        <v>4685</v>
      </c>
      <c r="D1869" s="13" t="s">
        <v>4696</v>
      </c>
      <c r="E1869" s="21" t="s">
        <v>4682</v>
      </c>
      <c r="F1869" s="13"/>
      <c r="G1869" s="21" t="s">
        <v>4683</v>
      </c>
      <c r="H1869" s="93"/>
      <c r="I1869" s="94"/>
      <c r="J1869" s="8">
        <v>50</v>
      </c>
      <c r="K1869" s="611">
        <v>2.79</v>
      </c>
      <c r="L1869" s="598">
        <f t="shared" ref="L1869" si="330">K1869*J1869</f>
        <v>139.5</v>
      </c>
      <c r="M1869" s="97" t="s">
        <v>224</v>
      </c>
      <c r="N1869" s="33">
        <v>45674</v>
      </c>
      <c r="O1869" s="32">
        <v>6760</v>
      </c>
      <c r="P1869" s="83">
        <v>234</v>
      </c>
      <c r="Q1869" s="83">
        <f t="shared" ref="Q1869" si="331">P1869*J1869</f>
        <v>11700</v>
      </c>
      <c r="R1869" s="7" t="s">
        <v>265</v>
      </c>
      <c r="S1869" s="7">
        <f t="shared" ref="S1869" si="332">P1869</f>
        <v>234</v>
      </c>
      <c r="T1869" s="1318">
        <f t="shared" ref="T1869" si="333">Q1869</f>
        <v>11700</v>
      </c>
      <c r="U1869" s="83">
        <v>140</v>
      </c>
      <c r="V1869" s="1560">
        <f t="shared" ref="V1869" si="334">(((K1869*U1869)-P1869)/(K1869*U1869))</f>
        <v>0.40092165898617516</v>
      </c>
    </row>
    <row r="1870" spans="3:22" s="7" customFormat="1" ht="15.75" customHeight="1">
      <c r="C1870" s="6" t="s">
        <v>4685</v>
      </c>
      <c r="D1870" s="13" t="s">
        <v>4696</v>
      </c>
      <c r="E1870" s="21" t="s">
        <v>4682</v>
      </c>
      <c r="F1870" s="13"/>
      <c r="G1870" s="21" t="s">
        <v>4684</v>
      </c>
      <c r="H1870" s="93"/>
      <c r="I1870" s="94"/>
      <c r="J1870" s="8">
        <v>50</v>
      </c>
      <c r="K1870" s="611">
        <v>2.79</v>
      </c>
      <c r="L1870" s="598">
        <f t="shared" ref="L1870" si="335">K1870*J1870</f>
        <v>139.5</v>
      </c>
      <c r="M1870" s="97" t="s">
        <v>224</v>
      </c>
      <c r="N1870" s="33">
        <v>45674</v>
      </c>
      <c r="O1870" s="32">
        <v>6760</v>
      </c>
      <c r="P1870" s="83">
        <v>234</v>
      </c>
      <c r="Q1870" s="83">
        <f t="shared" ref="Q1870" si="336">P1870*J1870</f>
        <v>11700</v>
      </c>
      <c r="R1870" s="7" t="s">
        <v>265</v>
      </c>
      <c r="S1870" s="7">
        <f t="shared" ref="S1870:S1873" si="337">P1870</f>
        <v>234</v>
      </c>
      <c r="T1870" s="1318">
        <f t="shared" ref="T1870:T1873" si="338">Q1870</f>
        <v>11700</v>
      </c>
      <c r="U1870" s="83">
        <v>140</v>
      </c>
      <c r="V1870" s="1560">
        <f t="shared" ref="V1870:V1872" si="339">(((K1870*U1870)-P1870)/(K1870*U1870))</f>
        <v>0.40092165898617516</v>
      </c>
    </row>
    <row r="1871" spans="3:22" ht="18.600000000000001" customHeight="1">
      <c r="C1871" s="6" t="s">
        <v>4685</v>
      </c>
      <c r="D1871" s="13" t="s">
        <v>4696</v>
      </c>
      <c r="E1871" s="21"/>
      <c r="F1871" s="38"/>
      <c r="G1871" s="38" t="s">
        <v>4587</v>
      </c>
      <c r="H1871" s="39"/>
      <c r="I1871" s="94"/>
      <c r="J1871" s="39">
        <v>2</v>
      </c>
      <c r="K1871" s="611">
        <v>65</v>
      </c>
      <c r="L1871" s="598">
        <f>K1871*J1871</f>
        <v>130</v>
      </c>
      <c r="M1871" s="898"/>
      <c r="N1871" s="33">
        <v>45674</v>
      </c>
      <c r="O1871" s="32">
        <v>6760</v>
      </c>
      <c r="P1871" s="83">
        <v>7000</v>
      </c>
      <c r="Q1871" s="83">
        <f>P1871*J1871</f>
        <v>14000</v>
      </c>
      <c r="S1871" s="7">
        <f t="shared" si="337"/>
        <v>7000</v>
      </c>
      <c r="T1871" s="1318">
        <f t="shared" si="338"/>
        <v>14000</v>
      </c>
      <c r="U1871" s="83">
        <v>140</v>
      </c>
      <c r="V1871" s="1560">
        <f t="shared" si="339"/>
        <v>0.23076923076923078</v>
      </c>
    </row>
    <row r="1872" spans="3:22" ht="18.600000000000001" customHeight="1">
      <c r="C1872" s="6" t="s">
        <v>4685</v>
      </c>
      <c r="D1872" s="13" t="s">
        <v>4696</v>
      </c>
      <c r="E1872" s="21"/>
      <c r="F1872" s="38"/>
      <c r="G1872" s="38" t="s">
        <v>218</v>
      </c>
      <c r="H1872" s="39"/>
      <c r="I1872" s="94"/>
      <c r="J1872" s="39">
        <v>1</v>
      </c>
      <c r="K1872" s="611">
        <v>12</v>
      </c>
      <c r="L1872" s="598">
        <f>K1872*J1872</f>
        <v>12</v>
      </c>
      <c r="M1872" s="898"/>
      <c r="N1872" s="33">
        <v>45674</v>
      </c>
      <c r="O1872" s="32">
        <v>6760</v>
      </c>
      <c r="P1872" s="83">
        <v>0</v>
      </c>
      <c r="Q1872" s="83">
        <f>P1872*J1872</f>
        <v>0</v>
      </c>
      <c r="S1872" s="7">
        <f t="shared" si="337"/>
        <v>0</v>
      </c>
      <c r="T1872" s="1318">
        <f t="shared" si="338"/>
        <v>0</v>
      </c>
      <c r="U1872" s="83">
        <v>140</v>
      </c>
      <c r="V1872" s="1560">
        <f t="shared" si="339"/>
        <v>1</v>
      </c>
    </row>
    <row r="1873" spans="2:23" s="159" customFormat="1" ht="18.600000000000001" customHeight="1">
      <c r="C1873" s="149" t="s">
        <v>4685</v>
      </c>
      <c r="D1873" s="150" t="s">
        <v>4696</v>
      </c>
      <c r="E1873" s="191"/>
      <c r="F1873" s="152"/>
      <c r="G1873" s="152" t="s">
        <v>168</v>
      </c>
      <c r="H1873" s="154" t="s">
        <v>169</v>
      </c>
      <c r="I1873" s="155"/>
      <c r="J1873" s="153"/>
      <c r="K1873" s="600">
        <v>0</v>
      </c>
      <c r="L1873" s="601"/>
      <c r="M1873" s="601"/>
      <c r="N1873" s="157">
        <v>45674</v>
      </c>
      <c r="O1873" s="156">
        <v>6760</v>
      </c>
      <c r="P1873" s="164">
        <v>0</v>
      </c>
      <c r="Q1873" s="165">
        <v>0</v>
      </c>
      <c r="S1873" s="7">
        <f t="shared" si="337"/>
        <v>0</v>
      </c>
      <c r="T1873" s="1318">
        <f t="shared" si="338"/>
        <v>0</v>
      </c>
      <c r="U1873" s="83">
        <v>125</v>
      </c>
    </row>
    <row r="1874" spans="2:23" ht="15" customHeight="1">
      <c r="B1874" s="25"/>
      <c r="C1874" s="6" t="s">
        <v>4695</v>
      </c>
      <c r="D1874" s="13" t="s">
        <v>4696</v>
      </c>
      <c r="E1874" s="18" t="s">
        <v>4691</v>
      </c>
      <c r="F1874" s="23"/>
      <c r="G1874" s="21"/>
      <c r="H1874" s="14"/>
      <c r="I1874" s="56"/>
      <c r="J1874" s="55"/>
      <c r="K1874" s="95" t="s">
        <v>8</v>
      </c>
      <c r="L1874" s="33"/>
      <c r="M1874" s="33"/>
      <c r="N1874" s="33">
        <v>45667</v>
      </c>
      <c r="O1874" s="32">
        <v>6759</v>
      </c>
      <c r="P1874" s="6" t="s">
        <v>11</v>
      </c>
      <c r="Q1874" s="1794"/>
      <c r="S1874" s="1795"/>
      <c r="T1874" s="83"/>
      <c r="U1874" s="1796"/>
      <c r="V1874" s="1452">
        <v>120</v>
      </c>
      <c r="W1874"/>
    </row>
    <row r="1875" spans="2:23" ht="15.75">
      <c r="B1875" s="25" t="s">
        <v>4692</v>
      </c>
      <c r="C1875" s="6" t="s">
        <v>4695</v>
      </c>
      <c r="D1875" s="13" t="s">
        <v>4696</v>
      </c>
      <c r="E1875" s="21" t="s">
        <v>4693</v>
      </c>
      <c r="F1875" s="23" t="s">
        <v>4694</v>
      </c>
      <c r="G1875" s="21" t="s">
        <v>4697</v>
      </c>
      <c r="H1875" s="55">
        <v>22</v>
      </c>
      <c r="I1875" s="56">
        <v>1</v>
      </c>
      <c r="J1875" s="55">
        <f>H1875*I1875</f>
        <v>22</v>
      </c>
      <c r="K1875" s="611">
        <v>1.32</v>
      </c>
      <c r="L1875" s="598">
        <f>K1875*J1875</f>
        <v>29.040000000000003</v>
      </c>
      <c r="M1875" s="97" t="s">
        <v>224</v>
      </c>
      <c r="N1875" s="33">
        <v>45667</v>
      </c>
      <c r="O1875" s="32">
        <v>6759</v>
      </c>
      <c r="P1875" s="83">
        <v>83</v>
      </c>
      <c r="Q1875" s="83">
        <f t="shared" ref="Q1875" si="340">P1875*J1875</f>
        <v>1826</v>
      </c>
      <c r="R1875" s="7" t="s">
        <v>265</v>
      </c>
      <c r="S1875" s="7">
        <f t="shared" ref="S1875:S1879" si="341">P1875</f>
        <v>83</v>
      </c>
      <c r="T1875" s="1318">
        <f t="shared" ref="T1875:T1879" si="342">Q1875</f>
        <v>1826</v>
      </c>
      <c r="U1875" s="83">
        <v>140</v>
      </c>
      <c r="V1875" s="1560">
        <f t="shared" ref="V1875:V1876" si="343">(((K1875*U1875)-P1875)/(K1875*U1875))</f>
        <v>0.55086580086580095</v>
      </c>
      <c r="W1875" s="7"/>
    </row>
    <row r="1876" spans="2:23" ht="18.600000000000001" customHeight="1">
      <c r="C1876" s="116" t="s">
        <v>4695</v>
      </c>
      <c r="D1876" s="81" t="s">
        <v>4696</v>
      </c>
      <c r="E1876" s="126"/>
      <c r="F1876" s="36"/>
      <c r="G1876" s="36" t="s">
        <v>218</v>
      </c>
      <c r="H1876" s="37"/>
      <c r="I1876" s="166"/>
      <c r="J1876" s="37">
        <v>1</v>
      </c>
      <c r="K1876" s="724">
        <v>0</v>
      </c>
      <c r="L1876" s="1621">
        <f>K1876*J1876</f>
        <v>0</v>
      </c>
      <c r="M1876" s="1813"/>
      <c r="N1876" s="33">
        <v>45667</v>
      </c>
      <c r="O1876" s="1814">
        <v>6759</v>
      </c>
      <c r="P1876" s="83">
        <v>600</v>
      </c>
      <c r="Q1876" s="83">
        <f>P1876*J1876</f>
        <v>600</v>
      </c>
      <c r="R1876" s="700"/>
      <c r="S1876" s="7">
        <f t="shared" si="341"/>
        <v>600</v>
      </c>
      <c r="T1876" s="1318">
        <f t="shared" si="342"/>
        <v>600</v>
      </c>
      <c r="U1876" s="83">
        <v>140</v>
      </c>
      <c r="V1876" s="1560" t="e">
        <f t="shared" si="343"/>
        <v>#DIV/0!</v>
      </c>
    </row>
    <row r="1877" spans="2:23" s="159" customFormat="1" ht="18.600000000000001" customHeight="1">
      <c r="C1877" s="149" t="s">
        <v>4695</v>
      </c>
      <c r="D1877" s="150" t="s">
        <v>4696</v>
      </c>
      <c r="E1877" s="191"/>
      <c r="F1877" s="152"/>
      <c r="G1877" s="152" t="s">
        <v>168</v>
      </c>
      <c r="H1877" s="154" t="s">
        <v>169</v>
      </c>
      <c r="I1877" s="155"/>
      <c r="J1877" s="153"/>
      <c r="K1877" s="600">
        <v>0</v>
      </c>
      <c r="L1877" s="601"/>
      <c r="M1877" s="601"/>
      <c r="N1877" s="157">
        <v>45667</v>
      </c>
      <c r="O1877" s="156">
        <v>6759</v>
      </c>
      <c r="P1877" s="164">
        <v>0</v>
      </c>
      <c r="Q1877" s="165">
        <v>0</v>
      </c>
      <c r="S1877" s="7">
        <f t="shared" si="341"/>
        <v>0</v>
      </c>
      <c r="T1877" s="1318">
        <f t="shared" si="342"/>
        <v>0</v>
      </c>
      <c r="U1877" s="83">
        <v>125</v>
      </c>
    </row>
    <row r="1878" spans="2:23" s="7" customFormat="1" ht="18" customHeight="1">
      <c r="C1878" s="6" t="s">
        <v>4699</v>
      </c>
      <c r="D1878" s="13" t="s">
        <v>2277</v>
      </c>
      <c r="E1878" s="18" t="s">
        <v>19</v>
      </c>
      <c r="F1878" s="23"/>
      <c r="G1878" s="21"/>
      <c r="H1878" s="55"/>
      <c r="I1878" s="56"/>
      <c r="J1878" s="55"/>
      <c r="K1878" s="15" t="s">
        <v>8</v>
      </c>
      <c r="L1878" s="688"/>
      <c r="M1878" s="688"/>
      <c r="N1878" s="33">
        <v>45674</v>
      </c>
      <c r="O1878" s="32">
        <v>6777</v>
      </c>
      <c r="P1878" s="83"/>
      <c r="Q1878" s="83"/>
      <c r="S1878" s="7">
        <f t="shared" si="341"/>
        <v>0</v>
      </c>
      <c r="T1878" s="1318">
        <f t="shared" si="342"/>
        <v>0</v>
      </c>
      <c r="U1878" s="83">
        <v>125</v>
      </c>
    </row>
    <row r="1879" spans="2:23" s="7" customFormat="1" ht="18" customHeight="1">
      <c r="C1879" s="6" t="s">
        <v>4699</v>
      </c>
      <c r="D1879" s="13" t="s">
        <v>2277</v>
      </c>
      <c r="E1879" s="740" t="s">
        <v>2761</v>
      </c>
      <c r="F1879" s="23"/>
      <c r="G1879" s="21" t="s">
        <v>25</v>
      </c>
      <c r="H1879" s="93">
        <v>13.7</v>
      </c>
      <c r="I1879" s="94">
        <v>3</v>
      </c>
      <c r="J1879" s="108">
        <f>H1879*I1879</f>
        <v>41.099999999999994</v>
      </c>
      <c r="K1879" s="597">
        <v>9.82</v>
      </c>
      <c r="L1879" s="598">
        <f>K1879*J1879</f>
        <v>403.60199999999998</v>
      </c>
      <c r="M1879" s="97" t="s">
        <v>224</v>
      </c>
      <c r="N1879" s="33">
        <v>45674</v>
      </c>
      <c r="O1879" s="32">
        <v>6777</v>
      </c>
      <c r="P1879" s="83">
        <v>870</v>
      </c>
      <c r="Q1879" s="83">
        <f>P1879*J1879</f>
        <v>35756.999999999993</v>
      </c>
      <c r="S1879" s="7">
        <f t="shared" si="341"/>
        <v>870</v>
      </c>
      <c r="T1879" s="1318">
        <f t="shared" si="342"/>
        <v>35756.999999999993</v>
      </c>
      <c r="U1879" s="83">
        <v>125</v>
      </c>
      <c r="V1879" s="1560">
        <f>(((K1879*U1879)-P1879)/(K1879*U1879))</f>
        <v>0.29124236252545826</v>
      </c>
    </row>
    <row r="1880" spans="2:23" ht="18" customHeight="1">
      <c r="C1880" s="6" t="s">
        <v>4699</v>
      </c>
      <c r="D1880" s="13" t="s">
        <v>2277</v>
      </c>
      <c r="E1880" s="21"/>
      <c r="F1880" s="38"/>
      <c r="G1880" s="38" t="s">
        <v>218</v>
      </c>
      <c r="H1880" s="39"/>
      <c r="I1880" s="94"/>
      <c r="J1880" s="39">
        <v>1</v>
      </c>
      <c r="K1880" s="611">
        <v>12</v>
      </c>
      <c r="L1880" s="598">
        <f>K1880*J1880</f>
        <v>12</v>
      </c>
      <c r="M1880" s="898"/>
      <c r="N1880" s="33">
        <v>45674</v>
      </c>
      <c r="O1880" s="32">
        <v>6777</v>
      </c>
      <c r="P1880" s="83">
        <v>0</v>
      </c>
      <c r="Q1880" s="83">
        <v>0</v>
      </c>
      <c r="S1880" s="7">
        <f>P1880</f>
        <v>0</v>
      </c>
      <c r="T1880" s="1318">
        <f>Q1880</f>
        <v>0</v>
      </c>
      <c r="U1880" s="83">
        <v>125</v>
      </c>
    </row>
    <row r="1881" spans="2:23" s="159" customFormat="1" ht="18" customHeight="1">
      <c r="C1881" s="149" t="s">
        <v>4699</v>
      </c>
      <c r="D1881" s="150" t="s">
        <v>2277</v>
      </c>
      <c r="E1881" s="191"/>
      <c r="F1881" s="152"/>
      <c r="G1881" s="152" t="s">
        <v>168</v>
      </c>
      <c r="H1881" s="154" t="s">
        <v>169</v>
      </c>
      <c r="I1881" s="155"/>
      <c r="J1881" s="153"/>
      <c r="K1881" s="600">
        <v>0</v>
      </c>
      <c r="L1881" s="601"/>
      <c r="M1881" s="601"/>
      <c r="N1881" s="157">
        <v>45674</v>
      </c>
      <c r="O1881" s="156">
        <v>6777</v>
      </c>
      <c r="P1881" s="164">
        <v>0</v>
      </c>
      <c r="Q1881" s="165">
        <v>0</v>
      </c>
      <c r="S1881" s="7">
        <f t="shared" ref="S1881" si="344">P1881</f>
        <v>0</v>
      </c>
      <c r="T1881" s="1318">
        <f t="shared" ref="T1881" si="345">Q1881</f>
        <v>0</v>
      </c>
      <c r="U1881" s="83">
        <v>125</v>
      </c>
    </row>
    <row r="1882" spans="2:23" ht="15" customHeight="1">
      <c r="B1882" s="25"/>
      <c r="C1882" s="6" t="s">
        <v>4700</v>
      </c>
      <c r="D1882" s="13" t="s">
        <v>4696</v>
      </c>
      <c r="E1882" s="18" t="s">
        <v>4691</v>
      </c>
      <c r="F1882" s="23"/>
      <c r="G1882" s="21"/>
      <c r="H1882" s="14"/>
      <c r="I1882" s="56"/>
      <c r="J1882" s="55"/>
      <c r="K1882" s="95" t="s">
        <v>8</v>
      </c>
      <c r="L1882" s="33"/>
      <c r="M1882" s="33"/>
      <c r="N1882" s="33">
        <v>45679</v>
      </c>
      <c r="O1882" s="32">
        <v>6791</v>
      </c>
      <c r="P1882" s="6" t="s">
        <v>11</v>
      </c>
      <c r="Q1882" s="1794"/>
      <c r="S1882" s="1795"/>
      <c r="T1882" s="83"/>
      <c r="U1882" s="1796"/>
      <c r="V1882" s="1452">
        <v>120</v>
      </c>
      <c r="W1882"/>
    </row>
    <row r="1883" spans="2:23" ht="15.75">
      <c r="B1883" s="25" t="s">
        <v>4692</v>
      </c>
      <c r="C1883" s="6" t="s">
        <v>4700</v>
      </c>
      <c r="D1883" s="13" t="s">
        <v>4696</v>
      </c>
      <c r="E1883" s="1819" t="s">
        <v>4693</v>
      </c>
      <c r="F1883" s="23" t="s">
        <v>4694</v>
      </c>
      <c r="G1883" s="21" t="s">
        <v>4701</v>
      </c>
      <c r="H1883" s="55">
        <v>20</v>
      </c>
      <c r="I1883" s="56">
        <v>2</v>
      </c>
      <c r="J1883" s="55">
        <f>H1883*I1883</f>
        <v>40</v>
      </c>
      <c r="K1883" s="611">
        <v>1.32</v>
      </c>
      <c r="L1883" s="598">
        <f>K1883*J1883</f>
        <v>52.800000000000004</v>
      </c>
      <c r="M1883" s="97" t="s">
        <v>224</v>
      </c>
      <c r="N1883" s="1818">
        <v>45679</v>
      </c>
      <c r="O1883" s="32">
        <v>6791</v>
      </c>
      <c r="P1883" s="83">
        <v>83</v>
      </c>
      <c r="Q1883" s="83">
        <f t="shared" ref="Q1883" si="346">P1883*J1883</f>
        <v>3320</v>
      </c>
      <c r="R1883" s="7" t="s">
        <v>265</v>
      </c>
      <c r="S1883" s="7">
        <f t="shared" ref="S1883:S1895" si="347">P1883</f>
        <v>83</v>
      </c>
      <c r="T1883" s="1318">
        <f t="shared" ref="T1883:T1895" si="348">Q1883</f>
        <v>3320</v>
      </c>
      <c r="U1883" s="83">
        <v>140</v>
      </c>
      <c r="V1883" s="1560">
        <f t="shared" ref="V1883" si="349">(((K1883*U1883)-P1883)/(K1883*U1883))</f>
        <v>0.55086580086580095</v>
      </c>
      <c r="W1883" s="7"/>
    </row>
    <row r="1884" spans="2:23" ht="18" customHeight="1">
      <c r="C1884" s="6" t="s">
        <v>4700</v>
      </c>
      <c r="D1884" s="13" t="s">
        <v>4696</v>
      </c>
      <c r="E1884" s="21"/>
      <c r="F1884" s="38"/>
      <c r="G1884" s="38" t="s">
        <v>218</v>
      </c>
      <c r="H1884" s="39"/>
      <c r="I1884" s="94"/>
      <c r="J1884" s="39">
        <v>1</v>
      </c>
      <c r="K1884" s="611">
        <v>12</v>
      </c>
      <c r="L1884" s="598">
        <f>K1884*J1884</f>
        <v>12</v>
      </c>
      <c r="M1884" s="898"/>
      <c r="N1884" s="33">
        <v>45679</v>
      </c>
      <c r="O1884" s="32">
        <v>6791</v>
      </c>
      <c r="P1884" s="1817">
        <v>600</v>
      </c>
      <c r="Q1884" s="1817">
        <f>P1884*J1884</f>
        <v>600</v>
      </c>
      <c r="S1884" s="7">
        <f>P1884</f>
        <v>600</v>
      </c>
      <c r="T1884" s="1318">
        <f>Q1884</f>
        <v>600</v>
      </c>
      <c r="U1884" s="83">
        <v>125</v>
      </c>
    </row>
    <row r="1885" spans="2:23" s="159" customFormat="1" ht="18.600000000000001" customHeight="1">
      <c r="C1885" s="149" t="s">
        <v>4700</v>
      </c>
      <c r="D1885" s="150" t="s">
        <v>4696</v>
      </c>
      <c r="E1885" s="191"/>
      <c r="F1885" s="152"/>
      <c r="G1885" s="152" t="s">
        <v>168</v>
      </c>
      <c r="H1885" s="154" t="s">
        <v>169</v>
      </c>
      <c r="I1885" s="155"/>
      <c r="J1885" s="153"/>
      <c r="K1885" s="600">
        <v>0</v>
      </c>
      <c r="L1885" s="601"/>
      <c r="M1885" s="601"/>
      <c r="N1885" s="157">
        <v>45679</v>
      </c>
      <c r="O1885" s="156">
        <v>6791</v>
      </c>
      <c r="P1885" s="164">
        <v>0</v>
      </c>
      <c r="Q1885" s="165">
        <v>0</v>
      </c>
      <c r="S1885" s="7">
        <f t="shared" si="347"/>
        <v>0</v>
      </c>
      <c r="T1885" s="1318">
        <f t="shared" si="348"/>
        <v>0</v>
      </c>
      <c r="U1885" s="83">
        <v>125</v>
      </c>
    </row>
    <row r="1886" spans="2:23" s="7" customFormat="1" ht="15">
      <c r="C1886" s="6"/>
      <c r="D1886" s="13" t="s">
        <v>4768</v>
      </c>
      <c r="E1886" s="18" t="s">
        <v>262</v>
      </c>
      <c r="F1886" s="23"/>
      <c r="G1886" s="21"/>
      <c r="H1886" s="55"/>
      <c r="I1886" s="56"/>
      <c r="J1886" s="55"/>
      <c r="K1886" s="15" t="s">
        <v>8</v>
      </c>
      <c r="L1886" s="688"/>
      <c r="M1886" s="688"/>
      <c r="N1886" s="1833">
        <v>45727</v>
      </c>
      <c r="O1886" s="690">
        <v>6931</v>
      </c>
      <c r="P1886" s="1832" t="s">
        <v>4771</v>
      </c>
      <c r="Q1886" s="83"/>
      <c r="S1886" s="7" t="str">
        <f t="shared" si="347"/>
        <v>カット代+300</v>
      </c>
      <c r="T1886" s="1318">
        <f t="shared" si="348"/>
        <v>0</v>
      </c>
      <c r="U1886" s="100"/>
    </row>
    <row r="1887" spans="2:23" ht="18" customHeight="1">
      <c r="C1887" s="6"/>
      <c r="D1887" s="13" t="s">
        <v>4768</v>
      </c>
      <c r="E1887" s="47" t="s">
        <v>4770</v>
      </c>
      <c r="F1887" s="52">
        <v>112</v>
      </c>
      <c r="G1887" s="47" t="s">
        <v>4769</v>
      </c>
      <c r="H1887" s="17"/>
      <c r="I1887" s="56"/>
      <c r="J1887" s="55">
        <v>5</v>
      </c>
      <c r="K1887" s="611">
        <v>9.3800000000000008</v>
      </c>
      <c r="L1887" s="598">
        <f>K1887*J1887</f>
        <v>46.900000000000006</v>
      </c>
      <c r="M1887" s="97" t="s">
        <v>224</v>
      </c>
      <c r="N1887" s="1833">
        <v>45727</v>
      </c>
      <c r="O1887" s="690">
        <v>6931</v>
      </c>
      <c r="P1887" s="83">
        <f>750+300</f>
        <v>1050</v>
      </c>
      <c r="Q1887" s="83">
        <f>P1887*J1887</f>
        <v>5250</v>
      </c>
      <c r="S1887" s="7">
        <f t="shared" si="347"/>
        <v>1050</v>
      </c>
      <c r="T1887" s="1318">
        <f t="shared" si="348"/>
        <v>5250</v>
      </c>
      <c r="U1887" s="83">
        <v>140</v>
      </c>
      <c r="V1887" s="1560">
        <f t="shared" ref="V1887" si="350">(((K1887*U1887)-P1887)/(K1887*U1887))</f>
        <v>0.20042643923240941</v>
      </c>
    </row>
    <row r="1888" spans="2:23" s="159" customFormat="1" ht="15">
      <c r="C1888" s="149"/>
      <c r="D1888" s="150" t="s">
        <v>4768</v>
      </c>
      <c r="E1888" s="151"/>
      <c r="F1888" s="152"/>
      <c r="G1888" s="152" t="s">
        <v>168</v>
      </c>
      <c r="H1888" s="154" t="s">
        <v>169</v>
      </c>
      <c r="I1888" s="155"/>
      <c r="J1888" s="153"/>
      <c r="K1888" s="600">
        <v>0</v>
      </c>
      <c r="L1888" s="601"/>
      <c r="M1888" s="601"/>
      <c r="N1888" s="879">
        <v>45727</v>
      </c>
      <c r="O1888" s="880">
        <v>6931</v>
      </c>
      <c r="P1888" s="164">
        <v>0</v>
      </c>
      <c r="Q1888" s="165">
        <v>0</v>
      </c>
      <c r="S1888" s="7">
        <f t="shared" si="347"/>
        <v>0</v>
      </c>
      <c r="T1888" s="1318">
        <f t="shared" si="348"/>
        <v>0</v>
      </c>
      <c r="U1888" s="268"/>
    </row>
    <row r="1889" spans="3:22" s="7" customFormat="1" ht="18" customHeight="1">
      <c r="C1889" s="6" t="s">
        <v>4822</v>
      </c>
      <c r="D1889" s="13" t="s">
        <v>4696</v>
      </c>
      <c r="E1889" s="18" t="s">
        <v>79</v>
      </c>
      <c r="F1889" s="92"/>
      <c r="G1889" s="21"/>
      <c r="H1889" s="93"/>
      <c r="I1889" s="94"/>
      <c r="J1889" s="93"/>
      <c r="K1889" s="95" t="s">
        <v>8</v>
      </c>
      <c r="L1889" s="33"/>
      <c r="M1889" s="33"/>
      <c r="N1889" s="33">
        <v>45733</v>
      </c>
      <c r="O1889" s="32">
        <v>6941</v>
      </c>
      <c r="P1889" s="83"/>
      <c r="Q1889" s="83"/>
      <c r="S1889" s="7">
        <f t="shared" si="347"/>
        <v>0</v>
      </c>
      <c r="T1889" s="1318">
        <f t="shared" si="348"/>
        <v>0</v>
      </c>
      <c r="U1889" s="83">
        <v>125</v>
      </c>
      <c r="V1889" s="1560" t="e">
        <f t="shared" ref="V1889:V1896" si="351">(((K1889*U1889)-P1889)/(K1889*U1889))</f>
        <v>#VALUE!</v>
      </c>
    </row>
    <row r="1890" spans="3:22" s="7" customFormat="1" ht="18" customHeight="1">
      <c r="C1890" s="6" t="s">
        <v>4822</v>
      </c>
      <c r="D1890" s="13" t="s">
        <v>4696</v>
      </c>
      <c r="E1890" s="21">
        <v>4141</v>
      </c>
      <c r="F1890" s="596">
        <v>6</v>
      </c>
      <c r="G1890" s="21" t="s">
        <v>4820</v>
      </c>
      <c r="H1890" s="93">
        <v>20</v>
      </c>
      <c r="I1890" s="94">
        <v>1</v>
      </c>
      <c r="J1890" s="55">
        <f>H1890*I1890</f>
        <v>20</v>
      </c>
      <c r="K1890" s="597">
        <v>1.2</v>
      </c>
      <c r="L1890" s="598">
        <f t="shared" ref="L1890:L1895" si="352">K1890*J1890</f>
        <v>24</v>
      </c>
      <c r="M1890" s="97" t="s">
        <v>224</v>
      </c>
      <c r="N1890" s="33">
        <v>45733</v>
      </c>
      <c r="O1890" s="32">
        <v>6941</v>
      </c>
      <c r="P1890" s="83">
        <v>87</v>
      </c>
      <c r="Q1890" s="83">
        <f t="shared" ref="Q1890:Q1895" si="353">P1890*J1890</f>
        <v>1740</v>
      </c>
      <c r="S1890" s="7">
        <f t="shared" si="347"/>
        <v>87</v>
      </c>
      <c r="T1890" s="1318">
        <f t="shared" si="348"/>
        <v>1740</v>
      </c>
      <c r="U1890" s="83">
        <v>125</v>
      </c>
      <c r="V1890" s="1560">
        <f t="shared" si="351"/>
        <v>0.42</v>
      </c>
    </row>
    <row r="1891" spans="3:22" s="7" customFormat="1" ht="18" customHeight="1">
      <c r="C1891" s="6" t="s">
        <v>4822</v>
      </c>
      <c r="D1891" s="13" t="s">
        <v>4696</v>
      </c>
      <c r="E1891" s="21">
        <v>4141</v>
      </c>
      <c r="F1891" s="596">
        <v>12</v>
      </c>
      <c r="G1891" s="21" t="s">
        <v>4820</v>
      </c>
      <c r="H1891" s="93">
        <v>20</v>
      </c>
      <c r="I1891" s="94">
        <v>1</v>
      </c>
      <c r="J1891" s="55">
        <f>H1891*I1891</f>
        <v>20</v>
      </c>
      <c r="K1891" s="597">
        <v>1.52</v>
      </c>
      <c r="L1891" s="598">
        <f t="shared" si="352"/>
        <v>30.4</v>
      </c>
      <c r="M1891" s="97" t="s">
        <v>224</v>
      </c>
      <c r="N1891" s="33">
        <v>45733</v>
      </c>
      <c r="O1891" s="32">
        <v>6941</v>
      </c>
      <c r="P1891" s="83">
        <v>110</v>
      </c>
      <c r="Q1891" s="83">
        <f t="shared" si="353"/>
        <v>2200</v>
      </c>
      <c r="S1891" s="7">
        <f t="shared" ref="S1891:S1892" si="354">P1891</f>
        <v>110</v>
      </c>
      <c r="T1891" s="1318">
        <f t="shared" ref="T1891:T1892" si="355">Q1891</f>
        <v>2200</v>
      </c>
      <c r="U1891" s="83">
        <v>125</v>
      </c>
      <c r="V1891" s="1560">
        <f t="shared" ref="V1891:V1892" si="356">(((K1891*U1891)-P1891)/(K1891*U1891))</f>
        <v>0.42105263157894735</v>
      </c>
    </row>
    <row r="1892" spans="3:22" s="7" customFormat="1" ht="18" customHeight="1">
      <c r="C1892" s="6" t="s">
        <v>4822</v>
      </c>
      <c r="D1892" s="13" t="s">
        <v>4696</v>
      </c>
      <c r="E1892" s="21">
        <v>4141</v>
      </c>
      <c r="F1892" s="596">
        <v>6</v>
      </c>
      <c r="G1892" s="21" t="s">
        <v>65</v>
      </c>
      <c r="H1892" s="93">
        <v>20</v>
      </c>
      <c r="I1892" s="94">
        <v>1</v>
      </c>
      <c r="J1892" s="55">
        <f>H1892*I1892</f>
        <v>20</v>
      </c>
      <c r="K1892" s="597">
        <v>1.2</v>
      </c>
      <c r="L1892" s="598">
        <f t="shared" si="352"/>
        <v>24</v>
      </c>
      <c r="M1892" s="97" t="s">
        <v>224</v>
      </c>
      <c r="N1892" s="33">
        <v>45733</v>
      </c>
      <c r="O1892" s="32">
        <v>6941</v>
      </c>
      <c r="P1892" s="83">
        <v>87</v>
      </c>
      <c r="Q1892" s="83">
        <f t="shared" si="353"/>
        <v>1740</v>
      </c>
      <c r="S1892" s="7">
        <f t="shared" si="354"/>
        <v>87</v>
      </c>
      <c r="T1892" s="1318">
        <f t="shared" si="355"/>
        <v>1740</v>
      </c>
      <c r="U1892" s="83">
        <v>125</v>
      </c>
      <c r="V1892" s="1560">
        <f t="shared" si="356"/>
        <v>0.42</v>
      </c>
    </row>
    <row r="1893" spans="3:22" s="7" customFormat="1" ht="18" customHeight="1">
      <c r="C1893" s="6" t="s">
        <v>4822</v>
      </c>
      <c r="D1893" s="13" t="s">
        <v>4696</v>
      </c>
      <c r="E1893" s="21">
        <v>4141</v>
      </c>
      <c r="F1893" s="596">
        <v>12</v>
      </c>
      <c r="G1893" s="21" t="s">
        <v>65</v>
      </c>
      <c r="H1893" s="93">
        <v>20</v>
      </c>
      <c r="I1893" s="94">
        <v>1</v>
      </c>
      <c r="J1893" s="55">
        <f>H1893*I1893</f>
        <v>20</v>
      </c>
      <c r="K1893" s="597">
        <v>1.52</v>
      </c>
      <c r="L1893" s="598">
        <f t="shared" si="352"/>
        <v>30.4</v>
      </c>
      <c r="M1893" s="97" t="s">
        <v>224</v>
      </c>
      <c r="N1893" s="33">
        <v>45733</v>
      </c>
      <c r="O1893" s="32">
        <v>6941</v>
      </c>
      <c r="P1893" s="83">
        <v>110</v>
      </c>
      <c r="Q1893" s="83">
        <f t="shared" si="353"/>
        <v>2200</v>
      </c>
      <c r="S1893" s="7">
        <f t="shared" ref="S1893:S1894" si="357">P1893</f>
        <v>110</v>
      </c>
      <c r="T1893" s="1318">
        <f t="shared" ref="T1893:T1894" si="358">Q1893</f>
        <v>2200</v>
      </c>
      <c r="U1893" s="83">
        <v>125</v>
      </c>
      <c r="V1893" s="1560">
        <f t="shared" ref="V1893:V1894" si="359">(((K1893*U1893)-P1893)/(K1893*U1893))</f>
        <v>0.42105263157894735</v>
      </c>
    </row>
    <row r="1894" spans="3:22" s="7" customFormat="1" ht="18" customHeight="1">
      <c r="C1894" s="6" t="s">
        <v>4822</v>
      </c>
      <c r="D1894" s="13" t="s">
        <v>4696</v>
      </c>
      <c r="E1894" s="21">
        <v>4141</v>
      </c>
      <c r="F1894" s="596">
        <v>6</v>
      </c>
      <c r="G1894" s="21" t="s">
        <v>4821</v>
      </c>
      <c r="H1894" s="93">
        <v>20</v>
      </c>
      <c r="I1894" s="94">
        <v>1</v>
      </c>
      <c r="J1894" s="55">
        <f>H1894*I1894</f>
        <v>20</v>
      </c>
      <c r="K1894" s="597">
        <v>1.2</v>
      </c>
      <c r="L1894" s="598">
        <f t="shared" si="352"/>
        <v>24</v>
      </c>
      <c r="M1894" s="97" t="s">
        <v>224</v>
      </c>
      <c r="N1894" s="33">
        <v>45733</v>
      </c>
      <c r="O1894" s="32">
        <v>6941</v>
      </c>
      <c r="P1894" s="83">
        <v>87</v>
      </c>
      <c r="Q1894" s="83">
        <f t="shared" si="353"/>
        <v>1740</v>
      </c>
      <c r="S1894" s="7">
        <f t="shared" si="357"/>
        <v>87</v>
      </c>
      <c r="T1894" s="1318">
        <f t="shared" si="358"/>
        <v>1740</v>
      </c>
      <c r="U1894" s="83">
        <v>125</v>
      </c>
      <c r="V1894" s="1560">
        <f t="shared" si="359"/>
        <v>0.42</v>
      </c>
    </row>
    <row r="1895" spans="3:22" ht="18.600000000000001" customHeight="1">
      <c r="C1895" s="6" t="s">
        <v>4822</v>
      </c>
      <c r="D1895" s="13" t="s">
        <v>4696</v>
      </c>
      <c r="E1895" s="21"/>
      <c r="F1895" s="38"/>
      <c r="G1895" s="38" t="s">
        <v>218</v>
      </c>
      <c r="H1895" s="39"/>
      <c r="I1895" s="94"/>
      <c r="J1895" s="39">
        <v>1</v>
      </c>
      <c r="K1895" s="611">
        <v>12</v>
      </c>
      <c r="L1895" s="598">
        <f t="shared" si="352"/>
        <v>12</v>
      </c>
      <c r="M1895" s="898"/>
      <c r="N1895" s="33">
        <v>45733</v>
      </c>
      <c r="O1895" s="32">
        <v>6941</v>
      </c>
      <c r="P1895" s="83">
        <v>1100</v>
      </c>
      <c r="Q1895" s="83">
        <f t="shared" si="353"/>
        <v>1100</v>
      </c>
      <c r="S1895" s="7">
        <f t="shared" si="347"/>
        <v>1100</v>
      </c>
      <c r="T1895" s="1318">
        <f t="shared" si="348"/>
        <v>1100</v>
      </c>
      <c r="U1895" s="83">
        <v>125</v>
      </c>
      <c r="V1895" s="1560">
        <f t="shared" si="351"/>
        <v>0.26666666666666666</v>
      </c>
    </row>
    <row r="1896" spans="3:22" s="159" customFormat="1" ht="18" customHeight="1">
      <c r="C1896" s="149" t="s">
        <v>4822</v>
      </c>
      <c r="D1896" s="150" t="s">
        <v>4696</v>
      </c>
      <c r="E1896" s="191"/>
      <c r="F1896" s="152"/>
      <c r="G1896" s="152" t="s">
        <v>168</v>
      </c>
      <c r="H1896" s="154" t="s">
        <v>169</v>
      </c>
      <c r="I1896" s="155"/>
      <c r="J1896" s="153"/>
      <c r="K1896" s="600">
        <v>0</v>
      </c>
      <c r="L1896" s="601"/>
      <c r="M1896" s="601"/>
      <c r="N1896" s="157">
        <v>45733</v>
      </c>
      <c r="O1896" s="156">
        <v>6941</v>
      </c>
      <c r="P1896" s="179"/>
      <c r="Q1896" s="179"/>
      <c r="S1896" s="179"/>
      <c r="T1896" s="179"/>
      <c r="U1896" s="83">
        <v>125</v>
      </c>
      <c r="V1896" s="1560" t="e">
        <f t="shared" si="351"/>
        <v>#DIV/0!</v>
      </c>
    </row>
    <row r="1897" spans="3:22" s="7" customFormat="1" ht="18" customHeight="1">
      <c r="C1897" s="6" t="s">
        <v>4871</v>
      </c>
      <c r="D1897" s="13" t="s">
        <v>4658</v>
      </c>
      <c r="E1897" s="18" t="s">
        <v>2181</v>
      </c>
      <c r="F1897" s="23"/>
      <c r="G1897" s="21"/>
      <c r="H1897" s="55"/>
      <c r="I1897" s="56"/>
      <c r="J1897" s="55"/>
      <c r="K1897" s="15" t="s">
        <v>8</v>
      </c>
      <c r="L1897" s="10"/>
      <c r="M1897" s="10"/>
      <c r="N1897" s="33">
        <v>45768</v>
      </c>
      <c r="O1897" s="32">
        <v>7040</v>
      </c>
      <c r="P1897" s="100"/>
      <c r="Q1897" s="100"/>
      <c r="T1897" s="1301"/>
      <c r="U1897" s="6" t="s">
        <v>3</v>
      </c>
    </row>
    <row r="1898" spans="3:22" s="7" customFormat="1" ht="15.75" customHeight="1">
      <c r="C1898" s="6" t="s">
        <v>4871</v>
      </c>
      <c r="D1898" s="13" t="s">
        <v>4658</v>
      </c>
      <c r="E1898" s="21" t="s">
        <v>4660</v>
      </c>
      <c r="F1898" s="13"/>
      <c r="G1898" s="21" t="s">
        <v>4661</v>
      </c>
      <c r="H1898" s="93"/>
      <c r="I1898" s="94"/>
      <c r="J1898" s="8">
        <v>255</v>
      </c>
      <c r="K1898" s="611">
        <v>0.52</v>
      </c>
      <c r="L1898" s="598">
        <f>K1898*J1898</f>
        <v>132.6</v>
      </c>
      <c r="M1898" s="97" t="s">
        <v>224</v>
      </c>
      <c r="N1898" s="33">
        <v>45768</v>
      </c>
      <c r="O1898" s="32">
        <v>7040</v>
      </c>
      <c r="P1898" s="83">
        <v>43</v>
      </c>
      <c r="Q1898" s="83">
        <f>P1898*J1898</f>
        <v>10965</v>
      </c>
      <c r="R1898" s="7" t="s">
        <v>265</v>
      </c>
      <c r="S1898" s="7">
        <f>P1898</f>
        <v>43</v>
      </c>
      <c r="T1898" s="1318">
        <f>Q1898</f>
        <v>10965</v>
      </c>
      <c r="U1898" s="83">
        <v>140</v>
      </c>
      <c r="V1898" s="1560">
        <f>(((K1898*U1898)-P1898)/(K1898*U1898))</f>
        <v>0.40934065934065933</v>
      </c>
    </row>
    <row r="1899" spans="3:22" s="7" customFormat="1" ht="15.75" customHeight="1">
      <c r="C1899" s="6" t="s">
        <v>4871</v>
      </c>
      <c r="D1899" s="13" t="s">
        <v>4658</v>
      </c>
      <c r="E1899" s="21" t="s">
        <v>4659</v>
      </c>
      <c r="F1899" s="13"/>
      <c r="G1899" s="21" t="s">
        <v>4661</v>
      </c>
      <c r="H1899" s="93"/>
      <c r="I1899" s="94"/>
      <c r="J1899" s="8">
        <v>55</v>
      </c>
      <c r="K1899" s="611">
        <v>0.57999999999999996</v>
      </c>
      <c r="L1899" s="598">
        <f t="shared" ref="L1899" si="360">K1899*J1899</f>
        <v>31.9</v>
      </c>
      <c r="M1899" s="97" t="s">
        <v>224</v>
      </c>
      <c r="N1899" s="33">
        <v>45768</v>
      </c>
      <c r="O1899" s="32">
        <v>7040</v>
      </c>
      <c r="P1899" s="83">
        <v>48</v>
      </c>
      <c r="Q1899" s="83">
        <f t="shared" ref="Q1899:Q1900" si="361">P1899*J1899</f>
        <v>2640</v>
      </c>
      <c r="R1899" s="7" t="s">
        <v>265</v>
      </c>
      <c r="S1899" s="7">
        <f t="shared" ref="S1899:S1910" si="362">P1899</f>
        <v>48</v>
      </c>
      <c r="T1899" s="1318">
        <f t="shared" ref="T1899:T1910" si="363">Q1899</f>
        <v>2640</v>
      </c>
      <c r="U1899" s="83">
        <v>140</v>
      </c>
      <c r="V1899" s="1560">
        <f t="shared" ref="V1899:V1900" si="364">(((K1899*U1899)-P1899)/(K1899*U1899))</f>
        <v>0.40886699507389157</v>
      </c>
    </row>
    <row r="1900" spans="3:22" ht="18" customHeight="1">
      <c r="C1900" s="6" t="s">
        <v>4871</v>
      </c>
      <c r="D1900" s="13" t="s">
        <v>4658</v>
      </c>
      <c r="E1900" s="21"/>
      <c r="F1900" s="38"/>
      <c r="G1900" s="38" t="s">
        <v>218</v>
      </c>
      <c r="H1900" s="39"/>
      <c r="I1900" s="94"/>
      <c r="J1900" s="39">
        <v>1</v>
      </c>
      <c r="K1900" s="611">
        <v>12</v>
      </c>
      <c r="L1900" s="598">
        <v>12</v>
      </c>
      <c r="M1900" s="898"/>
      <c r="N1900" s="33">
        <v>45768</v>
      </c>
      <c r="O1900" s="32">
        <v>7040</v>
      </c>
      <c r="P1900" s="83">
        <v>0</v>
      </c>
      <c r="Q1900" s="83">
        <f t="shared" si="361"/>
        <v>0</v>
      </c>
      <c r="S1900" s="7">
        <f t="shared" si="362"/>
        <v>0</v>
      </c>
      <c r="T1900" s="1318">
        <f t="shared" si="363"/>
        <v>0</v>
      </c>
      <c r="U1900" s="83">
        <v>125</v>
      </c>
      <c r="V1900" s="1560">
        <f t="shared" si="364"/>
        <v>1</v>
      </c>
    </row>
    <row r="1901" spans="3:22" s="159" customFormat="1" ht="18" customHeight="1">
      <c r="C1901" s="149" t="s">
        <v>4871</v>
      </c>
      <c r="D1901" s="150" t="s">
        <v>4658</v>
      </c>
      <c r="E1901" s="191"/>
      <c r="F1901" s="152"/>
      <c r="G1901" s="152" t="s">
        <v>4564</v>
      </c>
      <c r="H1901" s="154" t="s">
        <v>169</v>
      </c>
      <c r="I1901" s="155"/>
      <c r="J1901" s="153"/>
      <c r="K1901" s="600">
        <v>0</v>
      </c>
      <c r="L1901" s="601"/>
      <c r="M1901" s="601"/>
      <c r="N1901" s="157">
        <v>45768</v>
      </c>
      <c r="O1901" s="156">
        <v>7040</v>
      </c>
      <c r="P1901" s="164">
        <v>0</v>
      </c>
      <c r="Q1901" s="165">
        <v>0</v>
      </c>
      <c r="S1901" s="7">
        <f t="shared" si="362"/>
        <v>0</v>
      </c>
      <c r="T1901" s="1318">
        <f t="shared" si="363"/>
        <v>0</v>
      </c>
      <c r="U1901" s="83">
        <v>125</v>
      </c>
    </row>
    <row r="1902" spans="3:22" s="7" customFormat="1" ht="18.600000000000001" customHeight="1">
      <c r="C1902" s="6" t="s">
        <v>4873</v>
      </c>
      <c r="D1902" s="13" t="s">
        <v>2277</v>
      </c>
      <c r="E1902" s="18" t="s">
        <v>19</v>
      </c>
      <c r="F1902" s="23"/>
      <c r="G1902" s="21"/>
      <c r="H1902" s="55"/>
      <c r="I1902" s="56"/>
      <c r="J1902" s="55"/>
      <c r="K1902" s="15" t="s">
        <v>8</v>
      </c>
      <c r="L1902" s="688"/>
      <c r="M1902" s="688"/>
      <c r="N1902" s="33">
        <v>45772</v>
      </c>
      <c r="O1902" s="32">
        <v>7060</v>
      </c>
      <c r="P1902" s="83"/>
      <c r="Q1902" s="83"/>
      <c r="S1902" s="7">
        <f t="shared" si="362"/>
        <v>0</v>
      </c>
      <c r="T1902" s="1318">
        <f t="shared" si="363"/>
        <v>0</v>
      </c>
      <c r="U1902" s="83">
        <v>125</v>
      </c>
    </row>
    <row r="1903" spans="3:22" s="7" customFormat="1" ht="18.600000000000001" customHeight="1">
      <c r="C1903" s="6" t="s">
        <v>4873</v>
      </c>
      <c r="D1903" s="13" t="s">
        <v>2277</v>
      </c>
      <c r="E1903" s="740" t="s">
        <v>2722</v>
      </c>
      <c r="F1903" s="23"/>
      <c r="G1903" s="21" t="s">
        <v>25</v>
      </c>
      <c r="H1903" s="93">
        <v>13.7</v>
      </c>
      <c r="I1903" s="94">
        <v>1</v>
      </c>
      <c r="J1903" s="108">
        <f>H1903*I1903</f>
        <v>13.7</v>
      </c>
      <c r="K1903" s="597">
        <v>3.87</v>
      </c>
      <c r="L1903" s="598">
        <f>K1903*J1903</f>
        <v>53.018999999999998</v>
      </c>
      <c r="M1903" s="97" t="s">
        <v>224</v>
      </c>
      <c r="N1903" s="33">
        <v>45772</v>
      </c>
      <c r="O1903" s="32">
        <v>7060</v>
      </c>
      <c r="P1903" s="83">
        <v>300</v>
      </c>
      <c r="Q1903" s="83">
        <f>P1903*J1903</f>
        <v>4110</v>
      </c>
      <c r="S1903" s="7">
        <f t="shared" si="362"/>
        <v>300</v>
      </c>
      <c r="T1903" s="1318">
        <f t="shared" si="363"/>
        <v>4110</v>
      </c>
      <c r="U1903" s="83">
        <v>125</v>
      </c>
      <c r="V1903" s="1560">
        <f t="shared" ref="V1903:V1904" si="365">(((K1903*U1903)-P1903)/(K1903*U1903))</f>
        <v>0.37984496124031009</v>
      </c>
    </row>
    <row r="1904" spans="3:22" ht="18.600000000000001" customHeight="1">
      <c r="C1904" s="6" t="s">
        <v>4873</v>
      </c>
      <c r="D1904" s="13" t="s">
        <v>2277</v>
      </c>
      <c r="E1904" s="21"/>
      <c r="F1904" s="38"/>
      <c r="G1904" s="38" t="s">
        <v>218</v>
      </c>
      <c r="H1904" s="39"/>
      <c r="I1904" s="94"/>
      <c r="J1904" s="39">
        <v>1</v>
      </c>
      <c r="K1904" s="611">
        <v>12</v>
      </c>
      <c r="L1904" s="598">
        <f>K1904*J1904</f>
        <v>12</v>
      </c>
      <c r="M1904" s="898"/>
      <c r="N1904" s="33">
        <v>45772</v>
      </c>
      <c r="O1904" s="32">
        <v>7060</v>
      </c>
      <c r="P1904" s="83">
        <v>0</v>
      </c>
      <c r="Q1904" s="83">
        <f>P1904*J1904</f>
        <v>0</v>
      </c>
      <c r="S1904" s="7">
        <f t="shared" si="362"/>
        <v>0</v>
      </c>
      <c r="T1904" s="1318">
        <f t="shared" si="363"/>
        <v>0</v>
      </c>
      <c r="U1904" s="83">
        <v>125</v>
      </c>
      <c r="V1904" s="1560">
        <f t="shared" si="365"/>
        <v>1</v>
      </c>
    </row>
    <row r="1905" spans="3:22" s="159" customFormat="1" ht="18.600000000000001" customHeight="1">
      <c r="C1905" s="149" t="s">
        <v>4873</v>
      </c>
      <c r="D1905" s="150" t="s">
        <v>2277</v>
      </c>
      <c r="E1905" s="191"/>
      <c r="F1905" s="152"/>
      <c r="G1905" s="152" t="s">
        <v>168</v>
      </c>
      <c r="H1905" s="154" t="s">
        <v>169</v>
      </c>
      <c r="I1905" s="155"/>
      <c r="J1905" s="153"/>
      <c r="K1905" s="600">
        <v>0</v>
      </c>
      <c r="L1905" s="601"/>
      <c r="M1905" s="601"/>
      <c r="N1905" s="157">
        <v>45772</v>
      </c>
      <c r="O1905" s="156">
        <v>7060</v>
      </c>
      <c r="P1905" s="164">
        <v>0</v>
      </c>
      <c r="Q1905" s="165">
        <v>0</v>
      </c>
      <c r="S1905" s="7">
        <f t="shared" si="362"/>
        <v>0</v>
      </c>
      <c r="T1905" s="1318">
        <f t="shared" si="363"/>
        <v>0</v>
      </c>
      <c r="U1905" s="83">
        <v>125</v>
      </c>
    </row>
    <row r="1906" spans="3:22" s="7" customFormat="1" ht="18" customHeight="1">
      <c r="C1906" s="6" t="s">
        <v>4874</v>
      </c>
      <c r="D1906" s="13" t="s">
        <v>4696</v>
      </c>
      <c r="E1906" s="18" t="s">
        <v>79</v>
      </c>
      <c r="F1906" s="92"/>
      <c r="G1906" s="21"/>
      <c r="H1906" s="93"/>
      <c r="I1906" s="94"/>
      <c r="J1906" s="93"/>
      <c r="K1906" s="95" t="s">
        <v>8</v>
      </c>
      <c r="L1906" s="33"/>
      <c r="M1906" s="33"/>
      <c r="N1906" s="33">
        <v>45771</v>
      </c>
      <c r="O1906" s="32">
        <v>7059</v>
      </c>
      <c r="P1906" s="83"/>
      <c r="Q1906" s="83"/>
      <c r="S1906" s="7">
        <f t="shared" si="362"/>
        <v>0</v>
      </c>
      <c r="T1906" s="1318">
        <f t="shared" si="363"/>
        <v>0</v>
      </c>
      <c r="U1906" s="83">
        <v>125</v>
      </c>
      <c r="V1906" s="1560" t="e">
        <f t="shared" ref="V1906:V1911" si="366">(((K1906*U1906)-P1906)/(K1906*U1906))</f>
        <v>#VALUE!</v>
      </c>
    </row>
    <row r="1907" spans="3:22" s="7" customFormat="1" ht="18" customHeight="1">
      <c r="C1907" s="6" t="s">
        <v>4874</v>
      </c>
      <c r="D1907" s="13" t="s">
        <v>4696</v>
      </c>
      <c r="E1907" s="21">
        <v>4141</v>
      </c>
      <c r="F1907" s="596">
        <v>6</v>
      </c>
      <c r="G1907" s="21" t="s">
        <v>4875</v>
      </c>
      <c r="H1907" s="93">
        <v>20</v>
      </c>
      <c r="I1907" s="94">
        <v>1</v>
      </c>
      <c r="J1907" s="55">
        <f>H1907*I1907</f>
        <v>20</v>
      </c>
      <c r="K1907" s="597">
        <v>1.2</v>
      </c>
      <c r="L1907" s="598">
        <f t="shared" ref="L1907:L1910" si="367">K1907*J1907</f>
        <v>24</v>
      </c>
      <c r="M1907" s="97" t="s">
        <v>224</v>
      </c>
      <c r="N1907" s="33">
        <v>45771</v>
      </c>
      <c r="O1907" s="32">
        <v>7059</v>
      </c>
      <c r="P1907" s="83">
        <v>87</v>
      </c>
      <c r="Q1907" s="83">
        <f t="shared" ref="Q1907:Q1910" si="368">P1907*J1907</f>
        <v>1740</v>
      </c>
      <c r="S1907" s="7">
        <f t="shared" si="362"/>
        <v>87</v>
      </c>
      <c r="T1907" s="1318">
        <f t="shared" si="363"/>
        <v>1740</v>
      </c>
      <c r="U1907" s="83">
        <v>125</v>
      </c>
      <c r="V1907" s="1560">
        <f t="shared" si="366"/>
        <v>0.42</v>
      </c>
    </row>
    <row r="1908" spans="3:22" s="7" customFormat="1" ht="18" customHeight="1">
      <c r="C1908" s="6" t="s">
        <v>4874</v>
      </c>
      <c r="D1908" s="13" t="s">
        <v>4696</v>
      </c>
      <c r="E1908" s="21">
        <v>4141</v>
      </c>
      <c r="F1908" s="596">
        <v>6</v>
      </c>
      <c r="G1908" s="21" t="s">
        <v>4876</v>
      </c>
      <c r="H1908" s="93">
        <v>20</v>
      </c>
      <c r="I1908" s="94">
        <v>1</v>
      </c>
      <c r="J1908" s="55">
        <f>H1908*I1908</f>
        <v>20</v>
      </c>
      <c r="K1908" s="597">
        <v>1.2</v>
      </c>
      <c r="L1908" s="598">
        <f t="shared" si="367"/>
        <v>24</v>
      </c>
      <c r="M1908" s="97" t="s">
        <v>224</v>
      </c>
      <c r="N1908" s="33">
        <v>45771</v>
      </c>
      <c r="O1908" s="32">
        <v>7059</v>
      </c>
      <c r="P1908" s="83">
        <v>87</v>
      </c>
      <c r="Q1908" s="83">
        <f t="shared" si="368"/>
        <v>1740</v>
      </c>
      <c r="S1908" s="7">
        <f t="shared" si="362"/>
        <v>87</v>
      </c>
      <c r="T1908" s="1318">
        <f t="shared" si="363"/>
        <v>1740</v>
      </c>
      <c r="U1908" s="83">
        <v>125</v>
      </c>
      <c r="V1908" s="1560">
        <f t="shared" si="366"/>
        <v>0.42</v>
      </c>
    </row>
    <row r="1909" spans="3:22" s="7" customFormat="1" ht="18" customHeight="1">
      <c r="C1909" s="6" t="s">
        <v>4874</v>
      </c>
      <c r="D1909" s="13" t="s">
        <v>4696</v>
      </c>
      <c r="E1909" s="21">
        <v>4141</v>
      </c>
      <c r="F1909" s="596">
        <v>6</v>
      </c>
      <c r="G1909" s="21" t="s">
        <v>4877</v>
      </c>
      <c r="H1909" s="93">
        <v>20</v>
      </c>
      <c r="I1909" s="94">
        <v>1</v>
      </c>
      <c r="J1909" s="55">
        <f>H1909*I1909</f>
        <v>20</v>
      </c>
      <c r="K1909" s="597">
        <v>1.2</v>
      </c>
      <c r="L1909" s="598">
        <f t="shared" si="367"/>
        <v>24</v>
      </c>
      <c r="M1909" s="97" t="s">
        <v>224</v>
      </c>
      <c r="N1909" s="33">
        <v>45771</v>
      </c>
      <c r="O1909" s="32">
        <v>7059</v>
      </c>
      <c r="P1909" s="83">
        <v>87</v>
      </c>
      <c r="Q1909" s="83">
        <f t="shared" si="368"/>
        <v>1740</v>
      </c>
      <c r="S1909" s="7">
        <f t="shared" si="362"/>
        <v>87</v>
      </c>
      <c r="T1909" s="1318">
        <f t="shared" si="363"/>
        <v>1740</v>
      </c>
      <c r="U1909" s="83">
        <v>125</v>
      </c>
      <c r="V1909" s="1560">
        <f t="shared" si="366"/>
        <v>0.42</v>
      </c>
    </row>
    <row r="1910" spans="3:22" ht="18.600000000000001" customHeight="1">
      <c r="C1910" s="6" t="s">
        <v>4874</v>
      </c>
      <c r="D1910" s="13" t="s">
        <v>4696</v>
      </c>
      <c r="E1910" s="21"/>
      <c r="F1910" s="38"/>
      <c r="G1910" s="38" t="s">
        <v>218</v>
      </c>
      <c r="H1910" s="39"/>
      <c r="I1910" s="94"/>
      <c r="J1910" s="39">
        <v>1</v>
      </c>
      <c r="K1910" s="611">
        <v>12</v>
      </c>
      <c r="L1910" s="598">
        <f t="shared" si="367"/>
        <v>12</v>
      </c>
      <c r="M1910" s="898"/>
      <c r="N1910" s="33">
        <v>45771</v>
      </c>
      <c r="O1910" s="32">
        <v>7059</v>
      </c>
      <c r="P1910" s="83">
        <v>1100</v>
      </c>
      <c r="Q1910" s="83">
        <f t="shared" si="368"/>
        <v>1100</v>
      </c>
      <c r="S1910" s="7">
        <f t="shared" si="362"/>
        <v>1100</v>
      </c>
      <c r="T1910" s="1318">
        <f t="shared" si="363"/>
        <v>1100</v>
      </c>
      <c r="U1910" s="83">
        <v>125</v>
      </c>
      <c r="V1910" s="1560">
        <f t="shared" si="366"/>
        <v>0.26666666666666666</v>
      </c>
    </row>
    <row r="1911" spans="3:22" s="159" customFormat="1" ht="18" customHeight="1">
      <c r="C1911" s="149" t="s">
        <v>4874</v>
      </c>
      <c r="D1911" s="150" t="s">
        <v>4696</v>
      </c>
      <c r="E1911" s="191"/>
      <c r="F1911" s="152"/>
      <c r="G1911" s="152" t="s">
        <v>168</v>
      </c>
      <c r="H1911" s="154" t="s">
        <v>169</v>
      </c>
      <c r="I1911" s="155"/>
      <c r="J1911" s="153"/>
      <c r="K1911" s="600">
        <v>0</v>
      </c>
      <c r="L1911" s="601"/>
      <c r="M1911" s="601"/>
      <c r="N1911" s="157">
        <v>45771</v>
      </c>
      <c r="O1911" s="156">
        <v>7059</v>
      </c>
      <c r="P1911" s="179"/>
      <c r="Q1911" s="179"/>
      <c r="S1911" s="179"/>
      <c r="T1911" s="179"/>
      <c r="U1911" s="83">
        <v>125</v>
      </c>
      <c r="V1911" s="1560" t="e">
        <f t="shared" si="366"/>
        <v>#DIV/0!</v>
      </c>
    </row>
    <row r="1912" spans="3:22" s="7" customFormat="1" ht="18" customHeight="1">
      <c r="C1912" s="6" t="s">
        <v>4878</v>
      </c>
      <c r="D1912" s="13" t="s">
        <v>4649</v>
      </c>
      <c r="E1912" s="18" t="s">
        <v>1978</v>
      </c>
      <c r="F1912" s="92"/>
      <c r="G1912" s="21"/>
      <c r="H1912" s="93"/>
      <c r="I1912" s="94"/>
      <c r="J1912" s="93"/>
      <c r="K1912" s="95" t="s">
        <v>8</v>
      </c>
      <c r="L1912" s="33"/>
      <c r="M1912" s="33"/>
      <c r="N1912" s="33">
        <v>45775</v>
      </c>
      <c r="O1912" s="32">
        <v>7072</v>
      </c>
      <c r="P1912" s="83"/>
      <c r="Q1912" s="83"/>
      <c r="S1912" s="7">
        <f t="shared" ref="S1912:S1915" si="369">P1912</f>
        <v>0</v>
      </c>
      <c r="T1912" s="1318">
        <f t="shared" ref="T1912:T1915" si="370">Q1912</f>
        <v>0</v>
      </c>
      <c r="U1912" s="13"/>
    </row>
    <row r="1913" spans="3:22" s="7" customFormat="1" ht="18" customHeight="1">
      <c r="C1913" s="6" t="s">
        <v>4878</v>
      </c>
      <c r="D1913" s="13" t="s">
        <v>4649</v>
      </c>
      <c r="E1913" s="21">
        <v>1966</v>
      </c>
      <c r="F1913" s="596"/>
      <c r="G1913" s="21" t="s">
        <v>4650</v>
      </c>
      <c r="H1913" s="93">
        <v>30</v>
      </c>
      <c r="I1913" s="94">
        <v>7</v>
      </c>
      <c r="J1913" s="55">
        <f>H1913*I1913</f>
        <v>210</v>
      </c>
      <c r="K1913" s="611">
        <v>0.8</v>
      </c>
      <c r="L1913" s="598">
        <f t="shared" ref="L1913:L1914" si="371">K1913*J1913</f>
        <v>168</v>
      </c>
      <c r="M1913" s="97" t="s">
        <v>224</v>
      </c>
      <c r="N1913" s="1818">
        <v>45775</v>
      </c>
      <c r="O1913" s="32">
        <v>7072</v>
      </c>
      <c r="P1913" s="83">
        <v>47</v>
      </c>
      <c r="Q1913" s="83">
        <f>P1913*J1913</f>
        <v>9870</v>
      </c>
      <c r="S1913" s="7">
        <f t="shared" si="369"/>
        <v>47</v>
      </c>
      <c r="T1913" s="1318">
        <f t="shared" si="370"/>
        <v>9870</v>
      </c>
      <c r="U1913" s="83">
        <v>125</v>
      </c>
      <c r="V1913" s="1560">
        <f t="shared" ref="V1913:V1915" si="372">(((K1913*U1913)-P1913)/(K1913*U1913))</f>
        <v>0.53</v>
      </c>
    </row>
    <row r="1914" spans="3:22" s="7" customFormat="1" ht="15.75">
      <c r="C1914" s="6" t="s">
        <v>4878</v>
      </c>
      <c r="D1914" s="13" t="s">
        <v>4649</v>
      </c>
      <c r="E1914" s="48"/>
      <c r="F1914" s="38"/>
      <c r="G1914" s="38" t="s">
        <v>218</v>
      </c>
      <c r="H1914" s="39"/>
      <c r="I1914" s="94"/>
      <c r="J1914" s="39">
        <v>1</v>
      </c>
      <c r="K1914" s="611">
        <v>12</v>
      </c>
      <c r="L1914" s="598">
        <f t="shared" si="371"/>
        <v>12</v>
      </c>
      <c r="M1914" s="97"/>
      <c r="N1914" s="33">
        <v>45775</v>
      </c>
      <c r="O1914" s="32">
        <v>7072</v>
      </c>
      <c r="P1914" s="83">
        <v>900</v>
      </c>
      <c r="Q1914" s="83">
        <f>P1914*J1914</f>
        <v>900</v>
      </c>
      <c r="S1914" s="7">
        <f t="shared" si="369"/>
        <v>900</v>
      </c>
      <c r="T1914" s="1318">
        <f t="shared" si="370"/>
        <v>900</v>
      </c>
      <c r="U1914" s="83">
        <v>125</v>
      </c>
      <c r="V1914" s="1560">
        <f t="shared" si="372"/>
        <v>0.4</v>
      </c>
    </row>
    <row r="1915" spans="3:22" s="193" customFormat="1" ht="15">
      <c r="C1915" s="149" t="s">
        <v>4878</v>
      </c>
      <c r="D1915" s="150" t="s">
        <v>4649</v>
      </c>
      <c r="E1915" s="151"/>
      <c r="F1915" s="152"/>
      <c r="G1915" s="152" t="s">
        <v>168</v>
      </c>
      <c r="H1915" s="154" t="s">
        <v>169</v>
      </c>
      <c r="I1915" s="155"/>
      <c r="J1915" s="153"/>
      <c r="K1915" s="894">
        <v>0</v>
      </c>
      <c r="L1915" s="157"/>
      <c r="M1915" s="157"/>
      <c r="N1915" s="157">
        <v>45775</v>
      </c>
      <c r="O1915" s="156">
        <v>7072</v>
      </c>
      <c r="P1915" s="164"/>
      <c r="Q1915" s="164"/>
      <c r="S1915" s="7">
        <f t="shared" si="369"/>
        <v>0</v>
      </c>
      <c r="T1915" s="1318">
        <f t="shared" si="370"/>
        <v>0</v>
      </c>
      <c r="U1915" s="83">
        <v>125</v>
      </c>
      <c r="V1915" s="1560" t="e">
        <f t="shared" si="372"/>
        <v>#DIV/0!</v>
      </c>
    </row>
    <row r="1916" spans="3:22" s="7" customFormat="1" ht="18" customHeight="1">
      <c r="C1916" s="6" t="s">
        <v>4912</v>
      </c>
      <c r="D1916" s="13" t="s">
        <v>4552</v>
      </c>
      <c r="E1916" s="18" t="s">
        <v>2181</v>
      </c>
      <c r="F1916" s="23"/>
      <c r="G1916" s="21"/>
      <c r="H1916" s="55"/>
      <c r="I1916" s="56"/>
      <c r="J1916" s="55"/>
      <c r="K1916" s="15" t="s">
        <v>8</v>
      </c>
      <c r="L1916" s="10"/>
      <c r="M1916" s="10"/>
      <c r="N1916" s="33">
        <v>45784</v>
      </c>
      <c r="O1916" s="32">
        <v>7082</v>
      </c>
      <c r="P1916" s="100"/>
      <c r="Q1916" s="100"/>
      <c r="T1916" s="1301"/>
      <c r="U1916" s="6" t="s">
        <v>3</v>
      </c>
    </row>
    <row r="1917" spans="3:22" s="7" customFormat="1" ht="15.75" customHeight="1">
      <c r="C1917" s="6" t="s">
        <v>4912</v>
      </c>
      <c r="D1917" s="13" t="s">
        <v>4552</v>
      </c>
      <c r="E1917" s="21" t="s">
        <v>4558</v>
      </c>
      <c r="F1917" s="13"/>
      <c r="G1917" s="21" t="s">
        <v>4661</v>
      </c>
      <c r="H1917" s="93"/>
      <c r="I1917" s="94"/>
      <c r="J1917" s="8">
        <v>150</v>
      </c>
      <c r="K1917" s="611">
        <v>0.43</v>
      </c>
      <c r="L1917" s="598">
        <f t="shared" ref="L1917" si="373">K1917*J1917</f>
        <v>64.5</v>
      </c>
      <c r="M1917" s="97" t="s">
        <v>224</v>
      </c>
      <c r="N1917" s="33">
        <v>45784</v>
      </c>
      <c r="O1917" s="32">
        <v>7082</v>
      </c>
      <c r="P1917" s="83">
        <v>36</v>
      </c>
      <c r="Q1917" s="83">
        <f t="shared" ref="Q1917" si="374">P1917*J1917</f>
        <v>5400</v>
      </c>
      <c r="R1917" s="7" t="s">
        <v>265</v>
      </c>
      <c r="S1917" s="7">
        <f t="shared" ref="S1917" si="375">P1917</f>
        <v>36</v>
      </c>
      <c r="T1917" s="1318">
        <f t="shared" ref="T1917" si="376">Q1917</f>
        <v>5400</v>
      </c>
      <c r="U1917" s="83">
        <v>140</v>
      </c>
      <c r="V1917" s="1560">
        <f t="shared" ref="V1917" si="377">(((K1917*U1917)-P1917)/(K1917*U1917))</f>
        <v>0.40199335548172754</v>
      </c>
    </row>
    <row r="1918" spans="3:22" s="7" customFormat="1" ht="15.75" customHeight="1">
      <c r="C1918" s="6" t="s">
        <v>4912</v>
      </c>
      <c r="D1918" s="13" t="s">
        <v>4552</v>
      </c>
      <c r="E1918" s="21" t="s">
        <v>4673</v>
      </c>
      <c r="F1918" s="13"/>
      <c r="G1918" s="21" t="s">
        <v>4661</v>
      </c>
      <c r="H1918" s="93"/>
      <c r="I1918" s="94"/>
      <c r="J1918" s="8">
        <v>50</v>
      </c>
      <c r="K1918" s="611">
        <v>0.64</v>
      </c>
      <c r="L1918" s="598">
        <f t="shared" ref="L1918:L1939" si="378">K1918*J1918</f>
        <v>32</v>
      </c>
      <c r="M1918" s="97" t="s">
        <v>224</v>
      </c>
      <c r="N1918" s="33">
        <v>45784</v>
      </c>
      <c r="O1918" s="32">
        <v>7082</v>
      </c>
      <c r="P1918" s="83">
        <v>53</v>
      </c>
      <c r="Q1918" s="83">
        <f t="shared" ref="Q1918:Q1939" si="379">P1918*J1918</f>
        <v>2650</v>
      </c>
      <c r="R1918" s="7" t="s">
        <v>265</v>
      </c>
      <c r="S1918" s="7">
        <f t="shared" ref="S1918:S1940" si="380">P1918</f>
        <v>53</v>
      </c>
      <c r="T1918" s="1318">
        <f t="shared" ref="T1918:T1940" si="381">Q1918</f>
        <v>2650</v>
      </c>
      <c r="U1918" s="83">
        <v>140</v>
      </c>
      <c r="V1918" s="1560">
        <f t="shared" ref="V1918:V1940" si="382">(((K1918*U1918)-P1918)/(K1918*U1918))</f>
        <v>0.4084821428571429</v>
      </c>
    </row>
    <row r="1919" spans="3:22" s="7" customFormat="1" ht="15.75" customHeight="1">
      <c r="C1919" s="6" t="s">
        <v>4911</v>
      </c>
      <c r="D1919" s="13" t="s">
        <v>4552</v>
      </c>
      <c r="E1919" s="1673" t="s">
        <v>4879</v>
      </c>
      <c r="F1919" s="13"/>
      <c r="G1919" s="21" t="s">
        <v>4661</v>
      </c>
      <c r="H1919" s="93"/>
      <c r="I1919" s="94"/>
      <c r="J1919" s="8">
        <v>5</v>
      </c>
      <c r="K1919" s="611">
        <v>0.7</v>
      </c>
      <c r="L1919" s="598">
        <f t="shared" si="378"/>
        <v>3.5</v>
      </c>
      <c r="M1919" s="97" t="s">
        <v>224</v>
      </c>
      <c r="N1919" s="33">
        <v>45784</v>
      </c>
      <c r="O1919" s="32">
        <v>7082</v>
      </c>
      <c r="P1919" s="83">
        <v>58</v>
      </c>
      <c r="Q1919" s="83">
        <f t="shared" si="379"/>
        <v>290</v>
      </c>
      <c r="S1919" s="7">
        <f t="shared" si="380"/>
        <v>58</v>
      </c>
      <c r="T1919" s="1318">
        <f t="shared" si="381"/>
        <v>290</v>
      </c>
      <c r="U1919" s="83">
        <v>140</v>
      </c>
      <c r="V1919" s="1560">
        <f t="shared" si="382"/>
        <v>0.40816326530612246</v>
      </c>
    </row>
    <row r="1920" spans="3:22" s="7" customFormat="1" ht="15.75" customHeight="1">
      <c r="C1920" s="6" t="s">
        <v>4911</v>
      </c>
      <c r="D1920" s="13" t="s">
        <v>4552</v>
      </c>
      <c r="E1920" s="1673" t="s">
        <v>4881</v>
      </c>
      <c r="F1920" s="13"/>
      <c r="G1920" s="21" t="s">
        <v>4661</v>
      </c>
      <c r="H1920" s="93"/>
      <c r="I1920" s="94"/>
      <c r="J1920" s="8">
        <v>5</v>
      </c>
      <c r="K1920" s="611">
        <v>0.67</v>
      </c>
      <c r="L1920" s="598">
        <f t="shared" si="378"/>
        <v>3.35</v>
      </c>
      <c r="M1920" s="97" t="s">
        <v>224</v>
      </c>
      <c r="N1920" s="33">
        <v>45784</v>
      </c>
      <c r="O1920" s="32">
        <v>7082</v>
      </c>
      <c r="P1920" s="83">
        <v>56</v>
      </c>
      <c r="Q1920" s="83">
        <f t="shared" si="379"/>
        <v>280</v>
      </c>
      <c r="S1920" s="7">
        <f t="shared" ref="S1920:S1938" si="383">P1920</f>
        <v>56</v>
      </c>
      <c r="T1920" s="1318">
        <f t="shared" ref="T1920:T1938" si="384">Q1920</f>
        <v>280</v>
      </c>
      <c r="U1920" s="83">
        <v>140</v>
      </c>
      <c r="V1920" s="1560">
        <f t="shared" si="382"/>
        <v>0.40298507462686572</v>
      </c>
    </row>
    <row r="1921" spans="3:22" s="7" customFormat="1" ht="15.75" customHeight="1">
      <c r="C1921" s="6" t="s">
        <v>4911</v>
      </c>
      <c r="D1921" s="13" t="s">
        <v>4552</v>
      </c>
      <c r="E1921" s="1673" t="s">
        <v>4882</v>
      </c>
      <c r="F1921" s="13"/>
      <c r="G1921" s="21" t="s">
        <v>4661</v>
      </c>
      <c r="H1921" s="93"/>
      <c r="I1921" s="94"/>
      <c r="J1921" s="8">
        <v>5</v>
      </c>
      <c r="K1921" s="611">
        <v>0.67</v>
      </c>
      <c r="L1921" s="598">
        <f t="shared" si="378"/>
        <v>3.35</v>
      </c>
      <c r="M1921" s="97" t="s">
        <v>224</v>
      </c>
      <c r="N1921" s="33">
        <v>45784</v>
      </c>
      <c r="O1921" s="32">
        <v>7082</v>
      </c>
      <c r="P1921" s="83">
        <v>56</v>
      </c>
      <c r="Q1921" s="83">
        <f t="shared" si="379"/>
        <v>280</v>
      </c>
      <c r="S1921" s="7">
        <f t="shared" si="383"/>
        <v>56</v>
      </c>
      <c r="T1921" s="1318">
        <f t="shared" si="384"/>
        <v>280</v>
      </c>
      <c r="U1921" s="83">
        <v>140</v>
      </c>
      <c r="V1921" s="1560">
        <f t="shared" si="382"/>
        <v>0.40298507462686572</v>
      </c>
    </row>
    <row r="1922" spans="3:22" s="7" customFormat="1" ht="15.75" customHeight="1">
      <c r="C1922" s="6" t="s">
        <v>4911</v>
      </c>
      <c r="D1922" s="13" t="s">
        <v>4552</v>
      </c>
      <c r="E1922" s="1673" t="s">
        <v>4883</v>
      </c>
      <c r="F1922" s="13"/>
      <c r="G1922" s="21" t="s">
        <v>4661</v>
      </c>
      <c r="H1922" s="93"/>
      <c r="I1922" s="94"/>
      <c r="J1922" s="8">
        <v>5</v>
      </c>
      <c r="K1922" s="611">
        <v>2.86</v>
      </c>
      <c r="L1922" s="598">
        <f t="shared" si="378"/>
        <v>14.299999999999999</v>
      </c>
      <c r="M1922" s="97" t="s">
        <v>224</v>
      </c>
      <c r="N1922" s="33">
        <v>45784</v>
      </c>
      <c r="O1922" s="32">
        <v>7082</v>
      </c>
      <c r="P1922" s="83">
        <v>240</v>
      </c>
      <c r="Q1922" s="83">
        <f t="shared" si="379"/>
        <v>1200</v>
      </c>
      <c r="S1922" s="7">
        <f t="shared" si="383"/>
        <v>240</v>
      </c>
      <c r="T1922" s="1318">
        <f t="shared" si="384"/>
        <v>1200</v>
      </c>
      <c r="U1922" s="83">
        <v>140</v>
      </c>
      <c r="V1922" s="1560">
        <f t="shared" ref="V1922:V1938" si="385">(((K1922*U1922)-P1922)/(K1922*U1922))</f>
        <v>0.40059940059940058</v>
      </c>
    </row>
    <row r="1923" spans="3:22" s="7" customFormat="1" ht="15.75" customHeight="1">
      <c r="C1923" s="6" t="s">
        <v>4911</v>
      </c>
      <c r="D1923" s="13" t="s">
        <v>4552</v>
      </c>
      <c r="E1923" s="1673" t="s">
        <v>4884</v>
      </c>
      <c r="F1923" s="13"/>
      <c r="G1923" s="21" t="s">
        <v>4661</v>
      </c>
      <c r="H1923" s="93"/>
      <c r="I1923" s="94"/>
      <c r="J1923" s="8">
        <v>5</v>
      </c>
      <c r="K1923" s="611">
        <v>1.1100000000000001</v>
      </c>
      <c r="L1923" s="598">
        <f t="shared" si="378"/>
        <v>5.5500000000000007</v>
      </c>
      <c r="M1923" s="97" t="s">
        <v>224</v>
      </c>
      <c r="N1923" s="33">
        <v>45784</v>
      </c>
      <c r="O1923" s="32">
        <v>7082</v>
      </c>
      <c r="P1923" s="83">
        <v>93</v>
      </c>
      <c r="Q1923" s="83">
        <f t="shared" si="379"/>
        <v>465</v>
      </c>
      <c r="S1923" s="7">
        <f t="shared" si="383"/>
        <v>93</v>
      </c>
      <c r="T1923" s="1318">
        <f t="shared" si="384"/>
        <v>465</v>
      </c>
      <c r="U1923" s="83">
        <v>140</v>
      </c>
      <c r="V1923" s="1560">
        <f t="shared" si="385"/>
        <v>0.40154440154440157</v>
      </c>
    </row>
    <row r="1924" spans="3:22" s="7" customFormat="1" ht="15.75" customHeight="1">
      <c r="C1924" s="6" t="s">
        <v>4911</v>
      </c>
      <c r="D1924" s="13" t="s">
        <v>4552</v>
      </c>
      <c r="E1924" s="1673" t="s">
        <v>4885</v>
      </c>
      <c r="F1924" s="13"/>
      <c r="G1924" s="21" t="s">
        <v>4661</v>
      </c>
      <c r="H1924" s="93"/>
      <c r="I1924" s="94"/>
      <c r="J1924" s="8">
        <v>5</v>
      </c>
      <c r="K1924" s="611">
        <v>1.24</v>
      </c>
      <c r="L1924" s="598">
        <f t="shared" si="378"/>
        <v>6.2</v>
      </c>
      <c r="M1924" s="97" t="s">
        <v>224</v>
      </c>
      <c r="N1924" s="33">
        <v>45784</v>
      </c>
      <c r="O1924" s="32">
        <v>7082</v>
      </c>
      <c r="P1924" s="83">
        <v>104</v>
      </c>
      <c r="Q1924" s="83">
        <f t="shared" si="379"/>
        <v>520</v>
      </c>
      <c r="S1924" s="7">
        <f t="shared" si="383"/>
        <v>104</v>
      </c>
      <c r="T1924" s="1318">
        <f t="shared" si="384"/>
        <v>520</v>
      </c>
      <c r="U1924" s="83">
        <v>140</v>
      </c>
      <c r="V1924" s="1560">
        <f t="shared" si="385"/>
        <v>0.4009216589861751</v>
      </c>
    </row>
    <row r="1925" spans="3:22" s="7" customFormat="1" ht="15.75" customHeight="1">
      <c r="C1925" s="6" t="s">
        <v>4911</v>
      </c>
      <c r="D1925" s="13" t="s">
        <v>4552</v>
      </c>
      <c r="E1925" s="1673" t="s">
        <v>4886</v>
      </c>
      <c r="F1925" s="13"/>
      <c r="G1925" s="21" t="s">
        <v>4661</v>
      </c>
      <c r="H1925" s="93"/>
      <c r="I1925" s="94"/>
      <c r="J1925" s="8">
        <v>5</v>
      </c>
      <c r="K1925" s="611">
        <v>1.48</v>
      </c>
      <c r="L1925" s="598">
        <f t="shared" si="378"/>
        <v>7.4</v>
      </c>
      <c r="M1925" s="97" t="s">
        <v>224</v>
      </c>
      <c r="N1925" s="33">
        <v>45784</v>
      </c>
      <c r="O1925" s="32">
        <v>7082</v>
      </c>
      <c r="P1925" s="83">
        <v>124</v>
      </c>
      <c r="Q1925" s="83">
        <f t="shared" si="379"/>
        <v>620</v>
      </c>
      <c r="S1925" s="7">
        <f t="shared" si="383"/>
        <v>124</v>
      </c>
      <c r="T1925" s="1318">
        <f t="shared" si="384"/>
        <v>620</v>
      </c>
      <c r="U1925" s="83">
        <v>140</v>
      </c>
      <c r="V1925" s="1560">
        <f t="shared" si="385"/>
        <v>0.40154440154440152</v>
      </c>
    </row>
    <row r="1926" spans="3:22" s="7" customFormat="1" ht="15.75" customHeight="1">
      <c r="C1926" s="6" t="s">
        <v>4911</v>
      </c>
      <c r="D1926" s="13" t="s">
        <v>4552</v>
      </c>
      <c r="E1926" s="1673" t="s">
        <v>4887</v>
      </c>
      <c r="F1926" s="13"/>
      <c r="G1926" s="21" t="s">
        <v>4661</v>
      </c>
      <c r="H1926" s="93"/>
      <c r="I1926" s="94"/>
      <c r="J1926" s="8">
        <v>5</v>
      </c>
      <c r="K1926" s="611">
        <v>0.79</v>
      </c>
      <c r="L1926" s="598">
        <f t="shared" si="378"/>
        <v>3.95</v>
      </c>
      <c r="M1926" s="97" t="s">
        <v>224</v>
      </c>
      <c r="N1926" s="33">
        <v>45784</v>
      </c>
      <c r="O1926" s="32">
        <v>7082</v>
      </c>
      <c r="P1926" s="83">
        <v>66</v>
      </c>
      <c r="Q1926" s="83">
        <f t="shared" si="379"/>
        <v>330</v>
      </c>
      <c r="S1926" s="7">
        <f t="shared" si="383"/>
        <v>66</v>
      </c>
      <c r="T1926" s="1318">
        <f t="shared" si="384"/>
        <v>330</v>
      </c>
      <c r="U1926" s="83">
        <v>140</v>
      </c>
      <c r="V1926" s="1560">
        <f t="shared" si="385"/>
        <v>0.4032549728752261</v>
      </c>
    </row>
    <row r="1927" spans="3:22" s="7" customFormat="1" ht="15.75" customHeight="1">
      <c r="C1927" s="6" t="s">
        <v>4911</v>
      </c>
      <c r="D1927" s="13" t="s">
        <v>4552</v>
      </c>
      <c r="E1927" s="1673" t="s">
        <v>4888</v>
      </c>
      <c r="F1927" s="13"/>
      <c r="G1927" s="21" t="s">
        <v>4661</v>
      </c>
      <c r="H1927" s="93"/>
      <c r="I1927" s="94"/>
      <c r="J1927" s="8">
        <v>5</v>
      </c>
      <c r="K1927" s="611">
        <v>0.91</v>
      </c>
      <c r="L1927" s="598">
        <f t="shared" si="378"/>
        <v>4.55</v>
      </c>
      <c r="M1927" s="97" t="s">
        <v>224</v>
      </c>
      <c r="N1927" s="33">
        <v>45784</v>
      </c>
      <c r="O1927" s="32">
        <v>7082</v>
      </c>
      <c r="P1927" s="83">
        <v>76</v>
      </c>
      <c r="Q1927" s="83">
        <f t="shared" si="379"/>
        <v>380</v>
      </c>
      <c r="S1927" s="7">
        <f t="shared" si="383"/>
        <v>76</v>
      </c>
      <c r="T1927" s="1318">
        <f t="shared" si="384"/>
        <v>380</v>
      </c>
      <c r="U1927" s="83">
        <v>140</v>
      </c>
      <c r="V1927" s="1560">
        <f t="shared" si="385"/>
        <v>0.40345368916797492</v>
      </c>
    </row>
    <row r="1928" spans="3:22" s="7" customFormat="1" ht="15.75" customHeight="1">
      <c r="C1928" s="6" t="s">
        <v>4911</v>
      </c>
      <c r="D1928" s="13" t="s">
        <v>4552</v>
      </c>
      <c r="E1928" s="1673" t="s">
        <v>4889</v>
      </c>
      <c r="F1928" s="13"/>
      <c r="G1928" s="21" t="s">
        <v>4661</v>
      </c>
      <c r="H1928" s="93"/>
      <c r="I1928" s="94"/>
      <c r="J1928" s="8">
        <v>5</v>
      </c>
      <c r="K1928" s="611">
        <v>0.78</v>
      </c>
      <c r="L1928" s="598">
        <f t="shared" si="378"/>
        <v>3.9000000000000004</v>
      </c>
      <c r="M1928" s="97" t="s">
        <v>224</v>
      </c>
      <c r="N1928" s="33">
        <v>45784</v>
      </c>
      <c r="O1928" s="32">
        <v>7082</v>
      </c>
      <c r="P1928" s="83">
        <v>65</v>
      </c>
      <c r="Q1928" s="83">
        <f t="shared" si="379"/>
        <v>325</v>
      </c>
      <c r="S1928" s="7">
        <f t="shared" si="383"/>
        <v>65</v>
      </c>
      <c r="T1928" s="1318">
        <f t="shared" si="384"/>
        <v>325</v>
      </c>
      <c r="U1928" s="83">
        <v>140</v>
      </c>
      <c r="V1928" s="1560">
        <f t="shared" si="385"/>
        <v>0.40476190476190477</v>
      </c>
    </row>
    <row r="1929" spans="3:22" s="7" customFormat="1" ht="15.75" customHeight="1">
      <c r="C1929" s="6" t="s">
        <v>4911</v>
      </c>
      <c r="D1929" s="13" t="s">
        <v>4552</v>
      </c>
      <c r="E1929" s="1673" t="s">
        <v>4890</v>
      </c>
      <c r="F1929" s="13"/>
      <c r="G1929" s="21" t="s">
        <v>4661</v>
      </c>
      <c r="H1929" s="93"/>
      <c r="I1929" s="94"/>
      <c r="J1929" s="8">
        <v>5</v>
      </c>
      <c r="K1929" s="611">
        <v>1.36</v>
      </c>
      <c r="L1929" s="598">
        <f t="shared" si="378"/>
        <v>6.8000000000000007</v>
      </c>
      <c r="M1929" s="97" t="s">
        <v>224</v>
      </c>
      <c r="N1929" s="33">
        <v>45784</v>
      </c>
      <c r="O1929" s="32">
        <v>7082</v>
      </c>
      <c r="P1929" s="83">
        <v>114</v>
      </c>
      <c r="Q1929" s="83">
        <f t="shared" si="379"/>
        <v>570</v>
      </c>
      <c r="S1929" s="7">
        <f t="shared" si="383"/>
        <v>114</v>
      </c>
      <c r="T1929" s="1318">
        <f t="shared" si="384"/>
        <v>570</v>
      </c>
      <c r="U1929" s="83">
        <v>140</v>
      </c>
      <c r="V1929" s="1560">
        <f t="shared" si="385"/>
        <v>0.40126050420168069</v>
      </c>
    </row>
    <row r="1930" spans="3:22" s="7" customFormat="1" ht="15.75" customHeight="1">
      <c r="C1930" s="6" t="s">
        <v>4911</v>
      </c>
      <c r="D1930" s="13" t="s">
        <v>4552</v>
      </c>
      <c r="E1930" s="1673" t="s">
        <v>4891</v>
      </c>
      <c r="F1930" s="13"/>
      <c r="G1930" s="21" t="s">
        <v>4661</v>
      </c>
      <c r="H1930" s="93"/>
      <c r="I1930" s="94"/>
      <c r="J1930" s="8">
        <v>5</v>
      </c>
      <c r="K1930" s="611">
        <v>0.68</v>
      </c>
      <c r="L1930" s="598">
        <f t="shared" si="378"/>
        <v>3.4000000000000004</v>
      </c>
      <c r="M1930" s="97" t="s">
        <v>224</v>
      </c>
      <c r="N1930" s="33">
        <v>45784</v>
      </c>
      <c r="O1930" s="32">
        <v>7082</v>
      </c>
      <c r="P1930" s="83">
        <v>57</v>
      </c>
      <c r="Q1930" s="83">
        <f t="shared" si="379"/>
        <v>285</v>
      </c>
      <c r="S1930" s="7">
        <f t="shared" si="383"/>
        <v>57</v>
      </c>
      <c r="T1930" s="1318">
        <f t="shared" si="384"/>
        <v>285</v>
      </c>
      <c r="U1930" s="83">
        <v>140</v>
      </c>
      <c r="V1930" s="1560">
        <f t="shared" si="385"/>
        <v>0.40126050420168069</v>
      </c>
    </row>
    <row r="1931" spans="3:22" s="7" customFormat="1" ht="15.75" customHeight="1">
      <c r="C1931" s="6" t="s">
        <v>4911</v>
      </c>
      <c r="D1931" s="13" t="s">
        <v>4552</v>
      </c>
      <c r="E1931" s="1673" t="s">
        <v>4892</v>
      </c>
      <c r="F1931" s="13"/>
      <c r="G1931" s="21" t="s">
        <v>4661</v>
      </c>
      <c r="H1931" s="93"/>
      <c r="I1931" s="94"/>
      <c r="J1931" s="8">
        <v>5</v>
      </c>
      <c r="K1931" s="611">
        <v>0.56000000000000005</v>
      </c>
      <c r="L1931" s="598">
        <f t="shared" si="378"/>
        <v>2.8000000000000003</v>
      </c>
      <c r="M1931" s="97" t="s">
        <v>224</v>
      </c>
      <c r="N1931" s="33">
        <v>45784</v>
      </c>
      <c r="O1931" s="32">
        <v>7082</v>
      </c>
      <c r="P1931" s="83">
        <v>47</v>
      </c>
      <c r="Q1931" s="83">
        <f t="shared" si="379"/>
        <v>235</v>
      </c>
      <c r="S1931" s="7">
        <f t="shared" si="383"/>
        <v>47</v>
      </c>
      <c r="T1931" s="1318">
        <f t="shared" si="384"/>
        <v>235</v>
      </c>
      <c r="U1931" s="83">
        <v>140</v>
      </c>
      <c r="V1931" s="1560">
        <f t="shared" si="385"/>
        <v>0.40051020408163268</v>
      </c>
    </row>
    <row r="1932" spans="3:22" s="7" customFormat="1" ht="15.75" customHeight="1">
      <c r="C1932" s="6" t="s">
        <v>4911</v>
      </c>
      <c r="D1932" s="13" t="s">
        <v>4552</v>
      </c>
      <c r="E1932" s="1673" t="s">
        <v>4893</v>
      </c>
      <c r="F1932" s="13"/>
      <c r="G1932" s="21" t="s">
        <v>4661</v>
      </c>
      <c r="H1932" s="93"/>
      <c r="I1932" s="94"/>
      <c r="J1932" s="8">
        <v>5</v>
      </c>
      <c r="K1932" s="611">
        <v>0.65</v>
      </c>
      <c r="L1932" s="598">
        <f t="shared" si="378"/>
        <v>3.25</v>
      </c>
      <c r="M1932" s="97" t="s">
        <v>224</v>
      </c>
      <c r="N1932" s="33">
        <v>45784</v>
      </c>
      <c r="O1932" s="32">
        <v>7082</v>
      </c>
      <c r="P1932" s="83">
        <v>54</v>
      </c>
      <c r="Q1932" s="83">
        <f t="shared" si="379"/>
        <v>270</v>
      </c>
      <c r="S1932" s="7">
        <f t="shared" si="383"/>
        <v>54</v>
      </c>
      <c r="T1932" s="1318">
        <f t="shared" si="384"/>
        <v>270</v>
      </c>
      <c r="U1932" s="83">
        <v>140</v>
      </c>
      <c r="V1932" s="1560">
        <f t="shared" si="385"/>
        <v>0.40659340659340659</v>
      </c>
    </row>
    <row r="1933" spans="3:22" s="7" customFormat="1" ht="15.75" customHeight="1">
      <c r="C1933" s="6" t="s">
        <v>4911</v>
      </c>
      <c r="D1933" s="13" t="s">
        <v>4552</v>
      </c>
      <c r="E1933" s="1673" t="s">
        <v>4894</v>
      </c>
      <c r="F1933" s="13"/>
      <c r="G1933" s="21" t="s">
        <v>4661</v>
      </c>
      <c r="H1933" s="93"/>
      <c r="I1933" s="94"/>
      <c r="J1933" s="8">
        <v>5</v>
      </c>
      <c r="K1933" s="611">
        <v>0.28000000000000003</v>
      </c>
      <c r="L1933" s="598">
        <f t="shared" si="378"/>
        <v>1.4000000000000001</v>
      </c>
      <c r="M1933" s="97" t="s">
        <v>224</v>
      </c>
      <c r="N1933" s="33">
        <v>45784</v>
      </c>
      <c r="O1933" s="32">
        <v>7082</v>
      </c>
      <c r="P1933" s="83">
        <v>23</v>
      </c>
      <c r="Q1933" s="83">
        <f t="shared" si="379"/>
        <v>115</v>
      </c>
      <c r="S1933" s="7">
        <f t="shared" si="383"/>
        <v>23</v>
      </c>
      <c r="T1933" s="1318">
        <f t="shared" si="384"/>
        <v>115</v>
      </c>
      <c r="U1933" s="83">
        <v>140</v>
      </c>
      <c r="V1933" s="1560">
        <f t="shared" si="385"/>
        <v>0.41326530612244905</v>
      </c>
    </row>
    <row r="1934" spans="3:22" s="7" customFormat="1" ht="15.75" customHeight="1">
      <c r="C1934" s="6" t="s">
        <v>4912</v>
      </c>
      <c r="D1934" s="13" t="s">
        <v>4552</v>
      </c>
      <c r="E1934" s="1673" t="s">
        <v>4895</v>
      </c>
      <c r="F1934" s="13"/>
      <c r="G1934" s="21" t="s">
        <v>4661</v>
      </c>
      <c r="H1934" s="93"/>
      <c r="I1934" s="94"/>
      <c r="J1934" s="8">
        <v>5</v>
      </c>
      <c r="K1934" s="611">
        <v>0.4</v>
      </c>
      <c r="L1934" s="598">
        <f t="shared" si="378"/>
        <v>2</v>
      </c>
      <c r="M1934" s="97" t="s">
        <v>224</v>
      </c>
      <c r="N1934" s="33">
        <v>45784</v>
      </c>
      <c r="O1934" s="32">
        <v>7082</v>
      </c>
      <c r="P1934" s="83">
        <v>33</v>
      </c>
      <c r="Q1934" s="83">
        <f t="shared" si="379"/>
        <v>165</v>
      </c>
      <c r="S1934" s="7">
        <f t="shared" si="383"/>
        <v>33</v>
      </c>
      <c r="T1934" s="1318">
        <f t="shared" si="384"/>
        <v>165</v>
      </c>
      <c r="U1934" s="83">
        <v>140</v>
      </c>
      <c r="V1934" s="1560">
        <f t="shared" si="385"/>
        <v>0.4107142857142857</v>
      </c>
    </row>
    <row r="1935" spans="3:22" s="7" customFormat="1" ht="15.75" customHeight="1">
      <c r="C1935" s="6" t="s">
        <v>4911</v>
      </c>
      <c r="D1935" s="13" t="s">
        <v>4552</v>
      </c>
      <c r="E1935" s="1673" t="s">
        <v>4896</v>
      </c>
      <c r="F1935" s="13"/>
      <c r="G1935" s="21" t="s">
        <v>4661</v>
      </c>
      <c r="H1935" s="93"/>
      <c r="I1935" s="94"/>
      <c r="J1935" s="8">
        <v>5</v>
      </c>
      <c r="K1935" s="611">
        <v>0.57999999999999996</v>
      </c>
      <c r="L1935" s="598">
        <f t="shared" si="378"/>
        <v>2.9</v>
      </c>
      <c r="M1935" s="97" t="s">
        <v>224</v>
      </c>
      <c r="N1935" s="33">
        <v>45784</v>
      </c>
      <c r="O1935" s="32">
        <v>7082</v>
      </c>
      <c r="P1935" s="83">
        <v>48</v>
      </c>
      <c r="Q1935" s="83">
        <f t="shared" si="379"/>
        <v>240</v>
      </c>
      <c r="S1935" s="7">
        <f t="shared" si="383"/>
        <v>48</v>
      </c>
      <c r="T1935" s="1318">
        <f t="shared" si="384"/>
        <v>240</v>
      </c>
      <c r="U1935" s="83">
        <v>140</v>
      </c>
      <c r="V1935" s="1560">
        <f t="shared" si="385"/>
        <v>0.40886699507389157</v>
      </c>
    </row>
    <row r="1936" spans="3:22" s="7" customFormat="1" ht="15.75" customHeight="1">
      <c r="C1936" s="6" t="s">
        <v>4911</v>
      </c>
      <c r="D1936" s="13" t="s">
        <v>4552</v>
      </c>
      <c r="E1936" s="1673" t="s">
        <v>4897</v>
      </c>
      <c r="F1936" s="13"/>
      <c r="G1936" s="21" t="s">
        <v>4661</v>
      </c>
      <c r="H1936" s="93"/>
      <c r="I1936" s="94"/>
      <c r="J1936" s="8">
        <v>5</v>
      </c>
      <c r="K1936" s="611">
        <v>0.6</v>
      </c>
      <c r="L1936" s="598">
        <f t="shared" si="378"/>
        <v>3</v>
      </c>
      <c r="M1936" s="97" t="s">
        <v>224</v>
      </c>
      <c r="N1936" s="33">
        <v>45784</v>
      </c>
      <c r="O1936" s="32">
        <v>7082</v>
      </c>
      <c r="P1936" s="83">
        <v>50</v>
      </c>
      <c r="Q1936" s="83">
        <f t="shared" si="379"/>
        <v>250</v>
      </c>
      <c r="S1936" s="7">
        <f t="shared" si="383"/>
        <v>50</v>
      </c>
      <c r="T1936" s="1318">
        <f t="shared" si="384"/>
        <v>250</v>
      </c>
      <c r="U1936" s="83">
        <v>140</v>
      </c>
      <c r="V1936" s="1560">
        <f t="shared" si="385"/>
        <v>0.40476190476190477</v>
      </c>
    </row>
    <row r="1937" spans="3:22" s="7" customFormat="1" ht="15.75" customHeight="1">
      <c r="C1937" s="6" t="s">
        <v>4911</v>
      </c>
      <c r="D1937" s="13" t="s">
        <v>4552</v>
      </c>
      <c r="E1937" s="1673" t="s">
        <v>4898</v>
      </c>
      <c r="F1937" s="13"/>
      <c r="G1937" s="21" t="s">
        <v>4661</v>
      </c>
      <c r="H1937" s="93"/>
      <c r="I1937" s="94"/>
      <c r="J1937" s="8">
        <v>5</v>
      </c>
      <c r="K1937" s="611">
        <v>0.28000000000000003</v>
      </c>
      <c r="L1937" s="598">
        <f t="shared" si="378"/>
        <v>1.4000000000000001</v>
      </c>
      <c r="M1937" s="97" t="s">
        <v>224</v>
      </c>
      <c r="N1937" s="33">
        <v>45784</v>
      </c>
      <c r="O1937" s="32">
        <v>7082</v>
      </c>
      <c r="P1937" s="83">
        <v>23</v>
      </c>
      <c r="Q1937" s="83">
        <f t="shared" si="379"/>
        <v>115</v>
      </c>
      <c r="S1937" s="7">
        <f t="shared" si="383"/>
        <v>23</v>
      </c>
      <c r="T1937" s="1318">
        <f t="shared" si="384"/>
        <v>115</v>
      </c>
      <c r="U1937" s="83">
        <v>140</v>
      </c>
      <c r="V1937" s="1560">
        <f t="shared" si="385"/>
        <v>0.41326530612244905</v>
      </c>
    </row>
    <row r="1938" spans="3:22" s="7" customFormat="1" ht="15.75" customHeight="1">
      <c r="C1938" s="6" t="s">
        <v>4911</v>
      </c>
      <c r="D1938" s="13" t="s">
        <v>4552</v>
      </c>
      <c r="E1938" s="1673" t="s">
        <v>4899</v>
      </c>
      <c r="F1938" s="13"/>
      <c r="G1938" s="21" t="s">
        <v>4661</v>
      </c>
      <c r="H1938" s="93"/>
      <c r="I1938" s="94"/>
      <c r="J1938" s="8">
        <v>5</v>
      </c>
      <c r="K1938" s="611">
        <v>0.27</v>
      </c>
      <c r="L1938" s="598">
        <f t="shared" si="378"/>
        <v>1.35</v>
      </c>
      <c r="M1938" s="97" t="s">
        <v>224</v>
      </c>
      <c r="N1938" s="33">
        <v>45784</v>
      </c>
      <c r="O1938" s="32">
        <v>7082</v>
      </c>
      <c r="P1938" s="83">
        <v>22</v>
      </c>
      <c r="Q1938" s="83">
        <f t="shared" si="379"/>
        <v>110</v>
      </c>
      <c r="S1938" s="7">
        <f t="shared" si="383"/>
        <v>22</v>
      </c>
      <c r="T1938" s="1318">
        <f t="shared" si="384"/>
        <v>110</v>
      </c>
      <c r="U1938" s="83">
        <v>140</v>
      </c>
      <c r="V1938" s="1560">
        <f t="shared" si="385"/>
        <v>0.41798941798941808</v>
      </c>
    </row>
    <row r="1939" spans="3:22" ht="18" customHeight="1">
      <c r="C1939" s="6" t="s">
        <v>4911</v>
      </c>
      <c r="D1939" s="13" t="s">
        <v>4552</v>
      </c>
      <c r="E1939" s="21"/>
      <c r="F1939" s="38"/>
      <c r="G1939" s="38" t="s">
        <v>218</v>
      </c>
      <c r="H1939" s="39"/>
      <c r="I1939" s="94"/>
      <c r="J1939" s="39">
        <v>1</v>
      </c>
      <c r="K1939" s="611">
        <v>12</v>
      </c>
      <c r="L1939" s="598">
        <f t="shared" si="378"/>
        <v>12</v>
      </c>
      <c r="M1939" s="97"/>
      <c r="N1939" s="33">
        <v>45784</v>
      </c>
      <c r="O1939" s="32">
        <v>7082</v>
      </c>
      <c r="P1939" s="83">
        <v>0</v>
      </c>
      <c r="Q1939" s="83">
        <f t="shared" si="379"/>
        <v>0</v>
      </c>
      <c r="S1939" s="7">
        <f t="shared" si="380"/>
        <v>0</v>
      </c>
      <c r="T1939" s="1318">
        <f t="shared" si="381"/>
        <v>0</v>
      </c>
      <c r="U1939" s="83">
        <v>125</v>
      </c>
      <c r="V1939" s="1560">
        <f t="shared" si="382"/>
        <v>1</v>
      </c>
    </row>
    <row r="1940" spans="3:22" s="159" customFormat="1" ht="18" customHeight="1">
      <c r="C1940" s="149" t="s">
        <v>4911</v>
      </c>
      <c r="D1940" s="150" t="s">
        <v>4552</v>
      </c>
      <c r="E1940" s="191"/>
      <c r="F1940" s="152"/>
      <c r="G1940" s="152" t="s">
        <v>4564</v>
      </c>
      <c r="H1940" s="154" t="s">
        <v>4524</v>
      </c>
      <c r="I1940" s="155"/>
      <c r="J1940" s="154">
        <v>1</v>
      </c>
      <c r="K1940" s="911">
        <v>60</v>
      </c>
      <c r="L1940" s="911">
        <v>60</v>
      </c>
      <c r="M1940" s="601"/>
      <c r="N1940" s="157">
        <v>45784</v>
      </c>
      <c r="O1940" s="156">
        <v>7082</v>
      </c>
      <c r="P1940" s="1871">
        <v>6822</v>
      </c>
      <c r="Q1940" s="1871">
        <v>6822</v>
      </c>
      <c r="S1940" s="83">
        <f t="shared" si="380"/>
        <v>6822</v>
      </c>
      <c r="T1940" s="1455">
        <f t="shared" si="381"/>
        <v>6822</v>
      </c>
      <c r="U1940" s="83">
        <v>125</v>
      </c>
      <c r="V1940" s="1560">
        <f t="shared" si="382"/>
        <v>9.0399999999999994E-2</v>
      </c>
    </row>
    <row r="1941" spans="3:22" s="7" customFormat="1" ht="18" customHeight="1">
      <c r="C1941" s="6" t="s">
        <v>4910</v>
      </c>
      <c r="D1941" s="13" t="s">
        <v>1900</v>
      </c>
      <c r="E1941" s="18" t="s">
        <v>4900</v>
      </c>
      <c r="F1941" s="23"/>
      <c r="G1941" s="21"/>
      <c r="H1941" s="55"/>
      <c r="I1941" s="56"/>
      <c r="J1941" s="55"/>
      <c r="K1941" s="15" t="s">
        <v>8</v>
      </c>
      <c r="L1941" s="10"/>
      <c r="M1941" s="10"/>
      <c r="N1941" s="33">
        <v>45784</v>
      </c>
      <c r="O1941" s="32">
        <v>7081</v>
      </c>
      <c r="P1941" s="100"/>
      <c r="Q1941" s="100"/>
      <c r="T1941" s="1301"/>
      <c r="U1941" s="6" t="s">
        <v>3</v>
      </c>
    </row>
    <row r="1942" spans="3:22" s="7" customFormat="1" ht="15.75" customHeight="1">
      <c r="C1942" s="6" t="s">
        <v>4910</v>
      </c>
      <c r="D1942" s="13" t="s">
        <v>1900</v>
      </c>
      <c r="E1942" s="21" t="s">
        <v>2445</v>
      </c>
      <c r="F1942" s="13"/>
      <c r="G1942" s="21" t="s">
        <v>4661</v>
      </c>
      <c r="H1942" s="93"/>
      <c r="I1942" s="94"/>
      <c r="J1942" s="8">
        <v>20</v>
      </c>
      <c r="K1942" s="611">
        <v>5.41</v>
      </c>
      <c r="L1942" s="598">
        <f t="shared" ref="L1942:L1943" si="386">K1942*J1942</f>
        <v>108.2</v>
      </c>
      <c r="M1942" s="97" t="s">
        <v>224</v>
      </c>
      <c r="N1942" s="33">
        <v>45784</v>
      </c>
      <c r="O1942" s="32">
        <v>7081</v>
      </c>
      <c r="P1942" s="83">
        <v>454</v>
      </c>
      <c r="Q1942" s="83">
        <f t="shared" ref="Q1942" si="387">P1942*J1942</f>
        <v>9080</v>
      </c>
      <c r="R1942" s="7" t="s">
        <v>265</v>
      </c>
      <c r="S1942" s="7">
        <f t="shared" ref="S1942" si="388">P1942</f>
        <v>454</v>
      </c>
      <c r="T1942" s="1318">
        <f t="shared" ref="T1942" si="389">Q1942</f>
        <v>9080</v>
      </c>
      <c r="U1942" s="83">
        <v>140</v>
      </c>
      <c r="V1942" s="1560">
        <f t="shared" ref="V1942" si="390">(((K1942*U1942)-P1942)/(K1942*U1942))</f>
        <v>0.40058093477686824</v>
      </c>
    </row>
    <row r="1943" spans="3:22" s="7" customFormat="1" ht="15.75" customHeight="1">
      <c r="C1943" s="6" t="s">
        <v>4910</v>
      </c>
      <c r="D1943" s="13" t="s">
        <v>1900</v>
      </c>
      <c r="E1943" s="21" t="s">
        <v>4902</v>
      </c>
      <c r="F1943" s="13"/>
      <c r="G1943" s="21" t="s">
        <v>4661</v>
      </c>
      <c r="H1943" s="93"/>
      <c r="I1943" s="94"/>
      <c r="J1943" s="8">
        <v>20</v>
      </c>
      <c r="K1943" s="611">
        <v>2.96</v>
      </c>
      <c r="L1943" s="598">
        <f t="shared" si="386"/>
        <v>59.2</v>
      </c>
      <c r="M1943" s="97" t="s">
        <v>224</v>
      </c>
      <c r="N1943" s="33">
        <v>45784</v>
      </c>
      <c r="O1943" s="32">
        <v>7081</v>
      </c>
      <c r="P1943" s="83">
        <v>248</v>
      </c>
      <c r="Q1943" s="83">
        <f t="shared" ref="Q1943:Q1944" si="391">P1943*J1943</f>
        <v>4960</v>
      </c>
      <c r="R1943" s="7" t="s">
        <v>265</v>
      </c>
      <c r="S1943" s="7">
        <f t="shared" ref="S1943:S1945" si="392">P1943</f>
        <v>248</v>
      </c>
      <c r="T1943" s="1318">
        <f t="shared" ref="T1943:T1945" si="393">Q1943</f>
        <v>4960</v>
      </c>
      <c r="U1943" s="83">
        <v>140</v>
      </c>
      <c r="V1943" s="1560">
        <f t="shared" ref="V1943:V1945" si="394">(((K1943*U1943)-P1943)/(K1943*U1943))</f>
        <v>0.40154440154440152</v>
      </c>
    </row>
    <row r="1944" spans="3:22" ht="18" customHeight="1">
      <c r="C1944" s="6" t="s">
        <v>4910</v>
      </c>
      <c r="D1944" s="13" t="s">
        <v>1900</v>
      </c>
      <c r="E1944" s="21"/>
      <c r="F1944" s="38"/>
      <c r="G1944" s="38" t="s">
        <v>218</v>
      </c>
      <c r="H1944" s="39"/>
      <c r="I1944" s="94"/>
      <c r="J1944" s="39">
        <v>1</v>
      </c>
      <c r="K1944" s="611">
        <v>12</v>
      </c>
      <c r="L1944" s="598">
        <f t="shared" ref="L1944" si="395">K1944*J1944</f>
        <v>12</v>
      </c>
      <c r="M1944" s="898"/>
      <c r="N1944" s="33">
        <v>45784</v>
      </c>
      <c r="O1944" s="32">
        <v>7081</v>
      </c>
      <c r="P1944" s="83">
        <v>0</v>
      </c>
      <c r="Q1944" s="83">
        <f t="shared" si="391"/>
        <v>0</v>
      </c>
      <c r="S1944" s="7">
        <f t="shared" si="392"/>
        <v>0</v>
      </c>
      <c r="T1944" s="1318">
        <f t="shared" si="393"/>
        <v>0</v>
      </c>
      <c r="U1944" s="83">
        <v>125</v>
      </c>
      <c r="V1944" s="1560">
        <f t="shared" si="394"/>
        <v>1</v>
      </c>
    </row>
    <row r="1945" spans="3:22" s="159" customFormat="1" ht="18" customHeight="1">
      <c r="C1945" s="149" t="s">
        <v>4910</v>
      </c>
      <c r="D1945" s="150" t="s">
        <v>1900</v>
      </c>
      <c r="E1945" s="191"/>
      <c r="F1945" s="152"/>
      <c r="G1945" s="152" t="s">
        <v>4904</v>
      </c>
      <c r="H1945" s="154" t="s">
        <v>4903</v>
      </c>
      <c r="I1945" s="155"/>
      <c r="J1945" s="154">
        <v>1</v>
      </c>
      <c r="K1945" s="911">
        <v>0</v>
      </c>
      <c r="L1945" s="911">
        <v>0</v>
      </c>
      <c r="M1945" s="601"/>
      <c r="N1945" s="157">
        <v>45784</v>
      </c>
      <c r="O1945" s="156">
        <v>7081</v>
      </c>
      <c r="P1945" s="1870">
        <v>0</v>
      </c>
      <c r="Q1945" s="1870">
        <v>0</v>
      </c>
      <c r="S1945" s="83">
        <f t="shared" si="392"/>
        <v>0</v>
      </c>
      <c r="T1945" s="1455">
        <f t="shared" si="393"/>
        <v>0</v>
      </c>
      <c r="U1945" s="83">
        <v>125</v>
      </c>
      <c r="V1945" s="1560" t="e">
        <f t="shared" si="394"/>
        <v>#DIV/0!</v>
      </c>
    </row>
    <row r="1946" spans="3:22" s="7" customFormat="1" ht="18" customHeight="1">
      <c r="C1946" s="6" t="s">
        <v>4913</v>
      </c>
      <c r="D1946" s="13" t="s">
        <v>4552</v>
      </c>
      <c r="E1946" s="18" t="s">
        <v>2181</v>
      </c>
      <c r="F1946" s="23"/>
      <c r="G1946" s="21"/>
      <c r="H1946" s="55"/>
      <c r="I1946" s="56"/>
      <c r="J1946" s="55"/>
      <c r="K1946" s="15" t="s">
        <v>8</v>
      </c>
      <c r="L1946" s="10"/>
      <c r="M1946" s="10"/>
      <c r="N1946" s="33">
        <v>45797</v>
      </c>
      <c r="O1946" s="32">
        <v>7144</v>
      </c>
      <c r="P1946" s="100"/>
      <c r="Q1946" s="100"/>
      <c r="T1946" s="1301"/>
      <c r="U1946" s="6" t="s">
        <v>3</v>
      </c>
    </row>
    <row r="1947" spans="3:22" s="7" customFormat="1" ht="15.75" customHeight="1">
      <c r="C1947" s="6" t="s">
        <v>4913</v>
      </c>
      <c r="D1947" s="13" t="s">
        <v>4552</v>
      </c>
      <c r="E1947" s="1877" t="s">
        <v>4898</v>
      </c>
      <c r="F1947" s="13"/>
      <c r="G1947" s="21" t="s">
        <v>4661</v>
      </c>
      <c r="H1947" s="93"/>
      <c r="I1947" s="94"/>
      <c r="J1947" s="8">
        <v>150</v>
      </c>
      <c r="K1947" s="611">
        <v>0.28000000000000003</v>
      </c>
      <c r="L1947" s="598">
        <f>K1947*J1947</f>
        <v>42.000000000000007</v>
      </c>
      <c r="M1947" s="97" t="s">
        <v>224</v>
      </c>
      <c r="N1947" s="1818">
        <v>45797</v>
      </c>
      <c r="O1947" s="32">
        <v>7144</v>
      </c>
      <c r="P1947" s="83">
        <v>23</v>
      </c>
      <c r="Q1947" s="83">
        <f>P1947*J1947</f>
        <v>3450</v>
      </c>
      <c r="S1947" s="7">
        <f>P1947</f>
        <v>23</v>
      </c>
      <c r="T1947" s="1318">
        <f>Q1947</f>
        <v>3450</v>
      </c>
      <c r="U1947" s="83">
        <v>140</v>
      </c>
      <c r="V1947" s="1560">
        <f>(((K1947*U1947)-P1947)/(K1947*U1947))</f>
        <v>0.41326530612244905</v>
      </c>
    </row>
    <row r="1948" spans="3:22" s="7" customFormat="1" ht="15.75" customHeight="1">
      <c r="C1948" s="6" t="s">
        <v>4913</v>
      </c>
      <c r="D1948" s="13" t="s">
        <v>4552</v>
      </c>
      <c r="E1948" s="975" t="s">
        <v>4891</v>
      </c>
      <c r="F1948" s="13"/>
      <c r="G1948" s="21" t="s">
        <v>4661</v>
      </c>
      <c r="H1948" s="93"/>
      <c r="I1948" s="94"/>
      <c r="J1948" s="8">
        <v>100</v>
      </c>
      <c r="K1948" s="611">
        <v>0.68</v>
      </c>
      <c r="L1948" s="598">
        <f>K1948*J1948</f>
        <v>68</v>
      </c>
      <c r="M1948" s="97" t="s">
        <v>224</v>
      </c>
      <c r="N1948" s="1818">
        <v>45797</v>
      </c>
      <c r="O1948" s="32">
        <v>7144</v>
      </c>
      <c r="P1948" s="83">
        <v>57</v>
      </c>
      <c r="Q1948" s="83">
        <f>P1948*J1948</f>
        <v>5700</v>
      </c>
      <c r="S1948" s="7">
        <f>P1948</f>
        <v>57</v>
      </c>
      <c r="T1948" s="1318">
        <f>Q1948</f>
        <v>5700</v>
      </c>
      <c r="U1948" s="83">
        <v>140</v>
      </c>
      <c r="V1948" s="1560">
        <f>(((K1948*U1948)-P1948)/(K1948*U1948))</f>
        <v>0.40126050420168069</v>
      </c>
    </row>
    <row r="1949" spans="3:22" s="7" customFormat="1" ht="15.75" customHeight="1">
      <c r="C1949" s="6" t="s">
        <v>4913</v>
      </c>
      <c r="D1949" s="13" t="s">
        <v>4552</v>
      </c>
      <c r="E1949" s="975" t="s">
        <v>4894</v>
      </c>
      <c r="F1949" s="13"/>
      <c r="G1949" s="21" t="s">
        <v>4661</v>
      </c>
      <c r="H1949" s="93"/>
      <c r="I1949" s="94"/>
      <c r="J1949" s="8">
        <v>150</v>
      </c>
      <c r="K1949" s="611">
        <v>0.28000000000000003</v>
      </c>
      <c r="L1949" s="598">
        <f t="shared" ref="L1949" si="396">K1949*J1949</f>
        <v>42.000000000000007</v>
      </c>
      <c r="M1949" s="97" t="s">
        <v>224</v>
      </c>
      <c r="N1949" s="1818">
        <v>45797</v>
      </c>
      <c r="O1949" s="32">
        <v>7144</v>
      </c>
      <c r="P1949" s="83">
        <v>23</v>
      </c>
      <c r="Q1949" s="83">
        <f t="shared" ref="Q1949" si="397">P1949*J1949</f>
        <v>3450</v>
      </c>
      <c r="S1949" s="7">
        <f t="shared" ref="S1949" si="398">P1949</f>
        <v>23</v>
      </c>
      <c r="T1949" s="1318">
        <f t="shared" ref="T1949" si="399">Q1949</f>
        <v>3450</v>
      </c>
      <c r="U1949" s="83">
        <v>140</v>
      </c>
      <c r="V1949" s="1560">
        <f t="shared" ref="V1949" si="400">(((K1949*U1949)-P1949)/(K1949*U1949))</f>
        <v>0.41326530612244905</v>
      </c>
    </row>
    <row r="1950" spans="3:22" s="7" customFormat="1" ht="15.75" customHeight="1">
      <c r="C1950" s="6" t="s">
        <v>4913</v>
      </c>
      <c r="D1950" s="13" t="s">
        <v>4552</v>
      </c>
      <c r="E1950" s="975" t="s">
        <v>4899</v>
      </c>
      <c r="F1950" s="13"/>
      <c r="G1950" s="21" t="s">
        <v>4661</v>
      </c>
      <c r="H1950" s="93"/>
      <c r="I1950" s="94"/>
      <c r="J1950" s="8">
        <v>150</v>
      </c>
      <c r="K1950" s="611">
        <v>0.27</v>
      </c>
      <c r="L1950" s="598">
        <f>K1950*J1950</f>
        <v>40.5</v>
      </c>
      <c r="M1950" s="97" t="s">
        <v>224</v>
      </c>
      <c r="N1950" s="1818">
        <v>45797</v>
      </c>
      <c r="O1950" s="32">
        <v>7144</v>
      </c>
      <c r="P1950" s="83">
        <v>22</v>
      </c>
      <c r="Q1950" s="83">
        <f>P1950*J1950</f>
        <v>3300</v>
      </c>
      <c r="S1950" s="7">
        <f>P1950</f>
        <v>22</v>
      </c>
      <c r="T1950" s="1318">
        <f>Q1950</f>
        <v>3300</v>
      </c>
      <c r="U1950" s="83">
        <v>140</v>
      </c>
      <c r="V1950" s="1560">
        <f>(((K1950*U1950)-P1950)/(K1950*U1950))</f>
        <v>0.41798941798941808</v>
      </c>
    </row>
    <row r="1951" spans="3:22" ht="18" customHeight="1">
      <c r="C1951" s="6" t="s">
        <v>4913</v>
      </c>
      <c r="D1951" s="13" t="s">
        <v>4552</v>
      </c>
      <c r="E1951" s="21"/>
      <c r="F1951" s="38"/>
      <c r="G1951" s="38" t="s">
        <v>218</v>
      </c>
      <c r="H1951" s="39"/>
      <c r="I1951" s="94"/>
      <c r="J1951" s="39">
        <v>1</v>
      </c>
      <c r="K1951" s="611">
        <v>12</v>
      </c>
      <c r="L1951" s="598">
        <f t="shared" ref="L1951" si="401">K1951*J1951</f>
        <v>12</v>
      </c>
      <c r="M1951" s="97"/>
      <c r="N1951" s="33">
        <v>45797</v>
      </c>
      <c r="O1951" s="32">
        <v>7144</v>
      </c>
      <c r="P1951" s="1817">
        <v>0</v>
      </c>
      <c r="Q1951" s="1817">
        <f t="shared" ref="Q1951" si="402">P1951*J1951</f>
        <v>0</v>
      </c>
      <c r="S1951" s="7">
        <f t="shared" ref="S1951" si="403">P1951</f>
        <v>0</v>
      </c>
      <c r="T1951" s="1318">
        <f t="shared" ref="T1951:T1952" si="404">Q1951</f>
        <v>0</v>
      </c>
      <c r="U1951" s="83">
        <v>125</v>
      </c>
      <c r="V1951" s="1560">
        <f t="shared" ref="V1951:V1952" si="405">(((K1951*U1951)-P1951)/(K1951*U1951))</f>
        <v>1</v>
      </c>
    </row>
    <row r="1952" spans="3:22" s="159" customFormat="1" ht="18" customHeight="1">
      <c r="C1952" s="149" t="s">
        <v>4913</v>
      </c>
      <c r="D1952" s="150" t="s">
        <v>4552</v>
      </c>
      <c r="E1952" s="191"/>
      <c r="F1952" s="152"/>
      <c r="G1952" s="152" t="s">
        <v>4564</v>
      </c>
      <c r="H1952" s="154" t="s">
        <v>4524</v>
      </c>
      <c r="I1952" s="155"/>
      <c r="J1952" s="154">
        <v>1</v>
      </c>
      <c r="K1952" s="911">
        <v>73</v>
      </c>
      <c r="L1952" s="911">
        <v>73</v>
      </c>
      <c r="M1952" s="601"/>
      <c r="N1952" s="157">
        <v>45797</v>
      </c>
      <c r="O1952" s="156">
        <v>7144</v>
      </c>
      <c r="P1952" s="1871">
        <v>7818</v>
      </c>
      <c r="Q1952" s="1871">
        <v>7818</v>
      </c>
      <c r="S1952" s="83">
        <v>7818</v>
      </c>
      <c r="T1952" s="1455">
        <f t="shared" si="404"/>
        <v>7818</v>
      </c>
      <c r="U1952" s="83">
        <v>125</v>
      </c>
      <c r="V1952" s="1560">
        <f t="shared" si="405"/>
        <v>0.14323287671232876</v>
      </c>
    </row>
    <row r="1953" spans="2:24" s="7" customFormat="1" ht="15" customHeight="1">
      <c r="B1953" s="11"/>
      <c r="C1953" s="6" t="s">
        <v>4921</v>
      </c>
      <c r="D1953" s="13" t="s">
        <v>4696</v>
      </c>
      <c r="E1953" s="18" t="s">
        <v>4607</v>
      </c>
      <c r="F1953" s="23"/>
      <c r="G1953" s="21"/>
      <c r="H1953" s="55"/>
      <c r="I1953" s="56"/>
      <c r="J1953" s="55"/>
      <c r="K1953" s="15" t="s">
        <v>4048</v>
      </c>
      <c r="L1953" s="33"/>
      <c r="M1953" s="33"/>
      <c r="N1953" s="33">
        <v>45841</v>
      </c>
      <c r="O1953" s="32">
        <v>7259</v>
      </c>
      <c r="P1953" s="1779" t="s">
        <v>11</v>
      </c>
      <c r="Q1953" s="1780" t="s">
        <v>4608</v>
      </c>
      <c r="R1953" s="1781"/>
      <c r="S1953" s="1782"/>
      <c r="T1953" s="83"/>
      <c r="U1953" s="1783"/>
      <c r="V1953" s="1452">
        <v>120</v>
      </c>
      <c r="W1953" s="1560" t="e">
        <f t="shared" ref="W1953" si="406">(((K1953*V1953)-S1953)/(K1953*V1953))</f>
        <v>#VALUE!</v>
      </c>
    </row>
    <row r="1954" spans="2:24" s="7" customFormat="1" ht="18" customHeight="1">
      <c r="B1954" s="11" t="s">
        <v>4609</v>
      </c>
      <c r="C1954" s="6" t="s">
        <v>4921</v>
      </c>
      <c r="D1954" s="13" t="s">
        <v>4696</v>
      </c>
      <c r="E1954" s="21" t="s">
        <v>4922</v>
      </c>
      <c r="F1954" s="86"/>
      <c r="G1954" s="38"/>
      <c r="H1954" s="8"/>
      <c r="I1954" s="56"/>
      <c r="J1954" s="39">
        <v>1</v>
      </c>
      <c r="K1954" s="597">
        <v>10</v>
      </c>
      <c r="L1954" s="598">
        <f t="shared" ref="L1954:L1959" si="407">K1954*J1954</f>
        <v>10</v>
      </c>
      <c r="M1954" s="97" t="s">
        <v>224</v>
      </c>
      <c r="N1954" s="33">
        <v>45841</v>
      </c>
      <c r="O1954" s="32">
        <v>7259</v>
      </c>
      <c r="P1954" s="83">
        <v>0</v>
      </c>
      <c r="Q1954" s="83">
        <f t="shared" ref="Q1954:Q1959" si="408">P1954*J1954</f>
        <v>0</v>
      </c>
      <c r="R1954" s="1"/>
      <c r="S1954" s="7">
        <f t="shared" ref="S1954:S1959" si="409">P1954</f>
        <v>0</v>
      </c>
      <c r="T1954" s="1318">
        <f t="shared" ref="T1954:T1959" si="410">Q1954</f>
        <v>0</v>
      </c>
      <c r="U1954" s="83">
        <v>125</v>
      </c>
      <c r="V1954" s="1560">
        <f t="shared" ref="V1954:V1959" si="411">(((K1954*U1954)-P1954)/(K1954*U1954))</f>
        <v>1</v>
      </c>
      <c r="W1954" s="1"/>
      <c r="X1954" s="1"/>
    </row>
    <row r="1955" spans="2:24" s="7" customFormat="1" ht="18" customHeight="1">
      <c r="B1955" s="11" t="s">
        <v>4609</v>
      </c>
      <c r="C1955" s="6" t="s">
        <v>4921</v>
      </c>
      <c r="D1955" s="13" t="s">
        <v>4696</v>
      </c>
      <c r="E1955" s="21" t="s">
        <v>4923</v>
      </c>
      <c r="F1955" s="86"/>
      <c r="G1955" s="38"/>
      <c r="H1955" s="8"/>
      <c r="I1955" s="56"/>
      <c r="J1955" s="39">
        <v>1</v>
      </c>
      <c r="K1955" s="597">
        <v>10</v>
      </c>
      <c r="L1955" s="598">
        <f t="shared" si="407"/>
        <v>10</v>
      </c>
      <c r="M1955" s="97" t="s">
        <v>224</v>
      </c>
      <c r="N1955" s="33">
        <v>45841</v>
      </c>
      <c r="O1955" s="32">
        <v>7259</v>
      </c>
      <c r="P1955" s="83">
        <v>0</v>
      </c>
      <c r="Q1955" s="83">
        <f t="shared" si="408"/>
        <v>0</v>
      </c>
      <c r="R1955" s="1"/>
      <c r="S1955" s="7">
        <f t="shared" si="409"/>
        <v>0</v>
      </c>
      <c r="T1955" s="1318">
        <f t="shared" si="410"/>
        <v>0</v>
      </c>
      <c r="U1955" s="83">
        <v>125</v>
      </c>
      <c r="V1955" s="1560">
        <f t="shared" si="411"/>
        <v>1</v>
      </c>
      <c r="W1955" s="1"/>
      <c r="X1955" s="1"/>
    </row>
    <row r="1956" spans="2:24" s="7" customFormat="1" ht="18" customHeight="1">
      <c r="B1956" s="11" t="s">
        <v>4609</v>
      </c>
      <c r="C1956" s="6" t="s">
        <v>4921</v>
      </c>
      <c r="D1956" s="13" t="s">
        <v>4696</v>
      </c>
      <c r="E1956" s="21" t="s">
        <v>4924</v>
      </c>
      <c r="F1956" s="86"/>
      <c r="G1956" s="38"/>
      <c r="H1956" s="8"/>
      <c r="I1956" s="56"/>
      <c r="J1956" s="39">
        <v>1</v>
      </c>
      <c r="K1956" s="597">
        <v>10</v>
      </c>
      <c r="L1956" s="598">
        <f t="shared" si="407"/>
        <v>10</v>
      </c>
      <c r="M1956" s="97" t="s">
        <v>224</v>
      </c>
      <c r="N1956" s="33">
        <v>45841</v>
      </c>
      <c r="O1956" s="32">
        <v>7259</v>
      </c>
      <c r="P1956" s="83">
        <v>0</v>
      </c>
      <c r="Q1956" s="83">
        <f t="shared" ref="Q1956" si="412">P1956*J1956</f>
        <v>0</v>
      </c>
      <c r="R1956" s="1"/>
      <c r="S1956" s="7">
        <f t="shared" ref="S1956" si="413">P1956</f>
        <v>0</v>
      </c>
      <c r="T1956" s="1318">
        <f t="shared" ref="T1956" si="414">Q1956</f>
        <v>0</v>
      </c>
      <c r="U1956" s="83">
        <v>125</v>
      </c>
      <c r="V1956" s="1560">
        <f t="shared" ref="V1956" si="415">(((K1956*U1956)-P1956)/(K1956*U1956))</f>
        <v>1</v>
      </c>
      <c r="W1956" s="1"/>
      <c r="X1956" s="1"/>
    </row>
    <row r="1957" spans="2:24" s="7" customFormat="1" ht="18" customHeight="1">
      <c r="B1957" s="11" t="s">
        <v>4609</v>
      </c>
      <c r="C1957" s="6" t="s">
        <v>4921</v>
      </c>
      <c r="D1957" s="13" t="s">
        <v>4696</v>
      </c>
      <c r="E1957" s="21" t="s">
        <v>4925</v>
      </c>
      <c r="F1957" s="86"/>
      <c r="G1957" s="38"/>
      <c r="H1957" s="8"/>
      <c r="I1957" s="56"/>
      <c r="J1957" s="39">
        <v>1</v>
      </c>
      <c r="K1957" s="597">
        <v>10</v>
      </c>
      <c r="L1957" s="598">
        <f t="shared" si="407"/>
        <v>10</v>
      </c>
      <c r="M1957" s="97" t="s">
        <v>224</v>
      </c>
      <c r="N1957" s="33">
        <v>45841</v>
      </c>
      <c r="O1957" s="32">
        <v>7259</v>
      </c>
      <c r="P1957" s="83">
        <v>0</v>
      </c>
      <c r="Q1957" s="83">
        <f t="shared" ref="Q1957" si="416">P1957*J1957</f>
        <v>0</v>
      </c>
      <c r="R1957" s="1"/>
      <c r="S1957" s="7">
        <f t="shared" ref="S1957" si="417">P1957</f>
        <v>0</v>
      </c>
      <c r="T1957" s="1318">
        <f t="shared" ref="T1957" si="418">Q1957</f>
        <v>0</v>
      </c>
      <c r="U1957" s="83">
        <v>125</v>
      </c>
      <c r="V1957" s="1560">
        <f t="shared" ref="V1957" si="419">(((K1957*U1957)-P1957)/(K1957*U1957))</f>
        <v>1</v>
      </c>
      <c r="W1957" s="1"/>
      <c r="X1957" s="1"/>
    </row>
    <row r="1958" spans="2:24" s="7" customFormat="1" ht="18" customHeight="1">
      <c r="B1958" s="11" t="s">
        <v>4609</v>
      </c>
      <c r="C1958" s="6" t="s">
        <v>4921</v>
      </c>
      <c r="D1958" s="13" t="s">
        <v>4696</v>
      </c>
      <c r="E1958" s="21" t="s">
        <v>4926</v>
      </c>
      <c r="F1958" s="86"/>
      <c r="G1958" s="38"/>
      <c r="H1958" s="8"/>
      <c r="I1958" s="56"/>
      <c r="J1958" s="39">
        <v>1</v>
      </c>
      <c r="K1958" s="597">
        <v>10</v>
      </c>
      <c r="L1958" s="598">
        <f t="shared" si="407"/>
        <v>10</v>
      </c>
      <c r="M1958" s="97" t="s">
        <v>224</v>
      </c>
      <c r="N1958" s="33">
        <v>45841</v>
      </c>
      <c r="O1958" s="32">
        <v>7259</v>
      </c>
      <c r="P1958" s="83">
        <v>500</v>
      </c>
      <c r="Q1958" s="83">
        <f t="shared" ref="Q1958" si="420">P1958*J1958</f>
        <v>500</v>
      </c>
      <c r="R1958" s="1"/>
      <c r="S1958" s="7">
        <f t="shared" ref="S1958" si="421">P1958</f>
        <v>500</v>
      </c>
      <c r="T1958" s="1318">
        <f t="shared" ref="T1958" si="422">Q1958</f>
        <v>500</v>
      </c>
      <c r="U1958" s="83">
        <v>125</v>
      </c>
      <c r="V1958" s="1560">
        <f t="shared" ref="V1958" si="423">(((K1958*U1958)-P1958)/(K1958*U1958))</f>
        <v>0.6</v>
      </c>
      <c r="W1958" s="1"/>
      <c r="X1958" s="1"/>
    </row>
    <row r="1959" spans="2:24" s="7" customFormat="1" ht="18" customHeight="1">
      <c r="B1959" s="11" t="s">
        <v>4609</v>
      </c>
      <c r="C1959" s="6" t="s">
        <v>4921</v>
      </c>
      <c r="D1959" s="13" t="s">
        <v>4696</v>
      </c>
      <c r="E1959" s="21" t="s">
        <v>4927</v>
      </c>
      <c r="F1959" s="86"/>
      <c r="G1959" s="38"/>
      <c r="H1959" s="8"/>
      <c r="I1959" s="56"/>
      <c r="J1959" s="39">
        <v>1</v>
      </c>
      <c r="K1959" s="597">
        <v>10</v>
      </c>
      <c r="L1959" s="598">
        <f t="shared" si="407"/>
        <v>10</v>
      </c>
      <c r="M1959" s="97" t="s">
        <v>224</v>
      </c>
      <c r="N1959" s="33">
        <v>45841</v>
      </c>
      <c r="O1959" s="32">
        <v>7259</v>
      </c>
      <c r="P1959" s="83">
        <v>500</v>
      </c>
      <c r="Q1959" s="83">
        <f t="shared" si="408"/>
        <v>500</v>
      </c>
      <c r="R1959" s="1"/>
      <c r="S1959" s="7">
        <f t="shared" si="409"/>
        <v>500</v>
      </c>
      <c r="T1959" s="1318">
        <f t="shared" si="410"/>
        <v>500</v>
      </c>
      <c r="U1959" s="83">
        <v>125</v>
      </c>
      <c r="V1959" s="1560">
        <f t="shared" si="411"/>
        <v>0.6</v>
      </c>
      <c r="W1959" s="1"/>
      <c r="X1959" s="1"/>
    </row>
    <row r="1960" spans="2:24" s="159" customFormat="1" ht="15">
      <c r="B1960" s="1784"/>
      <c r="C1960" s="149" t="s">
        <v>4921</v>
      </c>
      <c r="D1960" s="150" t="s">
        <v>4696</v>
      </c>
      <c r="E1960" s="191"/>
      <c r="F1960" s="152"/>
      <c r="G1960" s="1785" t="s">
        <v>168</v>
      </c>
      <c r="H1960" s="154" t="s">
        <v>169</v>
      </c>
      <c r="I1960" s="155"/>
      <c r="J1960" s="153"/>
      <c r="K1960" s="1786">
        <v>0</v>
      </c>
      <c r="L1960" s="157"/>
      <c r="M1960" s="157"/>
      <c r="N1960" s="157">
        <v>45841</v>
      </c>
      <c r="O1960" s="156">
        <v>7259</v>
      </c>
      <c r="P1960" s="149"/>
      <c r="Q1960" s="1787">
        <v>0</v>
      </c>
      <c r="S1960" s="1788">
        <v>0</v>
      </c>
      <c r="T1960" s="165">
        <v>0</v>
      </c>
      <c r="U1960" s="1789"/>
      <c r="V1960" s="1452">
        <v>120</v>
      </c>
      <c r="W1960" s="1560" t="e">
        <f t="shared" ref="W1960" si="424">(((K1960*V1960)-S1960)/(K1960*V1960))</f>
        <v>#DIV/0!</v>
      </c>
    </row>
    <row r="1961" spans="2:24" s="7" customFormat="1" ht="18" customHeight="1">
      <c r="C1961" s="6" t="s">
        <v>4944</v>
      </c>
      <c r="D1961" s="13" t="s">
        <v>4945</v>
      </c>
      <c r="E1961" s="18" t="s">
        <v>2181</v>
      </c>
      <c r="F1961" s="23"/>
      <c r="G1961" s="21"/>
      <c r="H1961" s="55"/>
      <c r="I1961" s="56"/>
      <c r="J1961" s="55"/>
      <c r="K1961" s="15" t="s">
        <v>8</v>
      </c>
      <c r="L1961" s="10"/>
      <c r="M1961" s="10"/>
      <c r="N1961" s="33">
        <v>45852</v>
      </c>
      <c r="O1961" s="32">
        <v>7283</v>
      </c>
      <c r="P1961" s="100"/>
      <c r="Q1961" s="100"/>
      <c r="T1961" s="1301"/>
      <c r="U1961" s="6" t="s">
        <v>3</v>
      </c>
    </row>
    <row r="1962" spans="2:24" s="7" customFormat="1" ht="15.75" customHeight="1">
      <c r="C1962" s="6" t="s">
        <v>4944</v>
      </c>
      <c r="D1962" s="13" t="s">
        <v>4945</v>
      </c>
      <c r="E1962" s="1673" t="s">
        <v>4946</v>
      </c>
      <c r="F1962" s="13"/>
      <c r="G1962" s="21" t="s">
        <v>4661</v>
      </c>
      <c r="H1962" s="93"/>
      <c r="I1962" s="94"/>
      <c r="J1962" s="8">
        <v>2</v>
      </c>
      <c r="K1962" s="611">
        <v>1.02</v>
      </c>
      <c r="L1962" s="598">
        <f>K1962*J1962</f>
        <v>2.04</v>
      </c>
      <c r="M1962" s="97" t="s">
        <v>224</v>
      </c>
      <c r="N1962" s="33">
        <v>45852</v>
      </c>
      <c r="O1962" s="32">
        <v>7283</v>
      </c>
      <c r="P1962" s="83">
        <v>85</v>
      </c>
      <c r="Q1962" s="83">
        <f>P1962*J1962</f>
        <v>170</v>
      </c>
      <c r="S1962" s="7">
        <f t="shared" ref="S1962:T1965" si="425">P1962</f>
        <v>85</v>
      </c>
      <c r="T1962" s="1318">
        <f t="shared" si="425"/>
        <v>170</v>
      </c>
      <c r="U1962" s="83">
        <v>140</v>
      </c>
      <c r="V1962" s="1560">
        <f>(((K1962*U1962)-P1962)/(K1962*U1962))</f>
        <v>0.40476190476190482</v>
      </c>
    </row>
    <row r="1963" spans="2:24" s="7" customFormat="1" ht="15.75" customHeight="1">
      <c r="C1963" s="6" t="s">
        <v>4944</v>
      </c>
      <c r="D1963" s="13" t="s">
        <v>4945</v>
      </c>
      <c r="E1963" s="203" t="s">
        <v>4947</v>
      </c>
      <c r="F1963" s="13"/>
      <c r="G1963" s="21" t="s">
        <v>4661</v>
      </c>
      <c r="H1963" s="93"/>
      <c r="I1963" s="94"/>
      <c r="J1963" s="8">
        <v>2</v>
      </c>
      <c r="K1963" s="611">
        <v>1.97</v>
      </c>
      <c r="L1963" s="598">
        <f>K1963*J1963</f>
        <v>3.94</v>
      </c>
      <c r="M1963" s="97" t="s">
        <v>224</v>
      </c>
      <c r="N1963" s="33">
        <v>45852</v>
      </c>
      <c r="O1963" s="32">
        <v>7283</v>
      </c>
      <c r="P1963" s="83">
        <v>165</v>
      </c>
      <c r="Q1963" s="83">
        <f>P1963*J1963</f>
        <v>330</v>
      </c>
      <c r="S1963" s="7">
        <f t="shared" si="425"/>
        <v>165</v>
      </c>
      <c r="T1963" s="1318">
        <f t="shared" si="425"/>
        <v>330</v>
      </c>
      <c r="U1963" s="83">
        <v>140</v>
      </c>
      <c r="V1963" s="1560">
        <f>(((K1963*U1963)-P1963)/(K1963*U1963))</f>
        <v>0.40174039158810737</v>
      </c>
    </row>
    <row r="1964" spans="2:24" s="7" customFormat="1" ht="15.75" customHeight="1">
      <c r="C1964" s="6" t="s">
        <v>4944</v>
      </c>
      <c r="D1964" s="13" t="s">
        <v>4945</v>
      </c>
      <c r="E1964" s="203" t="s">
        <v>111</v>
      </c>
      <c r="F1964" s="13"/>
      <c r="G1964" s="21" t="s">
        <v>4661</v>
      </c>
      <c r="H1964" s="93"/>
      <c r="I1964" s="94"/>
      <c r="J1964" s="8">
        <v>2</v>
      </c>
      <c r="K1964" s="611">
        <v>1.49</v>
      </c>
      <c r="L1964" s="598">
        <f>K1964*J1964</f>
        <v>2.98</v>
      </c>
      <c r="M1964" s="97" t="s">
        <v>224</v>
      </c>
      <c r="N1964" s="33">
        <v>45852</v>
      </c>
      <c r="O1964" s="32">
        <v>7283</v>
      </c>
      <c r="P1964" s="83">
        <v>125</v>
      </c>
      <c r="Q1964" s="83">
        <f>P1964*J1964</f>
        <v>250</v>
      </c>
      <c r="S1964" s="7">
        <f t="shared" si="425"/>
        <v>125</v>
      </c>
      <c r="T1964" s="1318">
        <f t="shared" si="425"/>
        <v>250</v>
      </c>
      <c r="U1964" s="83">
        <v>140</v>
      </c>
      <c r="V1964" s="1560">
        <f>(((K1964*U1964)-P1964)/(K1964*U1964))</f>
        <v>0.40076701821668265</v>
      </c>
    </row>
    <row r="1965" spans="2:24" s="7" customFormat="1" ht="15.75" customHeight="1">
      <c r="C1965" s="6" t="s">
        <v>4944</v>
      </c>
      <c r="D1965" s="13" t="s">
        <v>4945</v>
      </c>
      <c r="E1965" s="203" t="s">
        <v>293</v>
      </c>
      <c r="F1965" s="13"/>
      <c r="G1965" s="21" t="s">
        <v>4661</v>
      </c>
      <c r="H1965" s="93"/>
      <c r="I1965" s="94"/>
      <c r="J1965" s="8">
        <v>2</v>
      </c>
      <c r="K1965" s="611">
        <v>2.5</v>
      </c>
      <c r="L1965" s="598">
        <f>K1965*J1965</f>
        <v>5</v>
      </c>
      <c r="M1965" s="97" t="s">
        <v>224</v>
      </c>
      <c r="N1965" s="33">
        <v>45852</v>
      </c>
      <c r="O1965" s="32">
        <v>7283</v>
      </c>
      <c r="P1965" s="83">
        <v>210</v>
      </c>
      <c r="Q1965" s="83">
        <f>P1965*J1965</f>
        <v>420</v>
      </c>
      <c r="S1965" s="7">
        <f t="shared" si="425"/>
        <v>210</v>
      </c>
      <c r="T1965" s="1318">
        <f t="shared" si="425"/>
        <v>420</v>
      </c>
      <c r="U1965" s="83">
        <v>140</v>
      </c>
      <c r="V1965" s="1560">
        <f>(((K1965*U1965)-P1965)/(K1965*U1965))</f>
        <v>0.4</v>
      </c>
    </row>
    <row r="1966" spans="2:24" ht="18" customHeight="1">
      <c r="C1966" s="6" t="s">
        <v>4944</v>
      </c>
      <c r="D1966" s="13" t="s">
        <v>4945</v>
      </c>
      <c r="E1966" s="21"/>
      <c r="F1966" s="38"/>
      <c r="G1966" s="38" t="s">
        <v>218</v>
      </c>
      <c r="H1966" s="39"/>
      <c r="I1966" s="94"/>
      <c r="J1966" s="39">
        <v>1</v>
      </c>
      <c r="K1966" s="611">
        <v>24</v>
      </c>
      <c r="L1966" s="598">
        <f t="shared" ref="L1966" si="426">K1966*J1966</f>
        <v>24</v>
      </c>
      <c r="M1966" s="97"/>
      <c r="N1966" s="33">
        <v>45852</v>
      </c>
      <c r="O1966" s="32">
        <v>7283</v>
      </c>
      <c r="P1966" s="1817">
        <f>1000+900</f>
        <v>1900</v>
      </c>
      <c r="Q1966" s="1817">
        <f t="shared" ref="Q1966" si="427">P1966*J1966</f>
        <v>1900</v>
      </c>
      <c r="S1966" s="7">
        <f t="shared" ref="S1966" si="428">P1966</f>
        <v>1900</v>
      </c>
      <c r="T1966" s="1318">
        <f t="shared" ref="T1966" si="429">Q1966</f>
        <v>1900</v>
      </c>
      <c r="U1966" s="83">
        <v>125</v>
      </c>
      <c r="V1966" s="1560">
        <f t="shared" ref="V1966" si="430">(((K1966*U1966)-P1966)/(K1966*U1966))</f>
        <v>0.36666666666666664</v>
      </c>
    </row>
    <row r="1967" spans="2:24" s="159" customFormat="1" ht="15">
      <c r="B1967" s="1784"/>
      <c r="C1967" s="149" t="s">
        <v>4944</v>
      </c>
      <c r="D1967" s="150" t="s">
        <v>4945</v>
      </c>
      <c r="E1967" s="191"/>
      <c r="F1967" s="152"/>
      <c r="G1967" s="1785" t="s">
        <v>168</v>
      </c>
      <c r="H1967" s="154" t="s">
        <v>169</v>
      </c>
      <c r="I1967" s="155"/>
      <c r="J1967" s="153"/>
      <c r="K1967" s="1786">
        <v>0</v>
      </c>
      <c r="L1967" s="157"/>
      <c r="M1967" s="157"/>
      <c r="N1967" s="157">
        <v>45852</v>
      </c>
      <c r="O1967" s="156">
        <v>7283</v>
      </c>
      <c r="P1967" s="149"/>
      <c r="Q1967" s="1787">
        <v>0</v>
      </c>
      <c r="S1967" s="1788">
        <v>0</v>
      </c>
      <c r="T1967" s="165">
        <v>0</v>
      </c>
      <c r="U1967" s="1789"/>
      <c r="V1967" s="1452">
        <v>120</v>
      </c>
      <c r="W1967" s="1560" t="e">
        <f t="shared" ref="W1967" si="431">(((K1967*V1967)-S1967)/(K1967*V1967))</f>
        <v>#DIV/0!</v>
      </c>
    </row>
    <row r="1968" spans="2:24" s="7" customFormat="1" ht="18" customHeight="1">
      <c r="C1968" s="6" t="s">
        <v>4958</v>
      </c>
      <c r="D1968" s="13" t="s">
        <v>4945</v>
      </c>
      <c r="E1968" s="18" t="s">
        <v>2181</v>
      </c>
      <c r="F1968" s="23"/>
      <c r="G1968" s="21"/>
      <c r="H1968" s="55"/>
      <c r="I1968" s="56"/>
      <c r="J1968" s="55"/>
      <c r="K1968" s="15" t="s">
        <v>8</v>
      </c>
      <c r="L1968" s="10"/>
      <c r="M1968" s="10"/>
      <c r="N1968" s="33">
        <v>45898</v>
      </c>
      <c r="O1968" s="32">
        <v>7412</v>
      </c>
      <c r="P1968" s="100"/>
      <c r="Q1968" s="100"/>
      <c r="T1968" s="1301"/>
      <c r="U1968" s="6" t="s">
        <v>3</v>
      </c>
    </row>
    <row r="1969" spans="2:23" s="7" customFormat="1" ht="15.75" customHeight="1">
      <c r="C1969" s="6" t="s">
        <v>4958</v>
      </c>
      <c r="D1969" s="13" t="s">
        <v>4945</v>
      </c>
      <c r="E1969" s="203" t="s">
        <v>293</v>
      </c>
      <c r="F1969" s="13"/>
      <c r="G1969" s="21" t="s">
        <v>4661</v>
      </c>
      <c r="H1969" s="93"/>
      <c r="I1969" s="94"/>
      <c r="J1969" s="8">
        <v>10</v>
      </c>
      <c r="K1969" s="611">
        <v>2.5</v>
      </c>
      <c r="L1969" s="598">
        <f>K1969*J1969</f>
        <v>25</v>
      </c>
      <c r="M1969" s="97" t="s">
        <v>224</v>
      </c>
      <c r="N1969" s="33">
        <v>45898</v>
      </c>
      <c r="O1969" s="32">
        <v>7412</v>
      </c>
      <c r="P1969" s="83">
        <v>210</v>
      </c>
      <c r="Q1969" s="83">
        <f>P1969*J1969</f>
        <v>2100</v>
      </c>
      <c r="S1969" s="7">
        <f t="shared" ref="S1969:S1970" si="432">P1969</f>
        <v>210</v>
      </c>
      <c r="T1969" s="1318">
        <f t="shared" ref="T1969:T1970" si="433">Q1969</f>
        <v>2100</v>
      </c>
      <c r="U1969" s="83">
        <v>140</v>
      </c>
      <c r="V1969" s="1560">
        <f>(((K1969*U1969)-P1969)/(K1969*U1969))</f>
        <v>0.4</v>
      </c>
    </row>
    <row r="1970" spans="2:23" ht="18" customHeight="1">
      <c r="C1970" s="6" t="s">
        <v>4958</v>
      </c>
      <c r="D1970" s="13" t="s">
        <v>4945</v>
      </c>
      <c r="E1970" s="21"/>
      <c r="F1970" s="38"/>
      <c r="G1970" s="38" t="s">
        <v>218</v>
      </c>
      <c r="H1970" s="39"/>
      <c r="I1970" s="94"/>
      <c r="J1970" s="39">
        <v>1</v>
      </c>
      <c r="K1970" s="611">
        <v>12</v>
      </c>
      <c r="L1970" s="598">
        <f t="shared" ref="L1970" si="434">K1970*J1970</f>
        <v>12</v>
      </c>
      <c r="M1970" s="97"/>
      <c r="N1970" s="33">
        <v>45898</v>
      </c>
      <c r="O1970" s="32">
        <v>7412</v>
      </c>
      <c r="P1970" s="83">
        <v>900</v>
      </c>
      <c r="Q1970" s="83">
        <f t="shared" ref="Q1970" si="435">P1970*J1970</f>
        <v>900</v>
      </c>
      <c r="S1970" s="7">
        <f t="shared" si="432"/>
        <v>900</v>
      </c>
      <c r="T1970" s="1318">
        <f t="shared" si="433"/>
        <v>900</v>
      </c>
      <c r="U1970" s="83">
        <v>125</v>
      </c>
      <c r="V1970" s="1560">
        <f t="shared" ref="V1970" si="436">(((K1970*U1970)-P1970)/(K1970*U1970))</f>
        <v>0.4</v>
      </c>
    </row>
    <row r="1971" spans="2:23" s="159" customFormat="1" ht="15">
      <c r="B1971" s="1784"/>
      <c r="C1971" s="149" t="s">
        <v>4958</v>
      </c>
      <c r="D1971" s="150" t="s">
        <v>4945</v>
      </c>
      <c r="E1971" s="191"/>
      <c r="F1971" s="152"/>
      <c r="G1971" s="1785" t="s">
        <v>168</v>
      </c>
      <c r="H1971" s="154" t="s">
        <v>169</v>
      </c>
      <c r="I1971" s="155"/>
      <c r="J1971" s="153"/>
      <c r="K1971" s="1786">
        <v>0</v>
      </c>
      <c r="L1971" s="157"/>
      <c r="M1971" s="157"/>
      <c r="N1971" s="157">
        <v>45898</v>
      </c>
      <c r="O1971" s="156">
        <v>7412</v>
      </c>
      <c r="P1971" s="149"/>
      <c r="Q1971" s="1787">
        <v>0</v>
      </c>
      <c r="S1971" s="1788">
        <v>0</v>
      </c>
      <c r="T1971" s="165">
        <v>0</v>
      </c>
      <c r="U1971" s="1789"/>
      <c r="V1971" s="1452">
        <v>120</v>
      </c>
      <c r="W1971" s="1560" t="e">
        <f t="shared" ref="W1971" si="437">(((K1971*V1971)-S1971)/(K1971*V1971))</f>
        <v>#DIV/0!</v>
      </c>
    </row>
    <row r="1972" spans="2:23" s="7" customFormat="1" ht="18" customHeight="1">
      <c r="C1972" s="6" t="s">
        <v>4985</v>
      </c>
      <c r="D1972" s="13" t="s">
        <v>4696</v>
      </c>
      <c r="E1972" s="18" t="s">
        <v>4973</v>
      </c>
      <c r="F1972" s="23"/>
      <c r="G1972" s="21"/>
      <c r="H1972" s="55"/>
      <c r="I1972" s="56"/>
      <c r="J1972" s="55"/>
      <c r="K1972" s="15" t="s">
        <v>8</v>
      </c>
      <c r="L1972" s="10"/>
      <c r="M1972" s="10"/>
      <c r="N1972" s="33">
        <v>45904</v>
      </c>
      <c r="O1972" s="32">
        <v>7424</v>
      </c>
      <c r="P1972" s="100"/>
      <c r="Q1972" s="100"/>
      <c r="T1972" s="1301"/>
      <c r="U1972" s="6" t="s">
        <v>3</v>
      </c>
    </row>
    <row r="1973" spans="2:23" s="7" customFormat="1" ht="15.75" customHeight="1">
      <c r="C1973" s="6" t="s">
        <v>4985</v>
      </c>
      <c r="D1973" s="13" t="s">
        <v>4696</v>
      </c>
      <c r="E1973" s="203">
        <v>3844</v>
      </c>
      <c r="F1973" s="596">
        <v>9</v>
      </c>
      <c r="G1973" s="21" t="s">
        <v>4976</v>
      </c>
      <c r="H1973" s="93">
        <v>30</v>
      </c>
      <c r="I1973" s="94">
        <v>1</v>
      </c>
      <c r="J1973" s="55">
        <f>H1973*I1973</f>
        <v>30</v>
      </c>
      <c r="K1973" s="611">
        <v>0.89</v>
      </c>
      <c r="L1973" s="598">
        <f>K1973*J1973</f>
        <v>26.7</v>
      </c>
      <c r="M1973" s="97" t="s">
        <v>224</v>
      </c>
      <c r="N1973" s="33">
        <v>45904</v>
      </c>
      <c r="O1973" s="32">
        <v>7424</v>
      </c>
      <c r="P1973" s="83">
        <v>62</v>
      </c>
      <c r="Q1973" s="83">
        <f>P1973*J1973</f>
        <v>1860</v>
      </c>
      <c r="S1973" s="7">
        <f t="shared" ref="S1973" si="438">P1973</f>
        <v>62</v>
      </c>
      <c r="T1973" s="1318">
        <f t="shared" ref="T1973" si="439">Q1973</f>
        <v>1860</v>
      </c>
      <c r="U1973" s="83">
        <v>140</v>
      </c>
      <c r="V1973" s="1560">
        <f>(((K1973*U1973)-P1973)/(K1973*U1973))</f>
        <v>0.5024077046548957</v>
      </c>
    </row>
    <row r="1974" spans="2:23" s="7" customFormat="1" ht="15.75" customHeight="1">
      <c r="C1974" s="6" t="s">
        <v>4985</v>
      </c>
      <c r="D1974" s="13" t="s">
        <v>4696</v>
      </c>
      <c r="E1974" s="203">
        <v>3844</v>
      </c>
      <c r="F1974" s="596">
        <v>9</v>
      </c>
      <c r="G1974" s="21" t="s">
        <v>4977</v>
      </c>
      <c r="H1974" s="93">
        <v>30</v>
      </c>
      <c r="I1974" s="94">
        <v>1</v>
      </c>
      <c r="J1974" s="55">
        <f>H1974*I1974</f>
        <v>30</v>
      </c>
      <c r="K1974" s="611">
        <v>0.89</v>
      </c>
      <c r="L1974" s="598">
        <f>K1974*J1974</f>
        <v>26.7</v>
      </c>
      <c r="M1974" s="97" t="s">
        <v>224</v>
      </c>
      <c r="N1974" s="33">
        <v>45904</v>
      </c>
      <c r="O1974" s="32">
        <v>7424</v>
      </c>
      <c r="P1974" s="83">
        <v>62</v>
      </c>
      <c r="Q1974" s="83">
        <f>P1974*J1974</f>
        <v>1860</v>
      </c>
      <c r="S1974" s="7">
        <f t="shared" ref="S1974:S1975" si="440">P1974</f>
        <v>62</v>
      </c>
      <c r="T1974" s="1318">
        <f t="shared" ref="T1974:T1975" si="441">Q1974</f>
        <v>1860</v>
      </c>
      <c r="U1974" s="83">
        <v>140</v>
      </c>
      <c r="V1974" s="1560">
        <f>(((K1974*U1974)-P1974)/(K1974*U1974))</f>
        <v>0.5024077046548957</v>
      </c>
    </row>
    <row r="1975" spans="2:23" ht="18" customHeight="1">
      <c r="C1975" s="6" t="s">
        <v>5041</v>
      </c>
      <c r="D1975" s="13" t="s">
        <v>4696</v>
      </c>
      <c r="E1975" s="21" t="s">
        <v>4981</v>
      </c>
      <c r="F1975" s="596">
        <v>9</v>
      </c>
      <c r="G1975" s="38" t="s">
        <v>4983</v>
      </c>
      <c r="H1975" s="39"/>
      <c r="I1975" s="94"/>
      <c r="J1975" s="39">
        <v>1</v>
      </c>
      <c r="K1975" s="611">
        <v>90</v>
      </c>
      <c r="L1975" s="598">
        <f t="shared" ref="L1975" si="442">K1975*J1975</f>
        <v>90</v>
      </c>
      <c r="M1975" s="97" t="s">
        <v>224</v>
      </c>
      <c r="N1975" s="33">
        <v>45930</v>
      </c>
      <c r="O1975" s="32">
        <v>7495</v>
      </c>
      <c r="P1975" s="83">
        <v>10000</v>
      </c>
      <c r="Q1975" s="83">
        <f t="shared" ref="Q1975" si="443">P1975*J1975</f>
        <v>10000</v>
      </c>
      <c r="S1975" s="7">
        <f t="shared" si="440"/>
        <v>10000</v>
      </c>
      <c r="T1975" s="1318">
        <f t="shared" si="441"/>
        <v>10000</v>
      </c>
      <c r="U1975" s="83">
        <v>125</v>
      </c>
      <c r="V1975" s="1560">
        <f t="shared" ref="V1975" si="444">(((K1975*U1975)-P1975)/(K1975*U1975))</f>
        <v>0.1111111111111111</v>
      </c>
    </row>
    <row r="1976" spans="2:23" s="7" customFormat="1" ht="18" customHeight="1">
      <c r="C1976" s="6" t="s">
        <v>4985</v>
      </c>
      <c r="D1976" s="13" t="s">
        <v>4696</v>
      </c>
      <c r="E1976" s="18" t="s">
        <v>4978</v>
      </c>
      <c r="F1976" s="23"/>
      <c r="G1976" s="21"/>
      <c r="H1976" s="55"/>
      <c r="I1976" s="56"/>
      <c r="J1976" s="55"/>
      <c r="K1976" s="15" t="s">
        <v>8</v>
      </c>
      <c r="L1976" s="10"/>
      <c r="M1976" s="10"/>
      <c r="N1976" s="33">
        <v>45904</v>
      </c>
      <c r="O1976" s="32">
        <v>7424</v>
      </c>
      <c r="P1976" s="100"/>
      <c r="Q1976" s="100"/>
      <c r="T1976" s="1301"/>
      <c r="U1976" s="6" t="s">
        <v>3</v>
      </c>
    </row>
    <row r="1977" spans="2:23" s="7" customFormat="1" ht="15.75" customHeight="1">
      <c r="C1977" s="6" t="s">
        <v>4985</v>
      </c>
      <c r="D1977" s="13" t="s">
        <v>4696</v>
      </c>
      <c r="E1977" s="203" t="s">
        <v>4979</v>
      </c>
      <c r="F1977" s="596">
        <v>9</v>
      </c>
      <c r="G1977" s="21" t="s">
        <v>4984</v>
      </c>
      <c r="H1977" s="93">
        <v>30</v>
      </c>
      <c r="I1977" s="94">
        <v>1</v>
      </c>
      <c r="J1977" s="55">
        <f>H1977*I1977</f>
        <v>30</v>
      </c>
      <c r="K1977" s="611">
        <v>0.35</v>
      </c>
      <c r="L1977" s="598">
        <f>K1977*J1977</f>
        <v>10.5</v>
      </c>
      <c r="M1977" s="97" t="s">
        <v>224</v>
      </c>
      <c r="N1977" s="33">
        <v>45904</v>
      </c>
      <c r="O1977" s="32">
        <v>7424</v>
      </c>
      <c r="P1977" s="83">
        <v>19.332999999999998</v>
      </c>
      <c r="Q1977" s="83">
        <f>P1977*J1977</f>
        <v>579.99</v>
      </c>
      <c r="S1977" s="7">
        <f t="shared" ref="S1977:S1979" si="445">P1977</f>
        <v>19.332999999999998</v>
      </c>
      <c r="T1977" s="1318">
        <f t="shared" ref="T1977:T1979" si="446">Q1977</f>
        <v>579.99</v>
      </c>
      <c r="U1977" s="83">
        <v>140</v>
      </c>
      <c r="V1977" s="1560">
        <f>(((K1977*U1977)-P1977)/(K1977*U1977))</f>
        <v>0.60544897959183674</v>
      </c>
    </row>
    <row r="1978" spans="2:23" s="7" customFormat="1" ht="15.75" customHeight="1">
      <c r="C1978" s="6" t="s">
        <v>4985</v>
      </c>
      <c r="D1978" s="13" t="s">
        <v>4696</v>
      </c>
      <c r="E1978" s="203" t="s">
        <v>4979</v>
      </c>
      <c r="F1978" s="596">
        <v>9</v>
      </c>
      <c r="G1978" s="21" t="s">
        <v>4980</v>
      </c>
      <c r="H1978" s="93">
        <v>30</v>
      </c>
      <c r="I1978" s="94">
        <v>1</v>
      </c>
      <c r="J1978" s="55">
        <f>H1978*I1978</f>
        <v>30</v>
      </c>
      <c r="K1978" s="611">
        <v>0.35</v>
      </c>
      <c r="L1978" s="598">
        <f>K1978*J1978</f>
        <v>10.5</v>
      </c>
      <c r="M1978" s="97" t="s">
        <v>224</v>
      </c>
      <c r="N1978" s="33">
        <v>45904</v>
      </c>
      <c r="O1978" s="32">
        <v>7424</v>
      </c>
      <c r="P1978" s="83">
        <v>19.332999999999998</v>
      </c>
      <c r="Q1978" s="83">
        <f>P1978*J1978</f>
        <v>579.99</v>
      </c>
      <c r="S1978" s="7">
        <f t="shared" si="445"/>
        <v>19.332999999999998</v>
      </c>
      <c r="T1978" s="1318">
        <f t="shared" si="446"/>
        <v>579.99</v>
      </c>
      <c r="U1978" s="83">
        <v>140</v>
      </c>
      <c r="V1978" s="1560">
        <f>(((K1978*U1978)-P1978)/(K1978*U1978))</f>
        <v>0.60544897959183674</v>
      </c>
    </row>
    <row r="1979" spans="2:23" ht="18" customHeight="1">
      <c r="C1979" s="6" t="s">
        <v>4985</v>
      </c>
      <c r="D1979" s="13" t="s">
        <v>4696</v>
      </c>
      <c r="E1979" s="21"/>
      <c r="F1979" s="38"/>
      <c r="G1979" s="38" t="s">
        <v>218</v>
      </c>
      <c r="H1979" s="39"/>
      <c r="I1979" s="94"/>
      <c r="J1979" s="39">
        <v>1</v>
      </c>
      <c r="K1979" s="611">
        <v>12</v>
      </c>
      <c r="L1979" s="598">
        <f t="shared" ref="L1979" si="447">K1979*J1979</f>
        <v>12</v>
      </c>
      <c r="M1979" s="97"/>
      <c r="N1979" s="33">
        <v>45904</v>
      </c>
      <c r="O1979" s="32">
        <v>7424</v>
      </c>
      <c r="P1979" s="83">
        <v>1000</v>
      </c>
      <c r="Q1979" s="83">
        <f t="shared" ref="Q1979" si="448">P1979*J1979</f>
        <v>1000</v>
      </c>
      <c r="S1979" s="7">
        <f t="shared" si="445"/>
        <v>1000</v>
      </c>
      <c r="T1979" s="1318">
        <f t="shared" si="446"/>
        <v>1000</v>
      </c>
      <c r="U1979" s="83">
        <v>125</v>
      </c>
      <c r="V1979" s="1560">
        <f t="shared" ref="V1979" si="449">(((K1979*U1979)-P1979)/(K1979*U1979))</f>
        <v>0.33333333333333331</v>
      </c>
    </row>
    <row r="1980" spans="2:23" s="159" customFormat="1" ht="15">
      <c r="B1980" s="1784"/>
      <c r="C1980" s="149" t="s">
        <v>4985</v>
      </c>
      <c r="D1980" s="150" t="s">
        <v>4696</v>
      </c>
      <c r="E1980" s="191"/>
      <c r="F1980" s="152"/>
      <c r="G1980" s="1785" t="s">
        <v>168</v>
      </c>
      <c r="H1980" s="154" t="s">
        <v>169</v>
      </c>
      <c r="I1980" s="155"/>
      <c r="J1980" s="153"/>
      <c r="K1980" s="1786">
        <v>0</v>
      </c>
      <c r="L1980" s="157"/>
      <c r="M1980" s="157"/>
      <c r="N1980" s="157">
        <v>45904</v>
      </c>
      <c r="O1980" s="156">
        <v>7424</v>
      </c>
      <c r="P1980" s="149"/>
      <c r="Q1980" s="1787">
        <v>0</v>
      </c>
      <c r="S1980" s="1788">
        <v>0</v>
      </c>
      <c r="T1980" s="165">
        <v>0</v>
      </c>
      <c r="U1980" s="1789"/>
      <c r="V1980" s="1452">
        <v>120</v>
      </c>
      <c r="W1980" s="1560" t="e">
        <f t="shared" ref="W1980" si="450">(((K1980*V1980)-S1980)/(K1980*V1980))</f>
        <v>#DIV/0!</v>
      </c>
    </row>
    <row r="1981" spans="2:23" s="7" customFormat="1" ht="18" customHeight="1">
      <c r="C1981" s="6" t="s">
        <v>4995</v>
      </c>
      <c r="D1981" s="13" t="s">
        <v>1900</v>
      </c>
      <c r="E1981" s="18" t="s">
        <v>4996</v>
      </c>
      <c r="F1981" s="23"/>
      <c r="G1981" s="21"/>
      <c r="H1981" s="55"/>
      <c r="I1981" s="56"/>
      <c r="J1981" s="55"/>
      <c r="K1981" s="15" t="s">
        <v>8</v>
      </c>
      <c r="L1981" s="10"/>
      <c r="M1981" s="10"/>
      <c r="N1981" s="33">
        <v>45918</v>
      </c>
      <c r="O1981" s="32">
        <v>7454</v>
      </c>
      <c r="P1981" s="100"/>
      <c r="Q1981" s="100"/>
      <c r="T1981" s="1301"/>
      <c r="U1981" s="6" t="s">
        <v>3</v>
      </c>
    </row>
    <row r="1982" spans="2:23" s="7" customFormat="1" ht="15.75" customHeight="1">
      <c r="C1982" s="6" t="s">
        <v>4995</v>
      </c>
      <c r="D1982" s="13" t="s">
        <v>1900</v>
      </c>
      <c r="E1982" s="1819" t="s">
        <v>4997</v>
      </c>
      <c r="F1982" s="13"/>
      <c r="G1982" s="21" t="s">
        <v>5000</v>
      </c>
      <c r="H1982" s="93"/>
      <c r="I1982" s="94"/>
      <c r="J1982" s="8">
        <v>10</v>
      </c>
      <c r="K1982" s="611">
        <v>1.79</v>
      </c>
      <c r="L1982" s="598">
        <f t="shared" ref="L1982:L1987" si="451">K1982*J1982</f>
        <v>17.899999999999999</v>
      </c>
      <c r="M1982" s="97" t="s">
        <v>224</v>
      </c>
      <c r="N1982" s="1818">
        <v>45918</v>
      </c>
      <c r="O1982" s="32">
        <v>7454</v>
      </c>
      <c r="P1982" s="83">
        <v>150</v>
      </c>
      <c r="Q1982" s="83">
        <f t="shared" ref="Q1982:Q1987" si="452">P1982*J1982</f>
        <v>1500</v>
      </c>
      <c r="R1982" s="7" t="s">
        <v>265</v>
      </c>
      <c r="S1982" s="7">
        <f t="shared" ref="S1982:S1988" si="453">P1982</f>
        <v>150</v>
      </c>
      <c r="T1982" s="1318">
        <f t="shared" ref="T1982:T1988" si="454">Q1982</f>
        <v>1500</v>
      </c>
      <c r="U1982" s="83">
        <v>140</v>
      </c>
      <c r="V1982" s="1560">
        <f t="shared" ref="V1982:V1988" si="455">(((K1982*U1982)-P1982)/(K1982*U1982))</f>
        <v>0.40143655227454111</v>
      </c>
    </row>
    <row r="1983" spans="2:23" s="7" customFormat="1" ht="18" customHeight="1">
      <c r="C1983" s="6" t="s">
        <v>4995</v>
      </c>
      <c r="D1983" s="13" t="s">
        <v>1900</v>
      </c>
      <c r="E1983" s="1892" t="s">
        <v>4998</v>
      </c>
      <c r="F1983" s="23"/>
      <c r="G1983" s="21"/>
      <c r="H1983" s="55"/>
      <c r="I1983" s="56"/>
      <c r="J1983" s="55"/>
      <c r="K1983" s="15" t="s">
        <v>8</v>
      </c>
      <c r="L1983" s="10"/>
      <c r="M1983" s="10"/>
      <c r="N1983" s="1818">
        <v>45918</v>
      </c>
      <c r="O1983" s="32">
        <v>7454</v>
      </c>
      <c r="P1983" s="100"/>
      <c r="Q1983" s="100"/>
      <c r="T1983" s="1301"/>
      <c r="U1983" s="6" t="s">
        <v>3</v>
      </c>
    </row>
    <row r="1984" spans="2:23" s="7" customFormat="1" ht="15.75" customHeight="1">
      <c r="C1984" s="6" t="s">
        <v>4995</v>
      </c>
      <c r="D1984" s="13" t="s">
        <v>1900</v>
      </c>
      <c r="E1984" s="1819" t="s">
        <v>4988</v>
      </c>
      <c r="F1984" s="13"/>
      <c r="G1984" s="21" t="s">
        <v>5000</v>
      </c>
      <c r="H1984" s="93"/>
      <c r="I1984" s="94"/>
      <c r="J1984" s="8">
        <v>10</v>
      </c>
      <c r="K1984" s="611">
        <v>2.86</v>
      </c>
      <c r="L1984" s="598">
        <f t="shared" si="451"/>
        <v>28.599999999999998</v>
      </c>
      <c r="M1984" s="97" t="s">
        <v>224</v>
      </c>
      <c r="N1984" s="1818">
        <v>45918</v>
      </c>
      <c r="O1984" s="32">
        <v>7454</v>
      </c>
      <c r="P1984" s="83">
        <v>240</v>
      </c>
      <c r="Q1984" s="83">
        <f t="shared" si="452"/>
        <v>2400</v>
      </c>
      <c r="R1984" s="7" t="s">
        <v>265</v>
      </c>
      <c r="S1984" s="7">
        <f t="shared" si="453"/>
        <v>240</v>
      </c>
      <c r="T1984" s="1318">
        <f t="shared" si="454"/>
        <v>2400</v>
      </c>
      <c r="U1984" s="83">
        <v>140</v>
      </c>
      <c r="V1984" s="1560">
        <f t="shared" si="455"/>
        <v>0.40059940059940058</v>
      </c>
    </row>
    <row r="1985" spans="2:23" s="7" customFormat="1" ht="18" customHeight="1">
      <c r="C1985" s="6" t="s">
        <v>4995</v>
      </c>
      <c r="D1985" s="13" t="s">
        <v>1900</v>
      </c>
      <c r="E1985" s="1892" t="s">
        <v>4999</v>
      </c>
      <c r="F1985" s="23"/>
      <c r="G1985" s="21"/>
      <c r="H1985" s="55"/>
      <c r="I1985" s="56"/>
      <c r="J1985" s="55"/>
      <c r="K1985" s="15" t="s">
        <v>8</v>
      </c>
      <c r="L1985" s="10"/>
      <c r="M1985" s="10"/>
      <c r="N1985" s="1818">
        <v>45918</v>
      </c>
      <c r="O1985" s="32">
        <v>7454</v>
      </c>
      <c r="P1985" s="100"/>
      <c r="Q1985" s="100"/>
      <c r="T1985" s="1301"/>
      <c r="U1985" s="6" t="s">
        <v>3</v>
      </c>
    </row>
    <row r="1986" spans="2:23" s="7" customFormat="1" ht="15.75" customHeight="1">
      <c r="C1986" s="6" t="s">
        <v>4995</v>
      </c>
      <c r="D1986" s="13" t="s">
        <v>1900</v>
      </c>
      <c r="E1986" s="1819" t="s">
        <v>4989</v>
      </c>
      <c r="F1986" s="13"/>
      <c r="G1986" s="21" t="s">
        <v>5000</v>
      </c>
      <c r="H1986" s="93"/>
      <c r="I1986" s="94"/>
      <c r="J1986" s="8">
        <v>10</v>
      </c>
      <c r="K1986" s="611">
        <v>2.5299999999999998</v>
      </c>
      <c r="L1986" s="598">
        <f t="shared" ref="L1986" si="456">K1986*J1986</f>
        <v>25.299999999999997</v>
      </c>
      <c r="M1986" s="97" t="s">
        <v>224</v>
      </c>
      <c r="N1986" s="1818">
        <v>45918</v>
      </c>
      <c r="O1986" s="32">
        <v>7454</v>
      </c>
      <c r="P1986" s="83">
        <v>212</v>
      </c>
      <c r="Q1986" s="83">
        <f t="shared" ref="Q1986" si="457">P1986*J1986</f>
        <v>2120</v>
      </c>
      <c r="R1986" s="7" t="s">
        <v>265</v>
      </c>
      <c r="S1986" s="7">
        <f t="shared" ref="S1986" si="458">P1986</f>
        <v>212</v>
      </c>
      <c r="T1986" s="1318">
        <f t="shared" ref="T1986" si="459">Q1986</f>
        <v>2120</v>
      </c>
      <c r="U1986" s="83">
        <v>140</v>
      </c>
      <c r="V1986" s="1560">
        <f t="shared" ref="V1986" si="460">(((K1986*U1986)-P1986)/(K1986*U1986))</f>
        <v>0.40146809712027104</v>
      </c>
    </row>
    <row r="1987" spans="2:23" ht="18" customHeight="1">
      <c r="C1987" s="6" t="s">
        <v>4995</v>
      </c>
      <c r="D1987" s="13" t="s">
        <v>1900</v>
      </c>
      <c r="E1987" s="21"/>
      <c r="F1987" s="38"/>
      <c r="G1987" s="38" t="s">
        <v>218</v>
      </c>
      <c r="H1987" s="39"/>
      <c r="I1987" s="94"/>
      <c r="J1987" s="39">
        <v>1</v>
      </c>
      <c r="K1987" s="611">
        <v>15</v>
      </c>
      <c r="L1987" s="598">
        <f t="shared" si="451"/>
        <v>15</v>
      </c>
      <c r="M1987" s="898"/>
      <c r="N1987" s="33">
        <v>45918</v>
      </c>
      <c r="O1987" s="32">
        <v>7454</v>
      </c>
      <c r="P1987" s="1817">
        <f>900+900</f>
        <v>1800</v>
      </c>
      <c r="Q1987" s="1817">
        <f t="shared" si="452"/>
        <v>1800</v>
      </c>
      <c r="S1987" s="7">
        <f t="shared" si="453"/>
        <v>1800</v>
      </c>
      <c r="T1987" s="1318">
        <f t="shared" si="454"/>
        <v>1800</v>
      </c>
      <c r="U1987" s="83">
        <v>125</v>
      </c>
      <c r="V1987" s="1560">
        <f t="shared" si="455"/>
        <v>0.04</v>
      </c>
    </row>
    <row r="1988" spans="2:23" s="159" customFormat="1" ht="18" customHeight="1">
      <c r="C1988" s="149" t="s">
        <v>4995</v>
      </c>
      <c r="D1988" s="150" t="s">
        <v>1900</v>
      </c>
      <c r="E1988" s="191"/>
      <c r="F1988" s="152"/>
      <c r="G1988" s="152" t="s">
        <v>4904</v>
      </c>
      <c r="H1988" s="154" t="s">
        <v>4903</v>
      </c>
      <c r="I1988" s="155"/>
      <c r="J1988" s="154">
        <v>1</v>
      </c>
      <c r="K1988" s="911">
        <v>0</v>
      </c>
      <c r="L1988" s="911">
        <v>0</v>
      </c>
      <c r="M1988" s="601"/>
      <c r="N1988" s="157">
        <v>45918</v>
      </c>
      <c r="O1988" s="156">
        <v>7454</v>
      </c>
      <c r="P1988" s="1870">
        <v>0</v>
      </c>
      <c r="Q1988" s="1870">
        <v>0</v>
      </c>
      <c r="S1988" s="83">
        <f t="shared" si="453"/>
        <v>0</v>
      </c>
      <c r="T1988" s="1455">
        <f t="shared" si="454"/>
        <v>0</v>
      </c>
      <c r="U1988" s="83">
        <v>125</v>
      </c>
      <c r="V1988" s="1560" t="e">
        <f t="shared" si="455"/>
        <v>#DIV/0!</v>
      </c>
    </row>
    <row r="1989" spans="2:23" s="7" customFormat="1" ht="18" customHeight="1">
      <c r="C1989" s="6" t="s">
        <v>5026</v>
      </c>
      <c r="D1989" s="13" t="s">
        <v>4945</v>
      </c>
      <c r="E1989" s="18" t="s">
        <v>5033</v>
      </c>
      <c r="F1989" s="23"/>
      <c r="G1989" s="21"/>
      <c r="H1989" s="55"/>
      <c r="I1989" s="56"/>
      <c r="J1989" s="55"/>
      <c r="K1989" s="15" t="s">
        <v>8</v>
      </c>
      <c r="L1989" s="10"/>
      <c r="M1989" s="10"/>
      <c r="N1989" s="33">
        <v>45950</v>
      </c>
      <c r="O1989" s="32">
        <v>7556</v>
      </c>
      <c r="P1989" s="100"/>
      <c r="Q1989" s="100"/>
      <c r="T1989" s="1301"/>
      <c r="U1989" s="6" t="s">
        <v>3</v>
      </c>
    </row>
    <row r="1990" spans="2:23" s="7" customFormat="1" ht="15.75" customHeight="1">
      <c r="C1990" s="6" t="s">
        <v>5026</v>
      </c>
      <c r="D1990" s="18" t="s">
        <v>4945</v>
      </c>
      <c r="E1990" s="203" t="s">
        <v>5027</v>
      </c>
      <c r="F1990" s="21"/>
      <c r="G1990" s="21" t="s">
        <v>4661</v>
      </c>
      <c r="H1990" s="93"/>
      <c r="I1990" s="94"/>
      <c r="J1990" s="8">
        <v>5</v>
      </c>
      <c r="K1990" s="611">
        <v>1.2</v>
      </c>
      <c r="L1990" s="598">
        <f t="shared" ref="L1990:L1993" si="461">K1990*J1990</f>
        <v>6</v>
      </c>
      <c r="M1990" s="97" t="s">
        <v>224</v>
      </c>
      <c r="N1990" s="33">
        <v>45950</v>
      </c>
      <c r="O1990" s="32">
        <v>7556</v>
      </c>
      <c r="P1990" s="83">
        <v>100</v>
      </c>
      <c r="Q1990" s="83">
        <f t="shared" ref="Q1990:Q1993" si="462">P1990*J1990</f>
        <v>500</v>
      </c>
      <c r="S1990" s="7">
        <f t="shared" ref="S1990:S1994" si="463">P1990</f>
        <v>100</v>
      </c>
      <c r="T1990" s="1318">
        <f t="shared" ref="T1990:T1994" si="464">Q1990</f>
        <v>500</v>
      </c>
      <c r="U1990" s="83">
        <v>140</v>
      </c>
      <c r="V1990" s="1560">
        <f t="shared" ref="V1990:V1993" si="465">(((K1990*U1990)-P1990)/(K1990*U1990))</f>
        <v>0.40476190476190477</v>
      </c>
    </row>
    <row r="1991" spans="2:23" s="7" customFormat="1" ht="15.75" customHeight="1">
      <c r="C1991" s="6" t="s">
        <v>5026</v>
      </c>
      <c r="D1991" s="18" t="s">
        <v>4945</v>
      </c>
      <c r="E1991" s="203" t="s">
        <v>5029</v>
      </c>
      <c r="F1991" s="21"/>
      <c r="G1991" s="21" t="s">
        <v>4661</v>
      </c>
      <c r="H1991" s="93"/>
      <c r="I1991" s="94"/>
      <c r="J1991" s="8">
        <v>5</v>
      </c>
      <c r="K1991" s="611">
        <v>1.43</v>
      </c>
      <c r="L1991" s="598">
        <f t="shared" si="461"/>
        <v>7.1499999999999995</v>
      </c>
      <c r="M1991" s="97" t="s">
        <v>224</v>
      </c>
      <c r="N1991" s="33">
        <v>45950</v>
      </c>
      <c r="O1991" s="32">
        <v>7556</v>
      </c>
      <c r="P1991" s="83">
        <v>120</v>
      </c>
      <c r="Q1991" s="83">
        <f t="shared" si="462"/>
        <v>600</v>
      </c>
      <c r="S1991" s="7">
        <f t="shared" ref="S1991" si="466">P1991</f>
        <v>120</v>
      </c>
      <c r="T1991" s="1318">
        <f t="shared" ref="T1991" si="467">Q1991</f>
        <v>600</v>
      </c>
      <c r="U1991" s="83">
        <v>140</v>
      </c>
      <c r="V1991" s="1560">
        <f t="shared" si="465"/>
        <v>0.40059940059940058</v>
      </c>
    </row>
    <row r="1992" spans="2:23" s="7" customFormat="1" ht="15.75" customHeight="1">
      <c r="C1992" s="6" t="s">
        <v>5026</v>
      </c>
      <c r="D1992" s="18" t="s">
        <v>4945</v>
      </c>
      <c r="E1992" s="203" t="s">
        <v>5030</v>
      </c>
      <c r="F1992" s="21"/>
      <c r="G1992" s="21" t="s">
        <v>4661</v>
      </c>
      <c r="H1992" s="93"/>
      <c r="I1992" s="94"/>
      <c r="J1992" s="8">
        <v>5</v>
      </c>
      <c r="K1992" s="611">
        <v>1.2</v>
      </c>
      <c r="L1992" s="598">
        <f t="shared" si="461"/>
        <v>6</v>
      </c>
      <c r="M1992" s="97" t="s">
        <v>224</v>
      </c>
      <c r="N1992" s="33">
        <v>45950</v>
      </c>
      <c r="O1992" s="32">
        <v>7556</v>
      </c>
      <c r="P1992" s="83">
        <v>100</v>
      </c>
      <c r="Q1992" s="83">
        <f t="shared" si="462"/>
        <v>500</v>
      </c>
      <c r="S1992" s="7">
        <f t="shared" ref="S1992:S1993" si="468">P1992</f>
        <v>100</v>
      </c>
      <c r="T1992" s="1318">
        <f t="shared" ref="T1992:T1993" si="469">Q1992</f>
        <v>500</v>
      </c>
      <c r="U1992" s="83">
        <v>140</v>
      </c>
      <c r="V1992" s="1560">
        <f t="shared" si="465"/>
        <v>0.40476190476190477</v>
      </c>
    </row>
    <row r="1993" spans="2:23" s="7" customFormat="1" ht="15.75" customHeight="1">
      <c r="C1993" s="6" t="s">
        <v>5026</v>
      </c>
      <c r="D1993" s="18" t="s">
        <v>4945</v>
      </c>
      <c r="E1993" s="203" t="s">
        <v>5028</v>
      </c>
      <c r="F1993" s="21"/>
      <c r="G1993" s="21" t="s">
        <v>4661</v>
      </c>
      <c r="H1993" s="93"/>
      <c r="I1993" s="94"/>
      <c r="J1993" s="8">
        <v>5</v>
      </c>
      <c r="K1993" s="611">
        <v>1.37</v>
      </c>
      <c r="L1993" s="598">
        <f t="shared" si="461"/>
        <v>6.8500000000000005</v>
      </c>
      <c r="M1993" s="97" t="s">
        <v>224</v>
      </c>
      <c r="N1993" s="33">
        <v>45950</v>
      </c>
      <c r="O1993" s="32">
        <v>7556</v>
      </c>
      <c r="P1993" s="83">
        <v>115</v>
      </c>
      <c r="Q1993" s="83">
        <f t="shared" si="462"/>
        <v>575</v>
      </c>
      <c r="S1993" s="7">
        <f t="shared" si="468"/>
        <v>115</v>
      </c>
      <c r="T1993" s="1318">
        <f t="shared" si="469"/>
        <v>575</v>
      </c>
      <c r="U1993" s="83">
        <v>140</v>
      </c>
      <c r="V1993" s="1560">
        <f t="shared" si="465"/>
        <v>0.40041710114702816</v>
      </c>
    </row>
    <row r="1994" spans="2:23" ht="18" customHeight="1">
      <c r="C1994" s="6" t="s">
        <v>5026</v>
      </c>
      <c r="D1994" s="18" t="s">
        <v>4945</v>
      </c>
      <c r="E1994" s="21"/>
      <c r="F1994" s="38"/>
      <c r="G1994" s="38" t="s">
        <v>218</v>
      </c>
      <c r="H1994" s="39"/>
      <c r="I1994" s="94"/>
      <c r="J1994" s="39">
        <v>1</v>
      </c>
      <c r="K1994" s="611">
        <v>12</v>
      </c>
      <c r="L1994" s="598">
        <f t="shared" ref="L1994" si="470">K1994*J1994</f>
        <v>12</v>
      </c>
      <c r="M1994" s="97"/>
      <c r="N1994" s="33">
        <v>45950</v>
      </c>
      <c r="O1994" s="32">
        <v>7556</v>
      </c>
      <c r="P1994" s="83">
        <v>0</v>
      </c>
      <c r="Q1994" s="83">
        <f t="shared" ref="Q1994" si="471">P1994*J1994</f>
        <v>0</v>
      </c>
      <c r="S1994" s="7">
        <f t="shared" si="463"/>
        <v>0</v>
      </c>
      <c r="T1994" s="1318">
        <f t="shared" si="464"/>
        <v>0</v>
      </c>
      <c r="U1994" s="83">
        <v>125</v>
      </c>
      <c r="V1994" s="1560">
        <f t="shared" ref="V1994" si="472">(((K1994*U1994)-P1994)/(K1994*U1994))</f>
        <v>1</v>
      </c>
    </row>
    <row r="1995" spans="2:23" s="159" customFormat="1" ht="15">
      <c r="B1995" s="1784"/>
      <c r="C1995" s="149" t="s">
        <v>5026</v>
      </c>
      <c r="D1995" s="150" t="s">
        <v>4945</v>
      </c>
      <c r="E1995" s="191"/>
      <c r="F1995" s="152"/>
      <c r="G1995" s="1785" t="s">
        <v>168</v>
      </c>
      <c r="H1995" s="154" t="s">
        <v>169</v>
      </c>
      <c r="I1995" s="155"/>
      <c r="J1995" s="153"/>
      <c r="K1995" s="1786">
        <v>0</v>
      </c>
      <c r="L1995" s="157"/>
      <c r="M1995" s="157"/>
      <c r="N1995" s="157">
        <v>45950</v>
      </c>
      <c r="O1995" s="156">
        <v>7556</v>
      </c>
      <c r="P1995" s="149"/>
      <c r="Q1995" s="1787">
        <v>0</v>
      </c>
      <c r="S1995" s="1788">
        <v>0</v>
      </c>
      <c r="T1995" s="165">
        <v>0</v>
      </c>
      <c r="U1995" s="1789"/>
      <c r="V1995" s="1452">
        <v>120</v>
      </c>
      <c r="W1995" s="1560" t="e">
        <f t="shared" ref="W1995" si="473">(((K1995*V1995)-S1995)/(K1995*V1995))</f>
        <v>#DIV/0!</v>
      </c>
    </row>
    <row r="1996" spans="2:23" s="7" customFormat="1" ht="18" customHeight="1">
      <c r="C1996" s="6" t="s">
        <v>5042</v>
      </c>
      <c r="D1996" s="13" t="s">
        <v>1900</v>
      </c>
      <c r="E1996" s="18" t="s">
        <v>5049</v>
      </c>
      <c r="F1996" s="23"/>
      <c r="G1996" s="21"/>
      <c r="H1996" s="55"/>
      <c r="I1996" s="56"/>
      <c r="J1996" s="55"/>
      <c r="K1996" s="15" t="s">
        <v>8</v>
      </c>
      <c r="L1996" s="10"/>
      <c r="M1996" s="10"/>
      <c r="N1996" s="33">
        <v>45951</v>
      </c>
      <c r="O1996" s="32">
        <v>7562</v>
      </c>
      <c r="P1996" s="100"/>
      <c r="Q1996" s="100"/>
      <c r="T1996" s="1301"/>
      <c r="U1996" s="6" t="s">
        <v>3</v>
      </c>
    </row>
    <row r="1997" spans="2:23" s="7" customFormat="1" ht="15.75" customHeight="1">
      <c r="C1997" s="6" t="s">
        <v>5042</v>
      </c>
      <c r="D1997" s="13" t="s">
        <v>1900</v>
      </c>
      <c r="E1997" s="1819" t="s">
        <v>5014</v>
      </c>
      <c r="F1997" s="13"/>
      <c r="G1997" s="21" t="s">
        <v>5000</v>
      </c>
      <c r="H1997" s="93"/>
      <c r="I1997" s="94"/>
      <c r="J1997" s="8">
        <v>30</v>
      </c>
      <c r="K1997" s="611">
        <v>1.46</v>
      </c>
      <c r="L1997" s="598">
        <f t="shared" ref="L1997" si="474">K1997*J1997</f>
        <v>43.8</v>
      </c>
      <c r="M1997" s="97" t="s">
        <v>224</v>
      </c>
      <c r="N1997" s="1818">
        <v>45951</v>
      </c>
      <c r="O1997" s="32">
        <v>7562</v>
      </c>
      <c r="P1997" s="1895">
        <v>122</v>
      </c>
      <c r="Q1997" s="83">
        <f t="shared" ref="Q1997" si="475">P1997*J1997</f>
        <v>3660</v>
      </c>
      <c r="R1997" s="7" t="s">
        <v>265</v>
      </c>
      <c r="S1997" s="7">
        <f t="shared" ref="S1997" si="476">P1997</f>
        <v>122</v>
      </c>
      <c r="T1997" s="1318">
        <f t="shared" ref="T1997" si="477">Q1997</f>
        <v>3660</v>
      </c>
      <c r="U1997" s="83">
        <v>140</v>
      </c>
      <c r="V1997" s="1560">
        <f t="shared" ref="V1997" si="478">(((K1997*U1997)-P1997)/(K1997*U1997))</f>
        <v>0.40313111545988262</v>
      </c>
    </row>
    <row r="1998" spans="2:23" s="7" customFormat="1" ht="15.75" customHeight="1">
      <c r="C1998" s="6" t="s">
        <v>5042</v>
      </c>
      <c r="D1998" s="13" t="s">
        <v>1900</v>
      </c>
      <c r="E1998" s="1819" t="s">
        <v>5014</v>
      </c>
      <c r="F1998" s="13"/>
      <c r="G1998" s="21" t="s">
        <v>5053</v>
      </c>
      <c r="H1998" s="93"/>
      <c r="I1998" s="94"/>
      <c r="J1998" s="8">
        <v>30</v>
      </c>
      <c r="K1998" s="611">
        <v>2.04</v>
      </c>
      <c r="L1998" s="598">
        <f t="shared" ref="L1998:L1999" si="479">K1998*J1998</f>
        <v>61.2</v>
      </c>
      <c r="M1998" s="97" t="s">
        <v>224</v>
      </c>
      <c r="N1998" s="1818">
        <v>45951</v>
      </c>
      <c r="O1998" s="32">
        <v>7562</v>
      </c>
      <c r="P1998" s="1895">
        <v>171</v>
      </c>
      <c r="Q1998" s="83">
        <f t="shared" ref="Q1998:Q1999" si="480">P1998*J1998</f>
        <v>5130</v>
      </c>
      <c r="R1998" s="7" t="s">
        <v>265</v>
      </c>
      <c r="S1998" s="7">
        <f t="shared" ref="S1998:S1999" si="481">P1998</f>
        <v>171</v>
      </c>
      <c r="T1998" s="1318">
        <f t="shared" ref="T1998:T1999" si="482">Q1998</f>
        <v>5130</v>
      </c>
      <c r="U1998" s="83">
        <v>140</v>
      </c>
      <c r="V1998" s="1560">
        <f t="shared" ref="V1998:V1999" si="483">(((K1998*U1998)-P1998)/(K1998*U1998))</f>
        <v>0.40126050420168075</v>
      </c>
    </row>
    <row r="1999" spans="2:23" ht="18" customHeight="1">
      <c r="C1999" s="6" t="s">
        <v>5042</v>
      </c>
      <c r="D1999" s="13" t="s">
        <v>1900</v>
      </c>
      <c r="E1999" s="1819"/>
      <c r="F1999" s="38"/>
      <c r="G1999" s="38" t="s">
        <v>5054</v>
      </c>
      <c r="H1999" s="39"/>
      <c r="I1999" s="94"/>
      <c r="J1999" s="39">
        <v>1</v>
      </c>
      <c r="K1999" s="611">
        <v>60</v>
      </c>
      <c r="L1999" s="598">
        <f t="shared" si="479"/>
        <v>60</v>
      </c>
      <c r="M1999" s="97"/>
      <c r="N1999" s="1818">
        <v>45951</v>
      </c>
      <c r="O1999" s="32">
        <v>7562</v>
      </c>
      <c r="P1999" s="83">
        <v>6000</v>
      </c>
      <c r="Q1999" s="83">
        <f t="shared" si="480"/>
        <v>6000</v>
      </c>
      <c r="S1999" s="7">
        <f t="shared" si="481"/>
        <v>6000</v>
      </c>
      <c r="T1999" s="1318">
        <f t="shared" si="482"/>
        <v>6000</v>
      </c>
      <c r="U1999" s="83">
        <v>125</v>
      </c>
      <c r="V1999" s="1560">
        <f t="shared" si="483"/>
        <v>0.2</v>
      </c>
    </row>
    <row r="2000" spans="2:23" s="7" customFormat="1" ht="18" customHeight="1">
      <c r="C2000" s="6" t="s">
        <v>5042</v>
      </c>
      <c r="D2000" s="13" t="s">
        <v>1900</v>
      </c>
      <c r="E2000" s="1892" t="s">
        <v>5050</v>
      </c>
      <c r="F2000" s="23"/>
      <c r="G2000" s="21"/>
      <c r="H2000" s="55"/>
      <c r="I2000" s="56"/>
      <c r="J2000" s="55"/>
      <c r="K2000" s="15" t="s">
        <v>8</v>
      </c>
      <c r="L2000" s="10"/>
      <c r="M2000" s="10"/>
      <c r="N2000" s="1818">
        <v>45951</v>
      </c>
      <c r="O2000" s="32">
        <v>7562</v>
      </c>
      <c r="P2000" s="1896"/>
      <c r="Q2000" s="100"/>
      <c r="T2000" s="1301"/>
      <c r="U2000" s="6" t="s">
        <v>3</v>
      </c>
    </row>
    <row r="2001" spans="1:23" s="7" customFormat="1" ht="15.75" customHeight="1">
      <c r="C2001" s="6" t="s">
        <v>5042</v>
      </c>
      <c r="D2001" s="13" t="s">
        <v>1900</v>
      </c>
      <c r="E2001" s="1819" t="s">
        <v>5011</v>
      </c>
      <c r="F2001" s="13"/>
      <c r="G2001" s="21" t="s">
        <v>5000</v>
      </c>
      <c r="H2001" s="93"/>
      <c r="I2001" s="94"/>
      <c r="J2001" s="8">
        <v>30</v>
      </c>
      <c r="K2001" s="611">
        <v>1.75</v>
      </c>
      <c r="L2001" s="598">
        <f t="shared" ref="L2001" si="484">K2001*J2001</f>
        <v>52.5</v>
      </c>
      <c r="M2001" s="97" t="s">
        <v>224</v>
      </c>
      <c r="N2001" s="1818">
        <v>45951</v>
      </c>
      <c r="O2001" s="32">
        <v>7562</v>
      </c>
      <c r="P2001" s="1895">
        <v>147</v>
      </c>
      <c r="Q2001" s="83">
        <f t="shared" ref="Q2001" si="485">P2001*J2001</f>
        <v>4410</v>
      </c>
      <c r="R2001" s="7" t="s">
        <v>265</v>
      </c>
      <c r="S2001" s="7">
        <f t="shared" ref="S2001" si="486">P2001</f>
        <v>147</v>
      </c>
      <c r="T2001" s="1318">
        <f t="shared" ref="T2001" si="487">Q2001</f>
        <v>4410</v>
      </c>
      <c r="U2001" s="83">
        <v>140</v>
      </c>
      <c r="V2001" s="1560">
        <f t="shared" ref="V2001" si="488">(((K2001*U2001)-P2001)/(K2001*U2001))</f>
        <v>0.4</v>
      </c>
    </row>
    <row r="2002" spans="1:23" s="7" customFormat="1" ht="15.75" customHeight="1">
      <c r="C2002" s="6" t="s">
        <v>5042</v>
      </c>
      <c r="D2002" s="13" t="s">
        <v>1900</v>
      </c>
      <c r="E2002" s="1819" t="s">
        <v>5011</v>
      </c>
      <c r="F2002" s="13"/>
      <c r="G2002" s="21" t="s">
        <v>5053</v>
      </c>
      <c r="H2002" s="93"/>
      <c r="I2002" s="94"/>
      <c r="J2002" s="8">
        <v>30</v>
      </c>
      <c r="K2002" s="611">
        <v>2.46</v>
      </c>
      <c r="L2002" s="598">
        <f t="shared" ref="L2002:L2003" si="489">K2002*J2002</f>
        <v>73.8</v>
      </c>
      <c r="M2002" s="97" t="s">
        <v>224</v>
      </c>
      <c r="N2002" s="1818">
        <v>45951</v>
      </c>
      <c r="O2002" s="32">
        <v>7562</v>
      </c>
      <c r="P2002" s="1895">
        <v>206</v>
      </c>
      <c r="Q2002" s="83">
        <f t="shared" ref="Q2002:Q2003" si="490">P2002*J2002</f>
        <v>6180</v>
      </c>
      <c r="R2002" s="7" t="s">
        <v>265</v>
      </c>
      <c r="S2002" s="7">
        <f t="shared" ref="S2002:S2003" si="491">P2002</f>
        <v>206</v>
      </c>
      <c r="T2002" s="1318">
        <f t="shared" ref="T2002:T2003" si="492">Q2002</f>
        <v>6180</v>
      </c>
      <c r="U2002" s="83">
        <v>140</v>
      </c>
      <c r="V2002" s="1560">
        <f t="shared" ref="V2002:V2003" si="493">(((K2002*U2002)-P2002)/(K2002*U2002))</f>
        <v>0.40185830429732866</v>
      </c>
    </row>
    <row r="2003" spans="1:23" ht="18" customHeight="1">
      <c r="C2003" s="6" t="s">
        <v>5042</v>
      </c>
      <c r="D2003" s="13" t="s">
        <v>1900</v>
      </c>
      <c r="E2003" s="21"/>
      <c r="F2003" s="38"/>
      <c r="G2003" s="38" t="s">
        <v>5054</v>
      </c>
      <c r="H2003" s="39"/>
      <c r="I2003" s="94"/>
      <c r="J2003" s="39">
        <v>1</v>
      </c>
      <c r="K2003" s="611">
        <v>60</v>
      </c>
      <c r="L2003" s="598">
        <f t="shared" si="489"/>
        <v>60</v>
      </c>
      <c r="M2003" s="97"/>
      <c r="N2003" s="1818">
        <v>45951</v>
      </c>
      <c r="O2003" s="32">
        <v>7562</v>
      </c>
      <c r="P2003" s="83">
        <v>6000</v>
      </c>
      <c r="Q2003" s="83">
        <f t="shared" si="490"/>
        <v>6000</v>
      </c>
      <c r="S2003" s="7">
        <f t="shared" si="491"/>
        <v>6000</v>
      </c>
      <c r="T2003" s="1318">
        <f t="shared" si="492"/>
        <v>6000</v>
      </c>
      <c r="U2003" s="83">
        <v>125</v>
      </c>
      <c r="V2003" s="1560">
        <f t="shared" si="493"/>
        <v>0.2</v>
      </c>
    </row>
    <row r="2004" spans="1:23" ht="18" customHeight="1">
      <c r="C2004" s="6" t="s">
        <v>5042</v>
      </c>
      <c r="D2004" s="13" t="s">
        <v>1900</v>
      </c>
      <c r="E2004" s="21"/>
      <c r="F2004" s="38"/>
      <c r="G2004" s="38" t="s">
        <v>218</v>
      </c>
      <c r="H2004" s="39"/>
      <c r="I2004" s="94"/>
      <c r="J2004" s="39">
        <v>1</v>
      </c>
      <c r="K2004" s="611">
        <v>15</v>
      </c>
      <c r="L2004" s="598">
        <f t="shared" ref="L2004" si="494">K2004*J2004</f>
        <v>15</v>
      </c>
      <c r="M2004" s="898"/>
      <c r="N2004" s="33">
        <v>45951</v>
      </c>
      <c r="O2004" s="32">
        <v>7562</v>
      </c>
      <c r="P2004" s="1904" ph="1">
        <v>0</v>
      </c>
      <c r="Q2004" s="1817">
        <f t="shared" ref="Q2004" si="495">P2004*J2004</f>
        <v>0</v>
      </c>
      <c r="S2004" s="7">
        <f t="shared" ref="S2004:S2007" si="496">P2004</f>
        <v>0</v>
      </c>
      <c r="T2004" s="1318">
        <f t="shared" ref="T2004:T2007" si="497">Q2004</f>
        <v>0</v>
      </c>
      <c r="U2004" s="83">
        <v>125</v>
      </c>
      <c r="V2004" s="1560">
        <f t="shared" ref="V2004:V2005" si="498">(((K2004*U2004)-P2004)/(K2004*U2004))</f>
        <v>1</v>
      </c>
    </row>
    <row r="2005" spans="1:23" s="159" customFormat="1" ht="18" customHeight="1">
      <c r="C2005" s="149" t="s">
        <v>5042</v>
      </c>
      <c r="D2005" s="150" t="s">
        <v>1900</v>
      </c>
      <c r="E2005" s="191"/>
      <c r="F2005" s="152"/>
      <c r="G2005" s="152" t="s">
        <v>4904</v>
      </c>
      <c r="H2005" s="154" t="s">
        <v>4903</v>
      </c>
      <c r="I2005" s="155"/>
      <c r="J2005" s="154">
        <v>1</v>
      </c>
      <c r="K2005" s="911">
        <v>0</v>
      </c>
      <c r="L2005" s="911">
        <v>0</v>
      </c>
      <c r="M2005" s="601"/>
      <c r="N2005" s="157">
        <v>45951</v>
      </c>
      <c r="O2005" s="156">
        <v>7562</v>
      </c>
      <c r="P2005" s="1870">
        <v>0</v>
      </c>
      <c r="Q2005" s="1870">
        <v>0</v>
      </c>
      <c r="S2005" s="83">
        <f t="shared" si="496"/>
        <v>0</v>
      </c>
      <c r="T2005" s="1455">
        <f t="shared" si="497"/>
        <v>0</v>
      </c>
      <c r="U2005" s="83">
        <v>125</v>
      </c>
      <c r="V2005" s="1560" t="e">
        <f t="shared" si="498"/>
        <v>#DIV/0!</v>
      </c>
    </row>
    <row r="2006" spans="1:23" s="7" customFormat="1" ht="18" customHeight="1" thickBot="1">
      <c r="C2006" s="1483" t="s">
        <v>5045</v>
      </c>
      <c r="D2006" s="13" t="s">
        <v>5044</v>
      </c>
      <c r="E2006" s="18" t="s">
        <v>5047</v>
      </c>
      <c r="F2006" s="23"/>
      <c r="G2006" s="21"/>
      <c r="H2006" s="39"/>
      <c r="I2006" s="56"/>
      <c r="J2006" s="55"/>
      <c r="K2006" s="15" t="s">
        <v>8</v>
      </c>
      <c r="L2006" s="33"/>
      <c r="M2006" s="33"/>
      <c r="N2006" s="33">
        <v>45938</v>
      </c>
      <c r="O2006" s="32">
        <v>7505</v>
      </c>
      <c r="P2006" s="1477"/>
      <c r="Q2006" s="83"/>
      <c r="S2006" s="7">
        <f t="shared" si="496"/>
        <v>0</v>
      </c>
      <c r="T2006" s="1318">
        <f t="shared" si="497"/>
        <v>0</v>
      </c>
      <c r="U2006" s="83">
        <v>125</v>
      </c>
    </row>
    <row r="2007" spans="1:23" s="7" customFormat="1" ht="18" customHeight="1" thickBot="1">
      <c r="C2007" s="1483" t="s">
        <v>5045</v>
      </c>
      <c r="D2007" s="13" t="s">
        <v>5044</v>
      </c>
      <c r="E2007" s="886" t="s">
        <v>5046</v>
      </c>
      <c r="F2007" s="23" t="s">
        <v>2491</v>
      </c>
      <c r="G2007" s="21" t="s">
        <v>5048</v>
      </c>
      <c r="H2007" s="93"/>
      <c r="I2007" s="94"/>
      <c r="J2007" s="17">
        <v>20.6</v>
      </c>
      <c r="K2007" s="597">
        <v>21.53</v>
      </c>
      <c r="L2007" s="598">
        <f>K2007*J2007</f>
        <v>443.51800000000003</v>
      </c>
      <c r="M2007" s="97" t="s">
        <v>224</v>
      </c>
      <c r="N2007" s="33">
        <v>45938</v>
      </c>
      <c r="O2007" s="32">
        <v>7505</v>
      </c>
      <c r="P2007" s="1897">
        <v>1960</v>
      </c>
      <c r="Q2007" s="83">
        <f>P2007*J2007</f>
        <v>40376</v>
      </c>
      <c r="S2007" s="7">
        <f t="shared" si="496"/>
        <v>1960</v>
      </c>
      <c r="T2007" s="1318">
        <f t="shared" si="497"/>
        <v>40376</v>
      </c>
      <c r="U2007" s="83">
        <v>140</v>
      </c>
      <c r="V2007" s="1560">
        <f>(((K2007*U2007)-P2007)/(K2007*U2007))</f>
        <v>0.34974454249883891</v>
      </c>
    </row>
    <row r="2008" spans="1:23" s="159" customFormat="1" ht="18" customHeight="1">
      <c r="C2008" s="1484" t="s">
        <v>5045</v>
      </c>
      <c r="D2008" s="150" t="s">
        <v>5044</v>
      </c>
      <c r="E2008" s="191"/>
      <c r="F2008" s="152"/>
      <c r="G2008" s="152" t="s">
        <v>4904</v>
      </c>
      <c r="H2008" s="154" t="s">
        <v>4903</v>
      </c>
      <c r="I2008" s="155"/>
      <c r="J2008" s="154">
        <v>1</v>
      </c>
      <c r="K2008" s="911">
        <v>0</v>
      </c>
      <c r="L2008" s="911">
        <v>0</v>
      </c>
      <c r="M2008" s="601"/>
      <c r="N2008" s="157">
        <v>45938</v>
      </c>
      <c r="O2008" s="156">
        <v>7505</v>
      </c>
      <c r="P2008" s="1870">
        <v>0</v>
      </c>
      <c r="Q2008" s="1870">
        <v>0</v>
      </c>
      <c r="S2008" s="83">
        <f t="shared" ref="S2008:S2012" si="499">P2008</f>
        <v>0</v>
      </c>
      <c r="T2008" s="1455">
        <f t="shared" ref="T2008:T2012" si="500">Q2008</f>
        <v>0</v>
      </c>
      <c r="U2008" s="83">
        <v>125</v>
      </c>
      <c r="V2008" s="1560" t="e">
        <f t="shared" ref="V2008" si="501">(((K2008*U2008)-P2008)/(K2008*U2008))</f>
        <v>#DIV/0!</v>
      </c>
    </row>
    <row r="2009" spans="1:23" s="7" customFormat="1" ht="18.600000000000001" customHeight="1">
      <c r="C2009" s="6" t="s">
        <v>5055</v>
      </c>
      <c r="D2009" s="13" t="s">
        <v>2277</v>
      </c>
      <c r="E2009" s="18" t="s">
        <v>19</v>
      </c>
      <c r="F2009" s="23"/>
      <c r="G2009" s="21"/>
      <c r="H2009" s="55"/>
      <c r="I2009" s="56"/>
      <c r="J2009" s="55"/>
      <c r="K2009" s="15" t="s">
        <v>8</v>
      </c>
      <c r="L2009" s="688"/>
      <c r="M2009" s="688"/>
      <c r="N2009" s="33">
        <v>45945</v>
      </c>
      <c r="O2009" s="32">
        <v>7531</v>
      </c>
      <c r="P2009" s="83"/>
      <c r="Q2009" s="83"/>
      <c r="S2009" s="7">
        <f t="shared" si="499"/>
        <v>0</v>
      </c>
      <c r="T2009" s="1318">
        <f t="shared" si="500"/>
        <v>0</v>
      </c>
      <c r="U2009" s="83">
        <v>125</v>
      </c>
    </row>
    <row r="2010" spans="1:23" s="7" customFormat="1" ht="18.600000000000001" customHeight="1">
      <c r="C2010" s="6" t="s">
        <v>5055</v>
      </c>
      <c r="D2010" s="13" t="s">
        <v>2277</v>
      </c>
      <c r="E2010" s="915" t="s">
        <v>2722</v>
      </c>
      <c r="F2010" s="23"/>
      <c r="G2010" s="21" t="s">
        <v>25</v>
      </c>
      <c r="H2010" s="93">
        <v>13.7</v>
      </c>
      <c r="I2010" s="94">
        <v>2</v>
      </c>
      <c r="J2010" s="108">
        <f>H2010*I2010</f>
        <v>27.4</v>
      </c>
      <c r="K2010" s="597">
        <v>3.87</v>
      </c>
      <c r="L2010" s="598">
        <f>K2010*J2010</f>
        <v>106.038</v>
      </c>
      <c r="M2010" s="97" t="s">
        <v>224</v>
      </c>
      <c r="N2010" s="1818">
        <v>45945</v>
      </c>
      <c r="O2010" s="32">
        <v>7531</v>
      </c>
      <c r="P2010" s="83">
        <v>315</v>
      </c>
      <c r="Q2010" s="83">
        <f>P2010*J2010</f>
        <v>8631</v>
      </c>
      <c r="S2010" s="7">
        <f t="shared" si="499"/>
        <v>315</v>
      </c>
      <c r="T2010" s="1318">
        <f t="shared" si="500"/>
        <v>8631</v>
      </c>
      <c r="U2010" s="83">
        <v>140</v>
      </c>
      <c r="V2010" s="1560">
        <f>(((K2010*U2010)-P2010)/(K2010*U2010))</f>
        <v>0.41860465116279078</v>
      </c>
    </row>
    <row r="2011" spans="1:23" ht="18.600000000000001" customHeight="1">
      <c r="C2011" s="6" t="s">
        <v>5055</v>
      </c>
      <c r="D2011" s="13" t="s">
        <v>2277</v>
      </c>
      <c r="E2011" s="21"/>
      <c r="F2011" s="38"/>
      <c r="G2011" s="38" t="s">
        <v>218</v>
      </c>
      <c r="H2011" s="39"/>
      <c r="I2011" s="94"/>
      <c r="J2011" s="39">
        <v>1</v>
      </c>
      <c r="K2011" s="611">
        <v>12</v>
      </c>
      <c r="L2011" s="598">
        <f>K2011*J2011</f>
        <v>12</v>
      </c>
      <c r="M2011" s="898"/>
      <c r="N2011" s="33">
        <v>45945</v>
      </c>
      <c r="O2011" s="32">
        <v>7531</v>
      </c>
      <c r="P2011" s="1817">
        <v>1000</v>
      </c>
      <c r="Q2011" s="1817">
        <f>P2011*J2011</f>
        <v>1000</v>
      </c>
      <c r="S2011" s="7">
        <f t="shared" si="499"/>
        <v>1000</v>
      </c>
      <c r="T2011" s="1318">
        <f t="shared" si="500"/>
        <v>1000</v>
      </c>
      <c r="U2011" s="83">
        <v>140</v>
      </c>
      <c r="V2011" s="1560">
        <f>(((K2011*U2011)-P2011)/(K2011*U2011))</f>
        <v>0.40476190476190477</v>
      </c>
    </row>
    <row r="2012" spans="1:23" s="159" customFormat="1" ht="18.600000000000001" customHeight="1">
      <c r="C2012" s="149" t="s">
        <v>5055</v>
      </c>
      <c r="D2012" s="150" t="s">
        <v>2277</v>
      </c>
      <c r="E2012" s="191"/>
      <c r="F2012" s="152"/>
      <c r="G2012" s="152" t="s">
        <v>168</v>
      </c>
      <c r="H2012" s="154" t="s">
        <v>169</v>
      </c>
      <c r="I2012" s="155"/>
      <c r="J2012" s="153"/>
      <c r="K2012" s="600">
        <v>0</v>
      </c>
      <c r="L2012" s="601"/>
      <c r="M2012" s="601"/>
      <c r="N2012" s="157">
        <v>45945</v>
      </c>
      <c r="O2012" s="156">
        <v>7531</v>
      </c>
      <c r="P2012" s="164">
        <v>0</v>
      </c>
      <c r="Q2012" s="165">
        <v>0</v>
      </c>
      <c r="S2012" s="7">
        <f t="shared" si="499"/>
        <v>0</v>
      </c>
      <c r="T2012" s="1318">
        <f t="shared" si="500"/>
        <v>0</v>
      </c>
      <c r="U2012" s="83">
        <v>140</v>
      </c>
      <c r="V2012" s="1560" t="e">
        <f>(((K2012*U2012)-P2012)/(K2012*U2012))</f>
        <v>#DIV/0!</v>
      </c>
    </row>
    <row r="2013" spans="1:23" s="7" customFormat="1" ht="15">
      <c r="A2013" s="1"/>
      <c r="B2013" s="11"/>
      <c r="C2013" s="6" t="s">
        <v>5058</v>
      </c>
      <c r="D2013" s="13" t="s">
        <v>5057</v>
      </c>
      <c r="E2013" s="18" t="s">
        <v>264</v>
      </c>
      <c r="F2013" s="23"/>
      <c r="G2013" s="21"/>
      <c r="H2013" s="55"/>
      <c r="I2013" s="56"/>
      <c r="J2013" s="55"/>
      <c r="K2013" s="9" t="s">
        <v>7</v>
      </c>
      <c r="L2013" s="33"/>
      <c r="M2013" s="33"/>
      <c r="N2013" s="1818">
        <v>45987</v>
      </c>
      <c r="O2013" s="1946" t="s">
        <v>5155</v>
      </c>
      <c r="P2013" s="6" t="s">
        <v>3</v>
      </c>
      <c r="Q2013" s="1794"/>
      <c r="S2013" s="1795"/>
      <c r="T2013" s="83"/>
      <c r="U2013" s="1796"/>
      <c r="V2013" s="1452">
        <v>120</v>
      </c>
      <c r="W2013" s="1560" t="e">
        <f t="shared" ref="W2013" si="502">(((K2013*V2013)-S2013)/(K2013*V2013))</f>
        <v>#VALUE!</v>
      </c>
    </row>
    <row r="2014" spans="1:23" s="7" customFormat="1" ht="18" customHeight="1">
      <c r="C2014" s="6" t="s">
        <v>5058</v>
      </c>
      <c r="D2014" s="13" t="s">
        <v>5057</v>
      </c>
      <c r="E2014" s="21">
        <v>11700</v>
      </c>
      <c r="F2014" s="596">
        <v>48</v>
      </c>
      <c r="G2014" s="21" t="s">
        <v>5059</v>
      </c>
      <c r="H2014" s="93">
        <v>10</v>
      </c>
      <c r="I2014" s="94">
        <v>1</v>
      </c>
      <c r="J2014" s="55">
        <f t="shared" ref="J2014" si="503">H2014*I2014</f>
        <v>10</v>
      </c>
      <c r="K2014" s="611">
        <v>65.66</v>
      </c>
      <c r="L2014" s="598">
        <f t="shared" ref="L2014:L2043" si="504">I2014*K2014</f>
        <v>65.66</v>
      </c>
      <c r="M2014" s="97" t="s">
        <v>224</v>
      </c>
      <c r="N2014" s="1818">
        <v>45987</v>
      </c>
      <c r="O2014" s="1946" t="s">
        <v>5155</v>
      </c>
      <c r="P2014" s="83">
        <v>4136</v>
      </c>
      <c r="Q2014" s="83">
        <f t="shared" ref="Q2014:Q2043" si="505">P2014*I2014</f>
        <v>4136</v>
      </c>
      <c r="S2014" s="7">
        <f t="shared" ref="S2014" si="506">P2014</f>
        <v>4136</v>
      </c>
      <c r="T2014" s="1318">
        <f t="shared" ref="T2014" si="507">Q2014</f>
        <v>4136</v>
      </c>
      <c r="U2014" s="83">
        <v>140</v>
      </c>
      <c r="V2014" s="1560">
        <f t="shared" ref="V2014:V2043" si="508">(((K2014*U2014)-P2014)/(K2014*U2014))</f>
        <v>0.55006309560071365</v>
      </c>
    </row>
    <row r="2015" spans="1:23" s="7" customFormat="1" ht="18" customHeight="1">
      <c r="C2015" s="6" t="s">
        <v>5058</v>
      </c>
      <c r="D2015" s="13" t="s">
        <v>5057</v>
      </c>
      <c r="E2015" s="1819">
        <v>11700</v>
      </c>
      <c r="F2015" s="596">
        <v>48</v>
      </c>
      <c r="G2015" s="21" t="s">
        <v>5060</v>
      </c>
      <c r="H2015" s="93">
        <v>10</v>
      </c>
      <c r="I2015" s="94">
        <v>2</v>
      </c>
      <c r="J2015" s="55">
        <f t="shared" ref="J2015:J2024" si="509">H2015*I2015</f>
        <v>20</v>
      </c>
      <c r="K2015" s="611">
        <v>65.66</v>
      </c>
      <c r="L2015" s="598">
        <f t="shared" si="504"/>
        <v>131.32</v>
      </c>
      <c r="M2015" s="97" t="s">
        <v>224</v>
      </c>
      <c r="N2015" s="1818">
        <v>45957</v>
      </c>
      <c r="O2015" s="1916">
        <v>7542</v>
      </c>
      <c r="P2015" s="83">
        <v>4136</v>
      </c>
      <c r="Q2015" s="83">
        <f t="shared" si="505"/>
        <v>8272</v>
      </c>
      <c r="S2015" s="7">
        <f t="shared" ref="S2015:S2024" si="510">P2015</f>
        <v>4136</v>
      </c>
      <c r="T2015" s="1318">
        <f t="shared" ref="T2015:T2024" si="511">Q2015</f>
        <v>8272</v>
      </c>
      <c r="U2015" s="83">
        <v>140</v>
      </c>
      <c r="V2015" s="1560">
        <f t="shared" si="508"/>
        <v>0.55006309560071365</v>
      </c>
    </row>
    <row r="2016" spans="1:23" s="7" customFormat="1" ht="18" customHeight="1">
      <c r="C2016" s="6" t="s">
        <v>5058</v>
      </c>
      <c r="D2016" s="13" t="s">
        <v>5057</v>
      </c>
      <c r="E2016" s="1819">
        <v>11700</v>
      </c>
      <c r="F2016" s="596">
        <v>48</v>
      </c>
      <c r="G2016" s="21" t="s">
        <v>5061</v>
      </c>
      <c r="H2016" s="93">
        <v>10</v>
      </c>
      <c r="I2016" s="94">
        <v>1</v>
      </c>
      <c r="J2016" s="55">
        <f t="shared" si="509"/>
        <v>10</v>
      </c>
      <c r="K2016" s="611">
        <v>65.66</v>
      </c>
      <c r="L2016" s="598">
        <f t="shared" si="504"/>
        <v>65.66</v>
      </c>
      <c r="M2016" s="97" t="s">
        <v>224</v>
      </c>
      <c r="N2016" s="1818">
        <v>45957</v>
      </c>
      <c r="O2016" s="1916">
        <v>7542</v>
      </c>
      <c r="P2016" s="83">
        <v>4136</v>
      </c>
      <c r="Q2016" s="83">
        <f t="shared" si="505"/>
        <v>4136</v>
      </c>
      <c r="S2016" s="7">
        <f t="shared" si="510"/>
        <v>4136</v>
      </c>
      <c r="T2016" s="1318">
        <f t="shared" si="511"/>
        <v>4136</v>
      </c>
      <c r="U2016" s="83">
        <v>140</v>
      </c>
      <c r="V2016" s="1560">
        <f t="shared" si="508"/>
        <v>0.55006309560071365</v>
      </c>
    </row>
    <row r="2017" spans="3:22" s="7" customFormat="1" ht="18" customHeight="1">
      <c r="C2017" s="6" t="s">
        <v>5058</v>
      </c>
      <c r="D2017" s="13" t="s">
        <v>5057</v>
      </c>
      <c r="E2017" s="1819">
        <v>11700</v>
      </c>
      <c r="F2017" s="596">
        <v>48</v>
      </c>
      <c r="G2017" s="21" t="s">
        <v>5062</v>
      </c>
      <c r="H2017" s="93">
        <v>10</v>
      </c>
      <c r="I2017" s="94">
        <v>2</v>
      </c>
      <c r="J2017" s="55">
        <f t="shared" si="509"/>
        <v>20</v>
      </c>
      <c r="K2017" s="611">
        <v>65.66</v>
      </c>
      <c r="L2017" s="598">
        <f t="shared" si="504"/>
        <v>131.32</v>
      </c>
      <c r="M2017" s="97" t="s">
        <v>224</v>
      </c>
      <c r="N2017" s="1818">
        <v>45957</v>
      </c>
      <c r="O2017" s="1916">
        <v>7542</v>
      </c>
      <c r="P2017" s="83">
        <v>4136</v>
      </c>
      <c r="Q2017" s="83">
        <f t="shared" si="505"/>
        <v>8272</v>
      </c>
      <c r="S2017" s="7">
        <f t="shared" si="510"/>
        <v>4136</v>
      </c>
      <c r="T2017" s="1318">
        <f t="shared" si="511"/>
        <v>8272</v>
      </c>
      <c r="U2017" s="83">
        <v>140</v>
      </c>
      <c r="V2017" s="1560">
        <f t="shared" si="508"/>
        <v>0.55006309560071365</v>
      </c>
    </row>
    <row r="2018" spans="3:22" s="7" customFormat="1" ht="18" customHeight="1">
      <c r="C2018" s="6" t="s">
        <v>5058</v>
      </c>
      <c r="D2018" s="13" t="s">
        <v>5057</v>
      </c>
      <c r="E2018" s="1819">
        <v>11700</v>
      </c>
      <c r="F2018" s="596">
        <v>48</v>
      </c>
      <c r="G2018" s="21" t="s">
        <v>5063</v>
      </c>
      <c r="H2018" s="93">
        <v>10</v>
      </c>
      <c r="I2018" s="94">
        <v>2</v>
      </c>
      <c r="J2018" s="55">
        <f t="shared" si="509"/>
        <v>20</v>
      </c>
      <c r="K2018" s="611">
        <v>65.66</v>
      </c>
      <c r="L2018" s="598">
        <f t="shared" si="504"/>
        <v>131.32</v>
      </c>
      <c r="M2018" s="97" t="s">
        <v>224</v>
      </c>
      <c r="N2018" s="1818">
        <v>45957</v>
      </c>
      <c r="O2018" s="1916">
        <v>7542</v>
      </c>
      <c r="P2018" s="83">
        <v>4136</v>
      </c>
      <c r="Q2018" s="83">
        <f t="shared" si="505"/>
        <v>8272</v>
      </c>
      <c r="S2018" s="7">
        <f t="shared" si="510"/>
        <v>4136</v>
      </c>
      <c r="T2018" s="1318">
        <f t="shared" si="511"/>
        <v>8272</v>
      </c>
      <c r="U2018" s="83">
        <v>140</v>
      </c>
      <c r="V2018" s="1560">
        <f t="shared" si="508"/>
        <v>0.55006309560071365</v>
      </c>
    </row>
    <row r="2019" spans="3:22" s="7" customFormat="1" ht="18" customHeight="1">
      <c r="C2019" s="6" t="s">
        <v>5058</v>
      </c>
      <c r="D2019" s="13" t="s">
        <v>5057</v>
      </c>
      <c r="E2019" s="1819">
        <v>11700</v>
      </c>
      <c r="F2019" s="596">
        <v>48</v>
      </c>
      <c r="G2019" s="21" t="s">
        <v>5064</v>
      </c>
      <c r="H2019" s="93">
        <v>10</v>
      </c>
      <c r="I2019" s="94">
        <v>2</v>
      </c>
      <c r="J2019" s="55">
        <f t="shared" si="509"/>
        <v>20</v>
      </c>
      <c r="K2019" s="611">
        <v>65.66</v>
      </c>
      <c r="L2019" s="598">
        <f t="shared" si="504"/>
        <v>131.32</v>
      </c>
      <c r="M2019" s="97" t="s">
        <v>224</v>
      </c>
      <c r="N2019" s="1818">
        <v>45957</v>
      </c>
      <c r="O2019" s="1916">
        <v>7542</v>
      </c>
      <c r="P2019" s="83">
        <v>4136</v>
      </c>
      <c r="Q2019" s="83">
        <f t="shared" si="505"/>
        <v>8272</v>
      </c>
      <c r="S2019" s="7">
        <f t="shared" si="510"/>
        <v>4136</v>
      </c>
      <c r="T2019" s="1318">
        <f t="shared" si="511"/>
        <v>8272</v>
      </c>
      <c r="U2019" s="83">
        <v>140</v>
      </c>
      <c r="V2019" s="1560">
        <f t="shared" si="508"/>
        <v>0.55006309560071365</v>
      </c>
    </row>
    <row r="2020" spans="3:22" s="7" customFormat="1" ht="18" customHeight="1">
      <c r="C2020" s="6" t="s">
        <v>5058</v>
      </c>
      <c r="D2020" s="13" t="s">
        <v>5057</v>
      </c>
      <c r="E2020" s="1819">
        <v>11700</v>
      </c>
      <c r="F2020" s="596">
        <v>48</v>
      </c>
      <c r="G2020" s="21" t="s">
        <v>5065</v>
      </c>
      <c r="H2020" s="93">
        <v>10</v>
      </c>
      <c r="I2020" s="94">
        <v>1</v>
      </c>
      <c r="J2020" s="55">
        <f t="shared" si="509"/>
        <v>10</v>
      </c>
      <c r="K2020" s="611">
        <v>65.66</v>
      </c>
      <c r="L2020" s="598">
        <f t="shared" si="504"/>
        <v>65.66</v>
      </c>
      <c r="M2020" s="97" t="s">
        <v>224</v>
      </c>
      <c r="N2020" s="1818">
        <v>45957</v>
      </c>
      <c r="O2020" s="1916">
        <v>7542</v>
      </c>
      <c r="P2020" s="83">
        <v>4136</v>
      </c>
      <c r="Q2020" s="83">
        <f t="shared" si="505"/>
        <v>4136</v>
      </c>
      <c r="S2020" s="7">
        <f t="shared" si="510"/>
        <v>4136</v>
      </c>
      <c r="T2020" s="1318">
        <f t="shared" si="511"/>
        <v>4136</v>
      </c>
      <c r="U2020" s="83">
        <v>140</v>
      </c>
      <c r="V2020" s="1560">
        <f t="shared" si="508"/>
        <v>0.55006309560071365</v>
      </c>
    </row>
    <row r="2021" spans="3:22" s="7" customFormat="1" ht="18" customHeight="1">
      <c r="C2021" s="6" t="s">
        <v>5058</v>
      </c>
      <c r="D2021" s="13" t="s">
        <v>5057</v>
      </c>
      <c r="E2021" s="1819">
        <v>11700</v>
      </c>
      <c r="F2021" s="596">
        <v>48</v>
      </c>
      <c r="G2021" s="21" t="s">
        <v>5066</v>
      </c>
      <c r="H2021" s="93">
        <v>10</v>
      </c>
      <c r="I2021" s="94">
        <v>1</v>
      </c>
      <c r="J2021" s="55">
        <f t="shared" si="509"/>
        <v>10</v>
      </c>
      <c r="K2021" s="611">
        <v>65.66</v>
      </c>
      <c r="L2021" s="598">
        <f t="shared" si="504"/>
        <v>65.66</v>
      </c>
      <c r="M2021" s="97" t="s">
        <v>224</v>
      </c>
      <c r="N2021" s="1818">
        <v>45957</v>
      </c>
      <c r="O2021" s="1916">
        <v>7542</v>
      </c>
      <c r="P2021" s="83">
        <v>4136</v>
      </c>
      <c r="Q2021" s="83">
        <f t="shared" si="505"/>
        <v>4136</v>
      </c>
      <c r="S2021" s="7">
        <f t="shared" si="510"/>
        <v>4136</v>
      </c>
      <c r="T2021" s="1318">
        <f t="shared" si="511"/>
        <v>4136</v>
      </c>
      <c r="U2021" s="83">
        <v>140</v>
      </c>
      <c r="V2021" s="1560">
        <f t="shared" si="508"/>
        <v>0.55006309560071365</v>
      </c>
    </row>
    <row r="2022" spans="3:22" s="7" customFormat="1" ht="18" customHeight="1">
      <c r="C2022" s="6" t="s">
        <v>5058</v>
      </c>
      <c r="D2022" s="13" t="s">
        <v>5057</v>
      </c>
      <c r="E2022" s="1819">
        <v>11700</v>
      </c>
      <c r="F2022" s="596">
        <v>48</v>
      </c>
      <c r="G2022" s="21" t="s">
        <v>5067</v>
      </c>
      <c r="H2022" s="93">
        <v>10</v>
      </c>
      <c r="I2022" s="94">
        <v>6</v>
      </c>
      <c r="J2022" s="55">
        <f t="shared" si="509"/>
        <v>60</v>
      </c>
      <c r="K2022" s="611">
        <v>65.66</v>
      </c>
      <c r="L2022" s="598">
        <f t="shared" si="504"/>
        <v>393.96</v>
      </c>
      <c r="M2022" s="97" t="s">
        <v>224</v>
      </c>
      <c r="N2022" s="1818">
        <v>45957</v>
      </c>
      <c r="O2022" s="1916">
        <v>7542</v>
      </c>
      <c r="P2022" s="83">
        <v>4136</v>
      </c>
      <c r="Q2022" s="83">
        <f t="shared" si="505"/>
        <v>24816</v>
      </c>
      <c r="S2022" s="7">
        <f t="shared" si="510"/>
        <v>4136</v>
      </c>
      <c r="T2022" s="1318">
        <f t="shared" si="511"/>
        <v>24816</v>
      </c>
      <c r="U2022" s="83">
        <v>140</v>
      </c>
      <c r="V2022" s="1560">
        <f t="shared" si="508"/>
        <v>0.55006309560071365</v>
      </c>
    </row>
    <row r="2023" spans="3:22" s="7" customFormat="1" ht="18" customHeight="1">
      <c r="C2023" s="6" t="s">
        <v>5058</v>
      </c>
      <c r="D2023" s="13" t="s">
        <v>5057</v>
      </c>
      <c r="E2023" s="1819">
        <v>11700</v>
      </c>
      <c r="F2023" s="596">
        <v>48</v>
      </c>
      <c r="G2023" s="21" t="s">
        <v>5068</v>
      </c>
      <c r="H2023" s="93">
        <v>10</v>
      </c>
      <c r="I2023" s="94">
        <v>4</v>
      </c>
      <c r="J2023" s="55">
        <f t="shared" si="509"/>
        <v>40</v>
      </c>
      <c r="K2023" s="611">
        <v>65.66</v>
      </c>
      <c r="L2023" s="598">
        <f t="shared" si="504"/>
        <v>262.64</v>
      </c>
      <c r="M2023" s="97" t="s">
        <v>224</v>
      </c>
      <c r="N2023" s="1818">
        <v>45957</v>
      </c>
      <c r="O2023" s="1916">
        <v>7542</v>
      </c>
      <c r="P2023" s="83">
        <v>4136</v>
      </c>
      <c r="Q2023" s="83">
        <f t="shared" si="505"/>
        <v>16544</v>
      </c>
      <c r="S2023" s="7">
        <f t="shared" si="510"/>
        <v>4136</v>
      </c>
      <c r="T2023" s="1318">
        <f t="shared" si="511"/>
        <v>16544</v>
      </c>
      <c r="U2023" s="83">
        <v>140</v>
      </c>
      <c r="V2023" s="1560">
        <f t="shared" si="508"/>
        <v>0.55006309560071365</v>
      </c>
    </row>
    <row r="2024" spans="3:22" s="7" customFormat="1" ht="18" customHeight="1">
      <c r="C2024" s="6" t="s">
        <v>5058</v>
      </c>
      <c r="D2024" s="13" t="s">
        <v>5057</v>
      </c>
      <c r="E2024" s="1819">
        <v>11700</v>
      </c>
      <c r="F2024" s="596">
        <v>48</v>
      </c>
      <c r="G2024" s="21" t="s">
        <v>5069</v>
      </c>
      <c r="H2024" s="93">
        <v>10</v>
      </c>
      <c r="I2024" s="94">
        <v>1</v>
      </c>
      <c r="J2024" s="55">
        <f t="shared" si="509"/>
        <v>10</v>
      </c>
      <c r="K2024" s="611">
        <v>65.66</v>
      </c>
      <c r="L2024" s="598">
        <f t="shared" si="504"/>
        <v>65.66</v>
      </c>
      <c r="M2024" s="97" t="s">
        <v>224</v>
      </c>
      <c r="N2024" s="1818">
        <v>45957</v>
      </c>
      <c r="O2024" s="1916">
        <v>7542</v>
      </c>
      <c r="P2024" s="83">
        <v>4136</v>
      </c>
      <c r="Q2024" s="83">
        <f t="shared" si="505"/>
        <v>4136</v>
      </c>
      <c r="S2024" s="7">
        <f t="shared" si="510"/>
        <v>4136</v>
      </c>
      <c r="T2024" s="1318">
        <f t="shared" si="511"/>
        <v>4136</v>
      </c>
      <c r="U2024" s="83">
        <v>140</v>
      </c>
      <c r="V2024" s="1560">
        <f t="shared" si="508"/>
        <v>0.55006309560071365</v>
      </c>
    </row>
    <row r="2025" spans="3:22" s="7" customFormat="1" ht="18" customHeight="1">
      <c r="C2025" s="6" t="s">
        <v>5058</v>
      </c>
      <c r="D2025" s="13" t="s">
        <v>5057</v>
      </c>
      <c r="E2025" s="1819">
        <v>11700</v>
      </c>
      <c r="F2025" s="596">
        <v>48</v>
      </c>
      <c r="G2025" s="21" t="s">
        <v>5070</v>
      </c>
      <c r="H2025" s="93">
        <v>10</v>
      </c>
      <c r="I2025" s="94">
        <v>1</v>
      </c>
      <c r="J2025" s="55">
        <f t="shared" ref="J2025:J2028" si="512">H2025*I2025</f>
        <v>10</v>
      </c>
      <c r="K2025" s="611">
        <v>65.66</v>
      </c>
      <c r="L2025" s="598">
        <f t="shared" si="504"/>
        <v>65.66</v>
      </c>
      <c r="M2025" s="97" t="s">
        <v>224</v>
      </c>
      <c r="N2025" s="1818">
        <v>45957</v>
      </c>
      <c r="O2025" s="1916">
        <v>7542</v>
      </c>
      <c r="P2025" s="83">
        <v>4136</v>
      </c>
      <c r="Q2025" s="83">
        <f t="shared" si="505"/>
        <v>4136</v>
      </c>
      <c r="S2025" s="7">
        <f t="shared" ref="S2025:S2028" si="513">P2025</f>
        <v>4136</v>
      </c>
      <c r="T2025" s="1318">
        <f t="shared" ref="T2025:T2028" si="514">Q2025</f>
        <v>4136</v>
      </c>
      <c r="U2025" s="83">
        <v>140</v>
      </c>
      <c r="V2025" s="1560">
        <f t="shared" si="508"/>
        <v>0.55006309560071365</v>
      </c>
    </row>
    <row r="2026" spans="3:22" s="7" customFormat="1" ht="18" customHeight="1">
      <c r="C2026" s="6" t="s">
        <v>5058</v>
      </c>
      <c r="D2026" s="13" t="s">
        <v>5057</v>
      </c>
      <c r="E2026" s="1819">
        <v>11700</v>
      </c>
      <c r="F2026" s="596">
        <v>48</v>
      </c>
      <c r="G2026" s="21" t="s">
        <v>5071</v>
      </c>
      <c r="H2026" s="93">
        <v>10</v>
      </c>
      <c r="I2026" s="94">
        <v>3</v>
      </c>
      <c r="J2026" s="55">
        <f t="shared" si="512"/>
        <v>30</v>
      </c>
      <c r="K2026" s="611">
        <v>65.66</v>
      </c>
      <c r="L2026" s="598">
        <f t="shared" si="504"/>
        <v>196.98</v>
      </c>
      <c r="M2026" s="97" t="s">
        <v>224</v>
      </c>
      <c r="N2026" s="1818">
        <v>45957</v>
      </c>
      <c r="O2026" s="1916">
        <v>7542</v>
      </c>
      <c r="P2026" s="83">
        <v>4136</v>
      </c>
      <c r="Q2026" s="83">
        <f t="shared" si="505"/>
        <v>12408</v>
      </c>
      <c r="S2026" s="7">
        <f t="shared" si="513"/>
        <v>4136</v>
      </c>
      <c r="T2026" s="1318">
        <f t="shared" si="514"/>
        <v>12408</v>
      </c>
      <c r="U2026" s="83">
        <v>140</v>
      </c>
      <c r="V2026" s="1560">
        <f t="shared" si="508"/>
        <v>0.55006309560071365</v>
      </c>
    </row>
    <row r="2027" spans="3:22" s="7" customFormat="1" ht="18" customHeight="1">
      <c r="C2027" s="6" t="s">
        <v>5058</v>
      </c>
      <c r="D2027" s="13" t="s">
        <v>5057</v>
      </c>
      <c r="E2027" s="1819">
        <v>11700</v>
      </c>
      <c r="F2027" s="596">
        <v>48</v>
      </c>
      <c r="G2027" s="21" t="s">
        <v>5072</v>
      </c>
      <c r="H2027" s="93">
        <v>10</v>
      </c>
      <c r="I2027" s="94">
        <v>1</v>
      </c>
      <c r="J2027" s="55">
        <f t="shared" si="512"/>
        <v>10</v>
      </c>
      <c r="K2027" s="611">
        <v>65.66</v>
      </c>
      <c r="L2027" s="598">
        <f t="shared" si="504"/>
        <v>65.66</v>
      </c>
      <c r="M2027" s="97" t="s">
        <v>224</v>
      </c>
      <c r="N2027" s="1818">
        <v>45957</v>
      </c>
      <c r="O2027" s="1916">
        <v>7542</v>
      </c>
      <c r="P2027" s="83">
        <v>4136</v>
      </c>
      <c r="Q2027" s="83">
        <f t="shared" si="505"/>
        <v>4136</v>
      </c>
      <c r="S2027" s="7">
        <f t="shared" si="513"/>
        <v>4136</v>
      </c>
      <c r="T2027" s="1318">
        <f t="shared" si="514"/>
        <v>4136</v>
      </c>
      <c r="U2027" s="83">
        <v>140</v>
      </c>
      <c r="V2027" s="1560">
        <f t="shared" si="508"/>
        <v>0.55006309560071365</v>
      </c>
    </row>
    <row r="2028" spans="3:22" s="7" customFormat="1" ht="18" customHeight="1">
      <c r="C2028" s="6" t="s">
        <v>5058</v>
      </c>
      <c r="D2028" s="13" t="s">
        <v>5057</v>
      </c>
      <c r="E2028" s="1819">
        <v>11700</v>
      </c>
      <c r="F2028" s="596">
        <v>48</v>
      </c>
      <c r="G2028" s="21" t="s">
        <v>5073</v>
      </c>
      <c r="H2028" s="93">
        <v>10</v>
      </c>
      <c r="I2028" s="94">
        <v>1</v>
      </c>
      <c r="J2028" s="55">
        <f t="shared" si="512"/>
        <v>10</v>
      </c>
      <c r="K2028" s="611">
        <v>65.66</v>
      </c>
      <c r="L2028" s="598">
        <f t="shared" si="504"/>
        <v>65.66</v>
      </c>
      <c r="M2028" s="97" t="s">
        <v>224</v>
      </c>
      <c r="N2028" s="1818">
        <v>45957</v>
      </c>
      <c r="O2028" s="1916">
        <v>7542</v>
      </c>
      <c r="P2028" s="83">
        <v>4136</v>
      </c>
      <c r="Q2028" s="83">
        <f t="shared" si="505"/>
        <v>4136</v>
      </c>
      <c r="S2028" s="7">
        <f t="shared" si="513"/>
        <v>4136</v>
      </c>
      <c r="T2028" s="1318">
        <f t="shared" si="514"/>
        <v>4136</v>
      </c>
      <c r="U2028" s="83">
        <v>140</v>
      </c>
      <c r="V2028" s="1560">
        <f t="shared" si="508"/>
        <v>0.55006309560071365</v>
      </c>
    </row>
    <row r="2029" spans="3:22" s="7" customFormat="1" ht="18" customHeight="1">
      <c r="C2029" s="6" t="s">
        <v>5058</v>
      </c>
      <c r="D2029" s="13" t="s">
        <v>5057</v>
      </c>
      <c r="E2029" s="21">
        <v>11700</v>
      </c>
      <c r="F2029" s="596">
        <v>18</v>
      </c>
      <c r="G2029" s="21" t="s">
        <v>5074</v>
      </c>
      <c r="H2029" s="93">
        <v>10</v>
      </c>
      <c r="I2029" s="94">
        <v>1</v>
      </c>
      <c r="J2029" s="55">
        <f t="shared" ref="J2029" si="515">H2029*I2029</f>
        <v>10</v>
      </c>
      <c r="K2029" s="611">
        <v>21.59</v>
      </c>
      <c r="L2029" s="598">
        <f t="shared" si="504"/>
        <v>21.59</v>
      </c>
      <c r="M2029" s="97" t="s">
        <v>224</v>
      </c>
      <c r="N2029" s="1818">
        <v>45987</v>
      </c>
      <c r="O2029" s="1946" t="s">
        <v>5155</v>
      </c>
      <c r="P2029" s="83">
        <v>1360</v>
      </c>
      <c r="Q2029" s="83">
        <f t="shared" si="505"/>
        <v>1360</v>
      </c>
      <c r="S2029" s="7">
        <f t="shared" ref="S2029" si="516">P2029</f>
        <v>1360</v>
      </c>
      <c r="T2029" s="1318">
        <f t="shared" ref="T2029" si="517">Q2029</f>
        <v>1360</v>
      </c>
      <c r="U2029" s="83">
        <v>140</v>
      </c>
      <c r="V2029" s="1560">
        <f t="shared" si="508"/>
        <v>0.55005624296962874</v>
      </c>
    </row>
    <row r="2030" spans="3:22" s="7" customFormat="1" ht="18" customHeight="1">
      <c r="C2030" s="6" t="s">
        <v>5058</v>
      </c>
      <c r="D2030" s="13" t="s">
        <v>5057</v>
      </c>
      <c r="E2030" s="1819">
        <v>11700</v>
      </c>
      <c r="F2030" s="596">
        <v>18</v>
      </c>
      <c r="G2030" s="21" t="s">
        <v>5060</v>
      </c>
      <c r="H2030" s="93">
        <v>10</v>
      </c>
      <c r="I2030" s="94">
        <v>2</v>
      </c>
      <c r="J2030" s="55">
        <f t="shared" ref="J2030:J2038" si="518">H2030*I2030</f>
        <v>20</v>
      </c>
      <c r="K2030" s="611">
        <v>21.59</v>
      </c>
      <c r="L2030" s="598">
        <f t="shared" si="504"/>
        <v>43.18</v>
      </c>
      <c r="M2030" s="97" t="s">
        <v>224</v>
      </c>
      <c r="N2030" s="1818">
        <v>45957</v>
      </c>
      <c r="O2030" s="1916">
        <v>7542</v>
      </c>
      <c r="P2030" s="83">
        <v>1360</v>
      </c>
      <c r="Q2030" s="83">
        <f t="shared" si="505"/>
        <v>2720</v>
      </c>
      <c r="S2030" s="7">
        <f t="shared" ref="S2030:S2038" si="519">P2030</f>
        <v>1360</v>
      </c>
      <c r="T2030" s="1318">
        <f t="shared" ref="T2030:T2038" si="520">Q2030</f>
        <v>2720</v>
      </c>
      <c r="U2030" s="83">
        <v>140</v>
      </c>
      <c r="V2030" s="1560">
        <f t="shared" si="508"/>
        <v>0.55005624296962874</v>
      </c>
    </row>
    <row r="2031" spans="3:22" s="7" customFormat="1" ht="18" customHeight="1">
      <c r="C2031" s="6" t="s">
        <v>5058</v>
      </c>
      <c r="D2031" s="13" t="s">
        <v>5057</v>
      </c>
      <c r="E2031" s="1819">
        <v>11700</v>
      </c>
      <c r="F2031" s="596">
        <v>18</v>
      </c>
      <c r="G2031" s="21" t="s">
        <v>5061</v>
      </c>
      <c r="H2031" s="93">
        <v>10</v>
      </c>
      <c r="I2031" s="94">
        <v>1</v>
      </c>
      <c r="J2031" s="55">
        <f t="shared" si="518"/>
        <v>10</v>
      </c>
      <c r="K2031" s="611">
        <v>21.59</v>
      </c>
      <c r="L2031" s="598">
        <f t="shared" si="504"/>
        <v>21.59</v>
      </c>
      <c r="M2031" s="97" t="s">
        <v>224</v>
      </c>
      <c r="N2031" s="1818">
        <v>45957</v>
      </c>
      <c r="O2031" s="1916">
        <v>7542</v>
      </c>
      <c r="P2031" s="83">
        <v>1360</v>
      </c>
      <c r="Q2031" s="83">
        <f t="shared" si="505"/>
        <v>1360</v>
      </c>
      <c r="S2031" s="7">
        <f t="shared" si="519"/>
        <v>1360</v>
      </c>
      <c r="T2031" s="1318">
        <f t="shared" si="520"/>
        <v>1360</v>
      </c>
      <c r="U2031" s="83">
        <v>140</v>
      </c>
      <c r="V2031" s="1560">
        <f t="shared" si="508"/>
        <v>0.55005624296962874</v>
      </c>
    </row>
    <row r="2032" spans="3:22" s="7" customFormat="1" ht="18" customHeight="1">
      <c r="C2032" s="6" t="s">
        <v>5058</v>
      </c>
      <c r="D2032" s="13" t="s">
        <v>5057</v>
      </c>
      <c r="E2032" s="1819">
        <v>11700</v>
      </c>
      <c r="F2032" s="596">
        <v>18</v>
      </c>
      <c r="G2032" s="21" t="s">
        <v>5062</v>
      </c>
      <c r="H2032" s="93">
        <v>10</v>
      </c>
      <c r="I2032" s="94">
        <v>2</v>
      </c>
      <c r="J2032" s="55">
        <f t="shared" si="518"/>
        <v>20</v>
      </c>
      <c r="K2032" s="611">
        <v>21.59</v>
      </c>
      <c r="L2032" s="598">
        <f t="shared" si="504"/>
        <v>43.18</v>
      </c>
      <c r="M2032" s="97" t="s">
        <v>224</v>
      </c>
      <c r="N2032" s="1818">
        <v>45957</v>
      </c>
      <c r="O2032" s="1916">
        <v>7542</v>
      </c>
      <c r="P2032" s="83">
        <v>1360</v>
      </c>
      <c r="Q2032" s="83">
        <f t="shared" si="505"/>
        <v>2720</v>
      </c>
      <c r="S2032" s="7">
        <f t="shared" si="519"/>
        <v>1360</v>
      </c>
      <c r="T2032" s="1318">
        <f t="shared" si="520"/>
        <v>2720</v>
      </c>
      <c r="U2032" s="83">
        <v>140</v>
      </c>
      <c r="V2032" s="1560">
        <f t="shared" si="508"/>
        <v>0.55005624296962874</v>
      </c>
    </row>
    <row r="2033" spans="1:26" s="7" customFormat="1" ht="18" customHeight="1">
      <c r="C2033" s="6" t="s">
        <v>5058</v>
      </c>
      <c r="D2033" s="13" t="s">
        <v>5057</v>
      </c>
      <c r="E2033" s="1819">
        <v>11700</v>
      </c>
      <c r="F2033" s="596">
        <v>18</v>
      </c>
      <c r="G2033" s="21" t="s">
        <v>5063</v>
      </c>
      <c r="H2033" s="93">
        <v>10</v>
      </c>
      <c r="I2033" s="94">
        <v>2</v>
      </c>
      <c r="J2033" s="55">
        <f t="shared" si="518"/>
        <v>20</v>
      </c>
      <c r="K2033" s="611">
        <v>21.59</v>
      </c>
      <c r="L2033" s="598">
        <f t="shared" si="504"/>
        <v>43.18</v>
      </c>
      <c r="M2033" s="97" t="s">
        <v>224</v>
      </c>
      <c r="N2033" s="1818">
        <v>45957</v>
      </c>
      <c r="O2033" s="1916">
        <v>7542</v>
      </c>
      <c r="P2033" s="83">
        <v>1360</v>
      </c>
      <c r="Q2033" s="83">
        <f t="shared" si="505"/>
        <v>2720</v>
      </c>
      <c r="S2033" s="7">
        <f t="shared" si="519"/>
        <v>1360</v>
      </c>
      <c r="T2033" s="1318">
        <f t="shared" si="520"/>
        <v>2720</v>
      </c>
      <c r="U2033" s="83">
        <v>140</v>
      </c>
      <c r="V2033" s="1560">
        <f t="shared" si="508"/>
        <v>0.55005624296962874</v>
      </c>
    </row>
    <row r="2034" spans="1:26" s="7" customFormat="1" ht="18" customHeight="1">
      <c r="C2034" s="6" t="s">
        <v>5058</v>
      </c>
      <c r="D2034" s="13" t="s">
        <v>5057</v>
      </c>
      <c r="E2034" s="1819">
        <v>11700</v>
      </c>
      <c r="F2034" s="596">
        <v>18</v>
      </c>
      <c r="G2034" s="21" t="s">
        <v>5064</v>
      </c>
      <c r="H2034" s="93">
        <v>10</v>
      </c>
      <c r="I2034" s="94">
        <v>2</v>
      </c>
      <c r="J2034" s="55">
        <f t="shared" si="518"/>
        <v>20</v>
      </c>
      <c r="K2034" s="611">
        <v>21.59</v>
      </c>
      <c r="L2034" s="598">
        <f t="shared" si="504"/>
        <v>43.18</v>
      </c>
      <c r="M2034" s="97" t="s">
        <v>224</v>
      </c>
      <c r="N2034" s="1818">
        <v>45957</v>
      </c>
      <c r="O2034" s="1916">
        <v>7542</v>
      </c>
      <c r="P2034" s="83">
        <v>1360</v>
      </c>
      <c r="Q2034" s="83">
        <f t="shared" si="505"/>
        <v>2720</v>
      </c>
      <c r="S2034" s="7">
        <f t="shared" si="519"/>
        <v>1360</v>
      </c>
      <c r="T2034" s="1318">
        <f t="shared" si="520"/>
        <v>2720</v>
      </c>
      <c r="U2034" s="83">
        <v>140</v>
      </c>
      <c r="V2034" s="1560">
        <f t="shared" si="508"/>
        <v>0.55005624296962874</v>
      </c>
    </row>
    <row r="2035" spans="1:26" s="7" customFormat="1" ht="18" customHeight="1">
      <c r="C2035" s="6" t="s">
        <v>5058</v>
      </c>
      <c r="D2035" s="13" t="s">
        <v>5057</v>
      </c>
      <c r="E2035" s="1819">
        <v>11700</v>
      </c>
      <c r="F2035" s="596">
        <v>18</v>
      </c>
      <c r="G2035" s="21" t="s">
        <v>5075</v>
      </c>
      <c r="H2035" s="93">
        <v>10</v>
      </c>
      <c r="I2035" s="94">
        <v>1</v>
      </c>
      <c r="J2035" s="55">
        <f t="shared" si="518"/>
        <v>10</v>
      </c>
      <c r="K2035" s="611">
        <v>21.59</v>
      </c>
      <c r="L2035" s="598">
        <f t="shared" si="504"/>
        <v>21.59</v>
      </c>
      <c r="M2035" s="97" t="s">
        <v>224</v>
      </c>
      <c r="N2035" s="1818">
        <v>45957</v>
      </c>
      <c r="O2035" s="1916">
        <v>7542</v>
      </c>
      <c r="P2035" s="83">
        <v>1360</v>
      </c>
      <c r="Q2035" s="83">
        <f t="shared" si="505"/>
        <v>1360</v>
      </c>
      <c r="S2035" s="7">
        <f t="shared" si="519"/>
        <v>1360</v>
      </c>
      <c r="T2035" s="1318">
        <f t="shared" si="520"/>
        <v>1360</v>
      </c>
      <c r="U2035" s="83">
        <v>140</v>
      </c>
      <c r="V2035" s="1560">
        <f t="shared" si="508"/>
        <v>0.55005624296962874</v>
      </c>
    </row>
    <row r="2036" spans="1:26" s="7" customFormat="1" ht="18" customHeight="1">
      <c r="C2036" s="6" t="s">
        <v>5058</v>
      </c>
      <c r="D2036" s="13" t="s">
        <v>5057</v>
      </c>
      <c r="E2036" s="1819">
        <v>11700</v>
      </c>
      <c r="F2036" s="596">
        <v>18</v>
      </c>
      <c r="G2036" s="21" t="s">
        <v>5078</v>
      </c>
      <c r="H2036" s="93">
        <v>10</v>
      </c>
      <c r="I2036" s="94">
        <v>1</v>
      </c>
      <c r="J2036" s="55">
        <f t="shared" si="518"/>
        <v>10</v>
      </c>
      <c r="K2036" s="611">
        <v>21.59</v>
      </c>
      <c r="L2036" s="598">
        <f t="shared" si="504"/>
        <v>21.59</v>
      </c>
      <c r="M2036" s="97" t="s">
        <v>224</v>
      </c>
      <c r="N2036" s="1818">
        <v>45957</v>
      </c>
      <c r="O2036" s="1916">
        <v>7542</v>
      </c>
      <c r="P2036" s="83">
        <v>1360</v>
      </c>
      <c r="Q2036" s="83">
        <f t="shared" si="505"/>
        <v>1360</v>
      </c>
      <c r="S2036" s="7">
        <f t="shared" si="519"/>
        <v>1360</v>
      </c>
      <c r="T2036" s="1318">
        <f t="shared" si="520"/>
        <v>1360</v>
      </c>
      <c r="U2036" s="83">
        <v>140</v>
      </c>
      <c r="V2036" s="1560">
        <f t="shared" si="508"/>
        <v>0.55005624296962874</v>
      </c>
    </row>
    <row r="2037" spans="1:26" s="7" customFormat="1" ht="18" customHeight="1">
      <c r="C2037" s="6" t="s">
        <v>5058</v>
      </c>
      <c r="D2037" s="13" t="s">
        <v>5057</v>
      </c>
      <c r="E2037" s="1819">
        <v>11700</v>
      </c>
      <c r="F2037" s="596">
        <v>18</v>
      </c>
      <c r="G2037" s="21" t="s">
        <v>5067</v>
      </c>
      <c r="H2037" s="93">
        <v>10</v>
      </c>
      <c r="I2037" s="94">
        <v>6</v>
      </c>
      <c r="J2037" s="55">
        <f t="shared" si="518"/>
        <v>60</v>
      </c>
      <c r="K2037" s="611">
        <v>21.59</v>
      </c>
      <c r="L2037" s="598">
        <f t="shared" si="504"/>
        <v>129.54</v>
      </c>
      <c r="M2037" s="97" t="s">
        <v>224</v>
      </c>
      <c r="N2037" s="1818">
        <v>45957</v>
      </c>
      <c r="O2037" s="1916">
        <v>7542</v>
      </c>
      <c r="P2037" s="83">
        <v>1360</v>
      </c>
      <c r="Q2037" s="83">
        <f t="shared" si="505"/>
        <v>8160</v>
      </c>
      <c r="S2037" s="7">
        <f t="shared" si="519"/>
        <v>1360</v>
      </c>
      <c r="T2037" s="1318">
        <f t="shared" si="520"/>
        <v>8160</v>
      </c>
      <c r="U2037" s="83">
        <v>140</v>
      </c>
      <c r="V2037" s="1560">
        <f t="shared" si="508"/>
        <v>0.55005624296962874</v>
      </c>
    </row>
    <row r="2038" spans="1:26" s="7" customFormat="1" ht="18" customHeight="1">
      <c r="C2038" s="6" t="s">
        <v>5058</v>
      </c>
      <c r="D2038" s="13" t="s">
        <v>5057</v>
      </c>
      <c r="E2038" s="1819">
        <v>11700</v>
      </c>
      <c r="F2038" s="596">
        <v>18</v>
      </c>
      <c r="G2038" s="21" t="s">
        <v>5076</v>
      </c>
      <c r="H2038" s="93">
        <v>10</v>
      </c>
      <c r="I2038" s="94">
        <v>4</v>
      </c>
      <c r="J2038" s="55">
        <f t="shared" si="518"/>
        <v>40</v>
      </c>
      <c r="K2038" s="611">
        <v>21.59</v>
      </c>
      <c r="L2038" s="598">
        <f t="shared" si="504"/>
        <v>86.36</v>
      </c>
      <c r="M2038" s="97" t="s">
        <v>224</v>
      </c>
      <c r="N2038" s="1818">
        <v>45957</v>
      </c>
      <c r="O2038" s="1916">
        <v>7542</v>
      </c>
      <c r="P2038" s="83">
        <v>1360</v>
      </c>
      <c r="Q2038" s="83">
        <f t="shared" si="505"/>
        <v>5440</v>
      </c>
      <c r="S2038" s="7">
        <f t="shared" si="519"/>
        <v>1360</v>
      </c>
      <c r="T2038" s="1318">
        <f t="shared" si="520"/>
        <v>5440</v>
      </c>
      <c r="U2038" s="83">
        <v>140</v>
      </c>
      <c r="V2038" s="1560">
        <f t="shared" si="508"/>
        <v>0.55005624296962874</v>
      </c>
    </row>
    <row r="2039" spans="1:26" s="7" customFormat="1" ht="18" customHeight="1">
      <c r="C2039" s="6" t="s">
        <v>5058</v>
      </c>
      <c r="D2039" s="13" t="s">
        <v>5057</v>
      </c>
      <c r="E2039" s="1819">
        <v>11700</v>
      </c>
      <c r="F2039" s="596">
        <v>18</v>
      </c>
      <c r="G2039" s="21" t="s">
        <v>5077</v>
      </c>
      <c r="H2039" s="93">
        <v>10</v>
      </c>
      <c r="I2039" s="94">
        <v>1</v>
      </c>
      <c r="J2039" s="55">
        <f t="shared" ref="J2039:J2043" si="521">H2039*I2039</f>
        <v>10</v>
      </c>
      <c r="K2039" s="611">
        <v>21.59</v>
      </c>
      <c r="L2039" s="598">
        <f t="shared" si="504"/>
        <v>21.59</v>
      </c>
      <c r="M2039" s="97" t="s">
        <v>224</v>
      </c>
      <c r="N2039" s="1818">
        <v>45957</v>
      </c>
      <c r="O2039" s="1916">
        <v>7542</v>
      </c>
      <c r="P2039" s="83">
        <v>1360</v>
      </c>
      <c r="Q2039" s="83">
        <f t="shared" si="505"/>
        <v>1360</v>
      </c>
      <c r="S2039" s="7">
        <f t="shared" ref="S2039:S2043" si="522">P2039</f>
        <v>1360</v>
      </c>
      <c r="T2039" s="1318">
        <f t="shared" ref="T2039:T2043" si="523">Q2039</f>
        <v>1360</v>
      </c>
      <c r="U2039" s="83">
        <v>140</v>
      </c>
      <c r="V2039" s="1560">
        <f t="shared" si="508"/>
        <v>0.55005624296962874</v>
      </c>
    </row>
    <row r="2040" spans="1:26" s="7" customFormat="1" ht="18" customHeight="1">
      <c r="C2040" s="6" t="s">
        <v>5058</v>
      </c>
      <c r="D2040" s="13" t="s">
        <v>5057</v>
      </c>
      <c r="E2040" s="1819">
        <v>11700</v>
      </c>
      <c r="F2040" s="596">
        <v>18</v>
      </c>
      <c r="G2040" s="21" t="s">
        <v>5070</v>
      </c>
      <c r="H2040" s="93">
        <v>10</v>
      </c>
      <c r="I2040" s="94">
        <v>1</v>
      </c>
      <c r="J2040" s="55">
        <f t="shared" si="521"/>
        <v>10</v>
      </c>
      <c r="K2040" s="611">
        <v>21.59</v>
      </c>
      <c r="L2040" s="598">
        <f t="shared" si="504"/>
        <v>21.59</v>
      </c>
      <c r="M2040" s="97" t="s">
        <v>224</v>
      </c>
      <c r="N2040" s="1818">
        <v>45957</v>
      </c>
      <c r="O2040" s="1916">
        <v>7542</v>
      </c>
      <c r="P2040" s="83">
        <v>1360</v>
      </c>
      <c r="Q2040" s="83">
        <f t="shared" si="505"/>
        <v>1360</v>
      </c>
      <c r="S2040" s="7">
        <f t="shared" si="522"/>
        <v>1360</v>
      </c>
      <c r="T2040" s="1318">
        <f t="shared" si="523"/>
        <v>1360</v>
      </c>
      <c r="U2040" s="83">
        <v>140</v>
      </c>
      <c r="V2040" s="1560">
        <f t="shared" si="508"/>
        <v>0.55005624296962874</v>
      </c>
    </row>
    <row r="2041" spans="1:26" s="7" customFormat="1" ht="18" customHeight="1">
      <c r="C2041" s="6" t="s">
        <v>5058</v>
      </c>
      <c r="D2041" s="13" t="s">
        <v>5057</v>
      </c>
      <c r="E2041" s="1819">
        <v>11700</v>
      </c>
      <c r="F2041" s="596">
        <v>18</v>
      </c>
      <c r="G2041" s="21" t="s">
        <v>5071</v>
      </c>
      <c r="H2041" s="93">
        <v>10</v>
      </c>
      <c r="I2041" s="94">
        <v>3</v>
      </c>
      <c r="J2041" s="55">
        <f t="shared" si="521"/>
        <v>30</v>
      </c>
      <c r="K2041" s="611">
        <v>21.59</v>
      </c>
      <c r="L2041" s="598">
        <f t="shared" si="504"/>
        <v>64.77</v>
      </c>
      <c r="M2041" s="97" t="s">
        <v>224</v>
      </c>
      <c r="N2041" s="1818">
        <v>45957</v>
      </c>
      <c r="O2041" s="1916">
        <v>7542</v>
      </c>
      <c r="P2041" s="83">
        <v>1360</v>
      </c>
      <c r="Q2041" s="83">
        <f t="shared" si="505"/>
        <v>4080</v>
      </c>
      <c r="S2041" s="7">
        <f t="shared" si="522"/>
        <v>1360</v>
      </c>
      <c r="T2041" s="1318">
        <f t="shared" si="523"/>
        <v>4080</v>
      </c>
      <c r="U2041" s="83">
        <v>140</v>
      </c>
      <c r="V2041" s="1560">
        <f t="shared" si="508"/>
        <v>0.55005624296962874</v>
      </c>
    </row>
    <row r="2042" spans="1:26" s="7" customFormat="1" ht="18" customHeight="1">
      <c r="C2042" s="6" t="s">
        <v>5058</v>
      </c>
      <c r="D2042" s="13" t="s">
        <v>5057</v>
      </c>
      <c r="E2042" s="1819">
        <v>11700</v>
      </c>
      <c r="F2042" s="596">
        <v>18</v>
      </c>
      <c r="G2042" s="21" t="s">
        <v>5072</v>
      </c>
      <c r="H2042" s="93">
        <v>10</v>
      </c>
      <c r="I2042" s="94">
        <v>1</v>
      </c>
      <c r="J2042" s="55">
        <f t="shared" si="521"/>
        <v>10</v>
      </c>
      <c r="K2042" s="611">
        <v>21.59</v>
      </c>
      <c r="L2042" s="598">
        <f t="shared" si="504"/>
        <v>21.59</v>
      </c>
      <c r="M2042" s="97" t="s">
        <v>224</v>
      </c>
      <c r="N2042" s="1818">
        <v>45957</v>
      </c>
      <c r="O2042" s="1916">
        <v>7542</v>
      </c>
      <c r="P2042" s="83">
        <v>1360</v>
      </c>
      <c r="Q2042" s="83">
        <f t="shared" si="505"/>
        <v>1360</v>
      </c>
      <c r="S2042" s="7">
        <f t="shared" si="522"/>
        <v>1360</v>
      </c>
      <c r="T2042" s="1318">
        <f t="shared" si="523"/>
        <v>1360</v>
      </c>
      <c r="U2042" s="83">
        <v>140</v>
      </c>
      <c r="V2042" s="1560">
        <f t="shared" si="508"/>
        <v>0.55005624296962874</v>
      </c>
    </row>
    <row r="2043" spans="1:26" s="7" customFormat="1" ht="18" customHeight="1">
      <c r="C2043" s="6" t="s">
        <v>5058</v>
      </c>
      <c r="D2043" s="13" t="s">
        <v>5057</v>
      </c>
      <c r="E2043" s="1819">
        <v>11700</v>
      </c>
      <c r="F2043" s="596">
        <v>18</v>
      </c>
      <c r="G2043" s="21" t="s">
        <v>5073</v>
      </c>
      <c r="H2043" s="93">
        <v>10</v>
      </c>
      <c r="I2043" s="94">
        <v>1</v>
      </c>
      <c r="J2043" s="55">
        <f t="shared" si="521"/>
        <v>10</v>
      </c>
      <c r="K2043" s="611">
        <v>21.59</v>
      </c>
      <c r="L2043" s="598">
        <f t="shared" si="504"/>
        <v>21.59</v>
      </c>
      <c r="M2043" s="97" t="s">
        <v>224</v>
      </c>
      <c r="N2043" s="1818">
        <v>45957</v>
      </c>
      <c r="O2043" s="1916">
        <v>7542</v>
      </c>
      <c r="P2043" s="83">
        <v>1360</v>
      </c>
      <c r="Q2043" s="83">
        <f t="shared" si="505"/>
        <v>1360</v>
      </c>
      <c r="S2043" s="7">
        <f t="shared" si="522"/>
        <v>1360</v>
      </c>
      <c r="T2043" s="1318">
        <f t="shared" si="523"/>
        <v>1360</v>
      </c>
      <c r="U2043" s="83">
        <v>140</v>
      </c>
      <c r="V2043" s="1560">
        <f t="shared" si="508"/>
        <v>0.55005624296962874</v>
      </c>
    </row>
    <row r="2044" spans="1:26" s="7" customFormat="1" ht="15">
      <c r="A2044" s="1"/>
      <c r="B2044" s="11"/>
      <c r="C2044" s="6" t="s">
        <v>5058</v>
      </c>
      <c r="D2044" s="13" t="s">
        <v>5057</v>
      </c>
      <c r="E2044" s="1892" t="s">
        <v>5079</v>
      </c>
      <c r="F2044" s="23"/>
      <c r="G2044" s="21"/>
      <c r="H2044" s="55"/>
      <c r="I2044" s="56"/>
      <c r="J2044" s="55"/>
      <c r="K2044" s="9" t="s">
        <v>7</v>
      </c>
      <c r="L2044" s="33"/>
      <c r="M2044" s="33"/>
      <c r="N2044" s="33">
        <v>45957</v>
      </c>
      <c r="O2044" s="1916">
        <v>7542</v>
      </c>
      <c r="P2044" s="6" t="s">
        <v>3</v>
      </c>
      <c r="Q2044" s="1794"/>
      <c r="S2044" s="1795"/>
      <c r="T2044" s="83"/>
      <c r="U2044" s="1796"/>
      <c r="V2044" s="1452">
        <v>120</v>
      </c>
      <c r="W2044" s="1560" t="e">
        <f t="shared" ref="W2044" si="524">(((K2044*V2044)-S2044)/(K2044*V2044))</f>
        <v>#VALUE!</v>
      </c>
    </row>
    <row r="2045" spans="1:26" s="7" customFormat="1" ht="18" customHeight="1">
      <c r="C2045" s="6" t="s">
        <v>5058</v>
      </c>
      <c r="D2045" s="13" t="s">
        <v>5057</v>
      </c>
      <c r="E2045" s="1819">
        <v>3715</v>
      </c>
      <c r="F2045" s="596">
        <v>100</v>
      </c>
      <c r="G2045" s="21" t="s">
        <v>5080</v>
      </c>
      <c r="H2045" s="93">
        <v>30</v>
      </c>
      <c r="I2045" s="94">
        <v>2</v>
      </c>
      <c r="J2045" s="55">
        <f t="shared" ref="J2045" si="525">H2045*I2045</f>
        <v>60</v>
      </c>
      <c r="K2045" s="611">
        <v>78.86</v>
      </c>
      <c r="L2045" s="598">
        <f>I2045*K2045</f>
        <v>157.72</v>
      </c>
      <c r="M2045" s="97" t="s">
        <v>224</v>
      </c>
      <c r="N2045" s="1818">
        <v>45957</v>
      </c>
      <c r="O2045" s="1916">
        <v>7542</v>
      </c>
      <c r="P2045" s="83">
        <v>6624</v>
      </c>
      <c r="Q2045" s="83">
        <f>P2045*I2045</f>
        <v>13248</v>
      </c>
      <c r="S2045" s="7">
        <f t="shared" ref="S2045" si="526">P2045</f>
        <v>6624</v>
      </c>
      <c r="T2045" s="1318">
        <f t="shared" ref="T2045" si="527">Q2045</f>
        <v>13248</v>
      </c>
      <c r="U2045" s="83">
        <v>140</v>
      </c>
      <c r="V2045" s="1560">
        <f t="shared" ref="V2045:V2053" si="528">(((K2045*U2045)-P2045)/(K2045*U2045))</f>
        <v>0.40002173834281363</v>
      </c>
    </row>
    <row r="2046" spans="1:26" s="7" customFormat="1" ht="18" customHeight="1">
      <c r="C2046" s="6" t="s">
        <v>5058</v>
      </c>
      <c r="D2046" s="13" t="s">
        <v>5057</v>
      </c>
      <c r="E2046" s="1819">
        <v>3715</v>
      </c>
      <c r="F2046" s="596">
        <v>100</v>
      </c>
      <c r="G2046" s="21" t="s">
        <v>5081</v>
      </c>
      <c r="H2046" s="93">
        <v>30</v>
      </c>
      <c r="I2046" s="94">
        <v>1</v>
      </c>
      <c r="J2046" s="55">
        <f t="shared" ref="J2046" si="529">H2046*I2046</f>
        <v>30</v>
      </c>
      <c r="K2046" s="611">
        <v>78.86</v>
      </c>
      <c r="L2046" s="598">
        <f>I2046*K2046</f>
        <v>78.86</v>
      </c>
      <c r="M2046" s="97" t="s">
        <v>224</v>
      </c>
      <c r="N2046" s="1818">
        <v>45957</v>
      </c>
      <c r="O2046" s="1916">
        <v>7542</v>
      </c>
      <c r="P2046" s="83">
        <v>6624</v>
      </c>
      <c r="Q2046" s="83">
        <f>P2046*I2046</f>
        <v>6624</v>
      </c>
      <c r="S2046" s="7">
        <f t="shared" ref="S2046:S2048" si="530">P2046</f>
        <v>6624</v>
      </c>
      <c r="T2046" s="1318">
        <f t="shared" ref="T2046:T2048" si="531">Q2046</f>
        <v>6624</v>
      </c>
      <c r="U2046" s="83">
        <v>140</v>
      </c>
      <c r="V2046" s="1560">
        <f t="shared" si="528"/>
        <v>0.40002173834281363</v>
      </c>
    </row>
    <row r="2047" spans="1:26" ht="18" customHeight="1">
      <c r="C2047" s="6" t="s">
        <v>5058</v>
      </c>
      <c r="D2047" s="13" t="s">
        <v>5057</v>
      </c>
      <c r="E2047" s="16" t="s">
        <v>84</v>
      </c>
      <c r="F2047" s="253"/>
      <c r="G2047" s="237"/>
      <c r="H2047" s="238" t="s">
        <v>265</v>
      </c>
      <c r="I2047" s="254"/>
      <c r="J2047" s="255"/>
      <c r="K2047" s="9" t="s">
        <v>7</v>
      </c>
      <c r="L2047" s="115"/>
      <c r="M2047" s="33"/>
      <c r="N2047" s="1818">
        <v>45957</v>
      </c>
      <c r="O2047" s="1916">
        <v>7542</v>
      </c>
      <c r="P2047" s="83"/>
      <c r="Q2047" s="83"/>
      <c r="R2047" s="7"/>
      <c r="S2047" s="7">
        <f t="shared" si="530"/>
        <v>0</v>
      </c>
      <c r="T2047" s="1318">
        <f t="shared" si="531"/>
        <v>0</v>
      </c>
      <c r="U2047" s="83">
        <v>140</v>
      </c>
      <c r="V2047" s="1560" t="e">
        <f t="shared" si="528"/>
        <v>#VALUE!</v>
      </c>
      <c r="W2047" s="7"/>
      <c r="X2047" s="7"/>
      <c r="Y2047" s="7"/>
      <c r="Z2047" s="7"/>
    </row>
    <row r="2048" spans="1:26" ht="18" customHeight="1">
      <c r="C2048" s="6" t="s">
        <v>5058</v>
      </c>
      <c r="D2048" s="13" t="s">
        <v>5057</v>
      </c>
      <c r="E2048" s="1819">
        <v>14552</v>
      </c>
      <c r="F2048" s="134">
        <v>75</v>
      </c>
      <c r="G2048" s="203" t="s">
        <v>5082</v>
      </c>
      <c r="H2048" s="93">
        <v>30</v>
      </c>
      <c r="I2048" s="94">
        <v>1</v>
      </c>
      <c r="J2048" s="55">
        <f t="shared" ref="J2048" si="532">H2048*I2048</f>
        <v>30</v>
      </c>
      <c r="K2048" s="611">
        <v>126.67</v>
      </c>
      <c r="L2048" s="598">
        <f>I2048*K2048</f>
        <v>126.67</v>
      </c>
      <c r="M2048" s="97" t="s">
        <v>257</v>
      </c>
      <c r="N2048" s="1818">
        <v>45957</v>
      </c>
      <c r="O2048" s="1916">
        <v>7542</v>
      </c>
      <c r="P2048" s="83">
        <v>7980</v>
      </c>
      <c r="Q2048" s="83">
        <f>P2048*I2048</f>
        <v>7980</v>
      </c>
      <c r="S2048" s="7">
        <f t="shared" si="530"/>
        <v>7980</v>
      </c>
      <c r="T2048" s="1318">
        <f t="shared" si="531"/>
        <v>7980</v>
      </c>
      <c r="U2048" s="83">
        <v>140</v>
      </c>
      <c r="V2048" s="1560">
        <f t="shared" si="528"/>
        <v>0.55001184179363705</v>
      </c>
    </row>
    <row r="2049" spans="1:23" ht="18" customHeight="1">
      <c r="C2049" s="6" t="s">
        <v>5058</v>
      </c>
      <c r="D2049" s="13" t="s">
        <v>5057</v>
      </c>
      <c r="E2049" s="1819">
        <v>14552</v>
      </c>
      <c r="F2049" s="134">
        <v>75</v>
      </c>
      <c r="G2049" s="203" t="s">
        <v>5083</v>
      </c>
      <c r="H2049" s="93">
        <v>30</v>
      </c>
      <c r="I2049" s="94">
        <v>1</v>
      </c>
      <c r="J2049" s="55">
        <f t="shared" ref="J2049:J2051" si="533">H2049*I2049</f>
        <v>30</v>
      </c>
      <c r="K2049" s="611">
        <v>126.67</v>
      </c>
      <c r="L2049" s="598">
        <f>I2049*K2049</f>
        <v>126.67</v>
      </c>
      <c r="M2049" s="97" t="s">
        <v>257</v>
      </c>
      <c r="N2049" s="1818">
        <v>45957</v>
      </c>
      <c r="O2049" s="1916">
        <v>7542</v>
      </c>
      <c r="P2049" s="83">
        <v>7980</v>
      </c>
      <c r="Q2049" s="83">
        <f>P2049*I2049</f>
        <v>7980</v>
      </c>
      <c r="S2049" s="7">
        <f t="shared" ref="S2049:S2056" si="534">P2049</f>
        <v>7980</v>
      </c>
      <c r="T2049" s="1318">
        <f t="shared" ref="T2049:T2056" si="535">Q2049</f>
        <v>7980</v>
      </c>
      <c r="U2049" s="83">
        <v>140</v>
      </c>
      <c r="V2049" s="1560">
        <f t="shared" si="528"/>
        <v>0.55001184179363705</v>
      </c>
    </row>
    <row r="2050" spans="1:23" ht="18" customHeight="1">
      <c r="C2050" s="6" t="s">
        <v>5058</v>
      </c>
      <c r="D2050" s="13" t="s">
        <v>5057</v>
      </c>
      <c r="E2050" s="1819">
        <v>14552</v>
      </c>
      <c r="F2050" s="134">
        <v>75</v>
      </c>
      <c r="G2050" s="203" t="s">
        <v>5084</v>
      </c>
      <c r="H2050" s="93">
        <v>30</v>
      </c>
      <c r="I2050" s="94">
        <v>1</v>
      </c>
      <c r="J2050" s="55">
        <f t="shared" si="533"/>
        <v>30</v>
      </c>
      <c r="K2050" s="611">
        <v>126.67</v>
      </c>
      <c r="L2050" s="598">
        <f>I2050*K2050</f>
        <v>126.67</v>
      </c>
      <c r="M2050" s="97" t="s">
        <v>257</v>
      </c>
      <c r="N2050" s="1818">
        <v>45957</v>
      </c>
      <c r="O2050" s="1916">
        <v>7542</v>
      </c>
      <c r="P2050" s="83">
        <v>7980</v>
      </c>
      <c r="Q2050" s="83">
        <f>P2050*I2050</f>
        <v>7980</v>
      </c>
      <c r="S2050" s="7">
        <f t="shared" si="534"/>
        <v>7980</v>
      </c>
      <c r="T2050" s="1318">
        <f t="shared" si="535"/>
        <v>7980</v>
      </c>
      <c r="U2050" s="83">
        <v>140</v>
      </c>
      <c r="V2050" s="1560">
        <f t="shared" si="528"/>
        <v>0.55001184179363705</v>
      </c>
    </row>
    <row r="2051" spans="1:23" ht="18" customHeight="1">
      <c r="C2051" s="6" t="s">
        <v>5058</v>
      </c>
      <c r="D2051" s="13" t="s">
        <v>5057</v>
      </c>
      <c r="E2051" s="1819">
        <v>14552</v>
      </c>
      <c r="F2051" s="134">
        <v>75</v>
      </c>
      <c r="G2051" s="203" t="s">
        <v>5085</v>
      </c>
      <c r="H2051" s="93">
        <v>30</v>
      </c>
      <c r="I2051" s="94">
        <v>1</v>
      </c>
      <c r="J2051" s="55">
        <f t="shared" si="533"/>
        <v>30</v>
      </c>
      <c r="K2051" s="611">
        <v>126.67</v>
      </c>
      <c r="L2051" s="598">
        <f>I2051*K2051</f>
        <v>126.67</v>
      </c>
      <c r="M2051" s="97" t="s">
        <v>257</v>
      </c>
      <c r="N2051" s="1818">
        <v>45957</v>
      </c>
      <c r="O2051" s="1916">
        <v>7542</v>
      </c>
      <c r="P2051" s="83">
        <v>7980</v>
      </c>
      <c r="Q2051" s="83">
        <f>P2051*I2051</f>
        <v>7980</v>
      </c>
      <c r="S2051" s="7">
        <f t="shared" si="534"/>
        <v>7980</v>
      </c>
      <c r="T2051" s="1318">
        <f t="shared" si="535"/>
        <v>7980</v>
      </c>
      <c r="U2051" s="83">
        <v>140</v>
      </c>
      <c r="V2051" s="1560">
        <f t="shared" si="528"/>
        <v>0.55001184179363705</v>
      </c>
    </row>
    <row r="2052" spans="1:23" ht="18.600000000000001" customHeight="1">
      <c r="C2052" s="116" t="s">
        <v>5058</v>
      </c>
      <c r="D2052" s="81" t="s">
        <v>5057</v>
      </c>
      <c r="E2052" s="126"/>
      <c r="F2052" s="36"/>
      <c r="G2052" s="36" t="s">
        <v>218</v>
      </c>
      <c r="H2052" s="37"/>
      <c r="I2052" s="166"/>
      <c r="J2052" s="37">
        <v>1</v>
      </c>
      <c r="K2052" s="724">
        <v>12</v>
      </c>
      <c r="L2052" s="1621">
        <v>0</v>
      </c>
      <c r="M2052" s="1813"/>
      <c r="N2052" s="33">
        <v>45957</v>
      </c>
      <c r="O2052" s="1916">
        <v>7542</v>
      </c>
      <c r="P2052" s="1817">
        <v>0</v>
      </c>
      <c r="Q2052" s="1817">
        <f>P2052*J2052</f>
        <v>0</v>
      </c>
      <c r="S2052" s="7">
        <f t="shared" si="534"/>
        <v>0</v>
      </c>
      <c r="T2052" s="1318">
        <f t="shared" si="535"/>
        <v>0</v>
      </c>
      <c r="U2052" s="83">
        <v>140</v>
      </c>
      <c r="V2052" s="1560">
        <f t="shared" si="528"/>
        <v>1</v>
      </c>
    </row>
    <row r="2053" spans="1:23" s="159" customFormat="1" ht="18.600000000000001" customHeight="1">
      <c r="C2053" s="149" t="s">
        <v>5058</v>
      </c>
      <c r="D2053" s="150" t="s">
        <v>5057</v>
      </c>
      <c r="E2053" s="191"/>
      <c r="F2053" s="152"/>
      <c r="G2053" s="152" t="s">
        <v>168</v>
      </c>
      <c r="H2053" s="154" t="s">
        <v>169</v>
      </c>
      <c r="I2053" s="155"/>
      <c r="J2053" s="153"/>
      <c r="K2053" s="600">
        <v>0</v>
      </c>
      <c r="L2053" s="601"/>
      <c r="M2053" s="601"/>
      <c r="N2053" s="157">
        <v>45957</v>
      </c>
      <c r="O2053" s="156">
        <v>7542</v>
      </c>
      <c r="P2053" s="164">
        <v>0</v>
      </c>
      <c r="Q2053" s="165">
        <v>0</v>
      </c>
      <c r="S2053" s="7">
        <f t="shared" si="534"/>
        <v>0</v>
      </c>
      <c r="T2053" s="1318">
        <f t="shared" si="535"/>
        <v>0</v>
      </c>
      <c r="U2053" s="83">
        <v>140</v>
      </c>
      <c r="V2053" s="1560" t="e">
        <f t="shared" si="528"/>
        <v>#DIV/0!</v>
      </c>
    </row>
    <row r="2054" spans="1:23" s="7" customFormat="1" ht="18" customHeight="1" thickBot="1">
      <c r="C2054" s="1483" t="s">
        <v>5091</v>
      </c>
      <c r="D2054" s="13" t="s">
        <v>5044</v>
      </c>
      <c r="E2054" s="18" t="s">
        <v>5047</v>
      </c>
      <c r="F2054" s="23"/>
      <c r="G2054" s="21"/>
      <c r="H2054" s="39"/>
      <c r="I2054" s="56"/>
      <c r="J2054" s="55"/>
      <c r="K2054" s="15" t="s">
        <v>8</v>
      </c>
      <c r="L2054" s="33"/>
      <c r="M2054" s="33"/>
      <c r="N2054" s="33">
        <v>45957</v>
      </c>
      <c r="O2054" s="32">
        <v>7569</v>
      </c>
      <c r="P2054" s="1477"/>
      <c r="Q2054" s="83"/>
      <c r="S2054" s="7">
        <f t="shared" si="534"/>
        <v>0</v>
      </c>
      <c r="T2054" s="1318">
        <f t="shared" si="535"/>
        <v>0</v>
      </c>
      <c r="U2054" s="83">
        <v>125</v>
      </c>
    </row>
    <row r="2055" spans="1:23" s="7" customFormat="1" ht="18" customHeight="1" thickBot="1">
      <c r="C2055" s="1483" t="s">
        <v>5091</v>
      </c>
      <c r="D2055" s="13" t="s">
        <v>5044</v>
      </c>
      <c r="E2055" s="1917" t="s">
        <v>5046</v>
      </c>
      <c r="F2055" s="23" t="s">
        <v>2491</v>
      </c>
      <c r="G2055" s="21" t="s">
        <v>5048</v>
      </c>
      <c r="H2055" s="17">
        <v>44.7</v>
      </c>
      <c r="I2055" s="94">
        <v>1</v>
      </c>
      <c r="J2055" s="17">
        <f t="shared" ref="J2055" si="536">H2055*I2055</f>
        <v>44.7</v>
      </c>
      <c r="K2055" s="597">
        <v>18.670000000000002</v>
      </c>
      <c r="L2055" s="598">
        <f>K2055*J2055</f>
        <v>834.54900000000009</v>
      </c>
      <c r="M2055" s="97" t="s">
        <v>224</v>
      </c>
      <c r="N2055" s="1818">
        <v>45954</v>
      </c>
      <c r="O2055" s="32">
        <v>7569</v>
      </c>
      <c r="P2055" s="1897">
        <v>1960</v>
      </c>
      <c r="Q2055" s="83">
        <f>P2055*J2055</f>
        <v>87612</v>
      </c>
      <c r="S2055" s="7">
        <f t="shared" si="534"/>
        <v>1960</v>
      </c>
      <c r="T2055" s="1318">
        <f t="shared" si="535"/>
        <v>87612</v>
      </c>
      <c r="U2055" s="83">
        <v>140</v>
      </c>
      <c r="V2055" s="1560">
        <f>(((K2055*U2055)-P2055)/(K2055*U2055))</f>
        <v>0.25013390465988222</v>
      </c>
    </row>
    <row r="2056" spans="1:23" s="159" customFormat="1" ht="18" customHeight="1">
      <c r="C2056" s="1484" t="s">
        <v>5091</v>
      </c>
      <c r="D2056" s="150" t="s">
        <v>5044</v>
      </c>
      <c r="E2056" s="191"/>
      <c r="F2056" s="152"/>
      <c r="G2056" s="152" t="s">
        <v>4904</v>
      </c>
      <c r="H2056" s="154" t="s">
        <v>4903</v>
      </c>
      <c r="I2056" s="155"/>
      <c r="J2056" s="154">
        <v>1</v>
      </c>
      <c r="K2056" s="911">
        <v>0</v>
      </c>
      <c r="L2056" s="911">
        <v>0</v>
      </c>
      <c r="M2056" s="601"/>
      <c r="N2056" s="157">
        <v>45957</v>
      </c>
      <c r="O2056" s="156">
        <v>7569</v>
      </c>
      <c r="P2056" s="1870">
        <v>0</v>
      </c>
      <c r="Q2056" s="1870">
        <v>0</v>
      </c>
      <c r="S2056" s="83">
        <f t="shared" si="534"/>
        <v>0</v>
      </c>
      <c r="T2056" s="1455">
        <f t="shared" si="535"/>
        <v>0</v>
      </c>
      <c r="U2056" s="83">
        <v>125</v>
      </c>
      <c r="V2056" s="1560" t="e">
        <f t="shared" ref="V2056" si="537">(((K2056*U2056)-P2056)/(K2056*U2056))</f>
        <v>#DIV/0!</v>
      </c>
    </row>
    <row r="2057" spans="1:23" ht="17.25" customHeight="1">
      <c r="B2057" s="25"/>
      <c r="C2057" s="6" t="s">
        <v>5106</v>
      </c>
      <c r="D2057" s="13" t="s">
        <v>5105</v>
      </c>
      <c r="E2057" s="18" t="s">
        <v>5107</v>
      </c>
      <c r="F2057" s="92"/>
      <c r="G2057" s="21"/>
      <c r="H2057" s="93"/>
      <c r="I2057" s="94"/>
      <c r="J2057" s="93"/>
      <c r="K2057" s="95" t="s">
        <v>8</v>
      </c>
      <c r="L2057" s="33"/>
      <c r="M2057" s="33"/>
      <c r="N2057" s="33">
        <v>45960</v>
      </c>
      <c r="O2057" s="32">
        <v>7586</v>
      </c>
      <c r="P2057" s="226"/>
      <c r="Q2057" s="226">
        <f>P2057*J2057</f>
        <v>0</v>
      </c>
      <c r="R2057" s="121"/>
      <c r="S2057" s="121">
        <f t="shared" ref="S2057:S2060" si="538">P2057</f>
        <v>0</v>
      </c>
      <c r="T2057" s="1739">
        <f t="shared" ref="T2057:T2060" si="539">Q2057</f>
        <v>0</v>
      </c>
      <c r="U2057" s="226">
        <v>140</v>
      </c>
      <c r="V2057" s="1740" t="e">
        <f>(((K2057*U2057)-P2057)/(K2057*U2057))</f>
        <v>#VALUE!</v>
      </c>
      <c r="W2057" s="121"/>
    </row>
    <row r="2058" spans="1:23" ht="18" customHeight="1">
      <c r="B2058" s="11" t="s">
        <v>5103</v>
      </c>
      <c r="C2058" s="6" t="s">
        <v>5106</v>
      </c>
      <c r="D2058" s="13" t="s">
        <v>5105</v>
      </c>
      <c r="E2058" s="373" t="s">
        <v>5108</v>
      </c>
      <c r="F2058" s="1918" t="s">
        <v>5104</v>
      </c>
      <c r="G2058" s="1919" t="s">
        <v>4661</v>
      </c>
      <c r="H2058" s="17"/>
      <c r="I2058" s="56"/>
      <c r="J2058" s="17">
        <v>2</v>
      </c>
      <c r="K2058" s="597">
        <v>9.0500000000000007</v>
      </c>
      <c r="L2058" s="598">
        <f>K2058*J2058</f>
        <v>18.100000000000001</v>
      </c>
      <c r="M2058" s="97" t="s">
        <v>224</v>
      </c>
      <c r="N2058" s="33">
        <v>45960</v>
      </c>
      <c r="O2058" s="32">
        <v>7586</v>
      </c>
      <c r="P2058" s="226">
        <v>950</v>
      </c>
      <c r="Q2058" s="226">
        <f>P2058*J2058</f>
        <v>1900</v>
      </c>
      <c r="R2058" s="121"/>
      <c r="S2058" s="121">
        <f t="shared" si="538"/>
        <v>950</v>
      </c>
      <c r="T2058" s="1739">
        <f t="shared" si="539"/>
        <v>1900</v>
      </c>
      <c r="U2058" s="226">
        <v>140</v>
      </c>
      <c r="V2058" s="1740">
        <f>(((K2058*U2058)-P2058)/(K2058*U2058))</f>
        <v>0.25019731649565902</v>
      </c>
      <c r="W2058" s="121"/>
    </row>
    <row r="2059" spans="1:23" ht="18.600000000000001" customHeight="1">
      <c r="C2059" s="6" t="s">
        <v>5106</v>
      </c>
      <c r="D2059" s="13" t="s">
        <v>5105</v>
      </c>
      <c r="E2059" s="21"/>
      <c r="F2059" s="38"/>
      <c r="G2059" s="38" t="s">
        <v>218</v>
      </c>
      <c r="H2059" s="39"/>
      <c r="I2059" s="94"/>
      <c r="J2059" s="39">
        <v>1</v>
      </c>
      <c r="K2059" s="611">
        <v>12</v>
      </c>
      <c r="L2059" s="598">
        <f>K2059*J2059</f>
        <v>12</v>
      </c>
      <c r="M2059" s="898"/>
      <c r="N2059" s="33">
        <v>45960</v>
      </c>
      <c r="O2059" s="32">
        <v>7586</v>
      </c>
      <c r="P2059" s="83">
        <f>1000+1000</f>
        <v>2000</v>
      </c>
      <c r="Q2059" s="83">
        <f>P2059*J2059</f>
        <v>2000</v>
      </c>
      <c r="S2059" s="7">
        <f t="shared" si="538"/>
        <v>2000</v>
      </c>
      <c r="T2059" s="1318">
        <f t="shared" si="539"/>
        <v>2000</v>
      </c>
      <c r="U2059" s="83">
        <v>140</v>
      </c>
      <c r="V2059" s="1560">
        <f>(((K2059*U2059)-P2059)/(K2059*U2059))</f>
        <v>-0.19047619047619047</v>
      </c>
    </row>
    <row r="2060" spans="1:23" s="159" customFormat="1" ht="18" customHeight="1">
      <c r="C2060" s="149" t="s">
        <v>5106</v>
      </c>
      <c r="D2060" s="150" t="s">
        <v>5105</v>
      </c>
      <c r="E2060" s="191"/>
      <c r="F2060" s="152"/>
      <c r="G2060" s="152" t="s">
        <v>4904</v>
      </c>
      <c r="H2060" s="154" t="s">
        <v>4903</v>
      </c>
      <c r="I2060" s="155"/>
      <c r="J2060" s="154">
        <v>1</v>
      </c>
      <c r="K2060" s="911">
        <v>0</v>
      </c>
      <c r="L2060" s="911">
        <v>0</v>
      </c>
      <c r="M2060" s="601"/>
      <c r="N2060" s="157">
        <v>45960</v>
      </c>
      <c r="O2060" s="156">
        <v>7586</v>
      </c>
      <c r="P2060" s="1870">
        <v>0</v>
      </c>
      <c r="Q2060" s="1870">
        <v>0</v>
      </c>
      <c r="S2060" s="83">
        <f t="shared" si="538"/>
        <v>0</v>
      </c>
      <c r="T2060" s="1455">
        <f t="shared" si="539"/>
        <v>0</v>
      </c>
      <c r="U2060" s="83">
        <v>125</v>
      </c>
      <c r="V2060" s="1560" t="e">
        <f t="shared" ref="V2060" si="540">(((K2060*U2060)-P2060)/(K2060*U2060))</f>
        <v>#DIV/0!</v>
      </c>
    </row>
    <row r="2061" spans="1:23" s="7" customFormat="1" ht="15">
      <c r="A2061" s="1"/>
      <c r="B2061" s="11"/>
      <c r="C2061" s="6" t="s">
        <v>5110</v>
      </c>
      <c r="D2061" s="13" t="s">
        <v>5057</v>
      </c>
      <c r="E2061" s="18" t="s">
        <v>5111</v>
      </c>
      <c r="F2061" s="23"/>
      <c r="G2061" s="21"/>
      <c r="H2061" s="55"/>
      <c r="I2061" s="56"/>
      <c r="J2061" s="55"/>
      <c r="K2061" s="9" t="s">
        <v>7</v>
      </c>
      <c r="L2061" s="33"/>
      <c r="M2061" s="33"/>
      <c r="N2061" s="33">
        <v>45987</v>
      </c>
      <c r="O2061" s="1946" t="s">
        <v>5154</v>
      </c>
      <c r="P2061" s="6" t="s">
        <v>3</v>
      </c>
      <c r="Q2061" s="1794"/>
      <c r="S2061" s="1795"/>
      <c r="T2061" s="83"/>
      <c r="U2061" s="1796"/>
      <c r="V2061" s="1452">
        <v>120</v>
      </c>
      <c r="W2061" s="1560" t="e">
        <f t="shared" ref="W2061" si="541">(((K2061*V2061)-S2061)/(K2061*V2061))</f>
        <v>#VALUE!</v>
      </c>
    </row>
    <row r="2062" spans="1:23" s="7" customFormat="1" ht="18" customHeight="1">
      <c r="C2062" s="6" t="s">
        <v>5110</v>
      </c>
      <c r="D2062" s="13" t="s">
        <v>5057</v>
      </c>
      <c r="E2062" s="21">
        <v>11707</v>
      </c>
      <c r="F2062" s="1921">
        <v>18</v>
      </c>
      <c r="G2062" s="203" t="s">
        <v>5119</v>
      </c>
      <c r="H2062" s="1922">
        <v>10</v>
      </c>
      <c r="I2062" s="1923">
        <v>1</v>
      </c>
      <c r="J2062" s="55">
        <f t="shared" ref="J2062:J2069" si="542">H2062*I2062</f>
        <v>10</v>
      </c>
      <c r="K2062" s="1924">
        <v>22.45</v>
      </c>
      <c r="L2062" s="598">
        <f t="shared" ref="L2062" si="543">I2062*K2062</f>
        <v>22.45</v>
      </c>
      <c r="M2062" s="97" t="s">
        <v>224</v>
      </c>
      <c r="N2062" s="1818">
        <v>45987</v>
      </c>
      <c r="O2062" s="1946" t="s">
        <v>5154</v>
      </c>
      <c r="P2062" s="83">
        <v>1414</v>
      </c>
      <c r="Q2062" s="83">
        <f t="shared" ref="Q2062" si="544">P2062*I2062</f>
        <v>1414</v>
      </c>
      <c r="S2062" s="7">
        <f t="shared" ref="S2062" si="545">P2062</f>
        <v>1414</v>
      </c>
      <c r="T2062" s="1318">
        <f t="shared" ref="T2062" si="546">Q2062</f>
        <v>1414</v>
      </c>
      <c r="U2062" s="83">
        <v>140</v>
      </c>
      <c r="V2062" s="1560">
        <f t="shared" ref="V2062" si="547">(((K2062*U2062)-P2062)/(K2062*U2062))</f>
        <v>0.55011135857461024</v>
      </c>
    </row>
    <row r="2063" spans="1:23" s="7" customFormat="1" ht="18" customHeight="1">
      <c r="C2063" s="6" t="s">
        <v>5110</v>
      </c>
      <c r="D2063" s="13" t="s">
        <v>5057</v>
      </c>
      <c r="E2063" s="21">
        <v>11707</v>
      </c>
      <c r="F2063" s="1921">
        <v>18</v>
      </c>
      <c r="G2063" s="203" t="s">
        <v>15</v>
      </c>
      <c r="H2063" s="1922">
        <v>10</v>
      </c>
      <c r="I2063" s="1923">
        <v>1</v>
      </c>
      <c r="J2063" s="55">
        <f t="shared" ref="J2063" si="548">H2063*I2063</f>
        <v>10</v>
      </c>
      <c r="K2063" s="1924">
        <v>22.45</v>
      </c>
      <c r="L2063" s="598">
        <f t="shared" ref="L2063" si="549">I2063*K2063</f>
        <v>22.45</v>
      </c>
      <c r="M2063" s="97" t="s">
        <v>224</v>
      </c>
      <c r="N2063" s="1818">
        <v>45987</v>
      </c>
      <c r="O2063" s="1946" t="s">
        <v>5154</v>
      </c>
      <c r="P2063" s="83">
        <v>1414</v>
      </c>
      <c r="Q2063" s="83">
        <f t="shared" ref="Q2063" si="550">P2063*I2063</f>
        <v>1414</v>
      </c>
      <c r="S2063" s="7">
        <f t="shared" ref="S2063" si="551">P2063</f>
        <v>1414</v>
      </c>
      <c r="T2063" s="1318">
        <f t="shared" ref="T2063" si="552">Q2063</f>
        <v>1414</v>
      </c>
      <c r="U2063" s="83">
        <v>140</v>
      </c>
      <c r="V2063" s="1560">
        <f t="shared" ref="V2063" si="553">(((K2063*U2063)-P2063)/(K2063*U2063))</f>
        <v>0.55011135857461024</v>
      </c>
    </row>
    <row r="2064" spans="1:23" s="7" customFormat="1" ht="15">
      <c r="C2064" s="6" t="s">
        <v>5110</v>
      </c>
      <c r="D2064" s="13" t="s">
        <v>5057</v>
      </c>
      <c r="E2064" s="18" t="s">
        <v>5112</v>
      </c>
      <c r="F2064" s="23"/>
      <c r="G2064" s="21"/>
      <c r="H2064" s="55"/>
      <c r="I2064" s="56"/>
      <c r="J2064" s="55"/>
      <c r="K2064" s="9"/>
      <c r="L2064" s="688"/>
      <c r="M2064" s="688"/>
      <c r="N2064" s="1833">
        <v>45987</v>
      </c>
      <c r="O2064" s="1946" t="s">
        <v>5154</v>
      </c>
      <c r="P2064" s="1832"/>
      <c r="Q2064" s="83"/>
      <c r="S2064" s="7">
        <f t="shared" ref="S2064:S2065" si="554">P2064</f>
        <v>0</v>
      </c>
      <c r="T2064" s="1318">
        <f t="shared" ref="T2064:T2065" si="555">Q2064</f>
        <v>0</v>
      </c>
      <c r="U2064" s="100"/>
    </row>
    <row r="2065" spans="3:22" s="7" customFormat="1" ht="18" customHeight="1">
      <c r="C2065" s="6" t="s">
        <v>5110</v>
      </c>
      <c r="D2065" s="13" t="s">
        <v>5057</v>
      </c>
      <c r="E2065" s="21">
        <v>12701</v>
      </c>
      <c r="F2065" s="1921">
        <v>50</v>
      </c>
      <c r="G2065" s="203" t="s">
        <v>5121</v>
      </c>
      <c r="H2065" s="1922">
        <v>10</v>
      </c>
      <c r="I2065" s="1923">
        <v>1</v>
      </c>
      <c r="J2065" s="55">
        <f t="shared" si="542"/>
        <v>10</v>
      </c>
      <c r="K2065" s="1924">
        <v>36.36</v>
      </c>
      <c r="L2065" s="598">
        <f t="shared" ref="L2065" si="556">I2065*K2065</f>
        <v>36.36</v>
      </c>
      <c r="M2065" s="97" t="s">
        <v>224</v>
      </c>
      <c r="N2065" s="1818">
        <v>45987</v>
      </c>
      <c r="O2065" s="1946" t="s">
        <v>5154</v>
      </c>
      <c r="P2065" s="83">
        <v>2036</v>
      </c>
      <c r="Q2065" s="83">
        <f t="shared" ref="Q2065" si="557">P2065*I2065</f>
        <v>2036</v>
      </c>
      <c r="S2065" s="7">
        <f t="shared" si="554"/>
        <v>2036</v>
      </c>
      <c r="T2065" s="1318">
        <f t="shared" si="555"/>
        <v>2036</v>
      </c>
      <c r="U2065" s="83">
        <v>140</v>
      </c>
      <c r="V2065" s="1560">
        <f t="shared" ref="V2065" si="558">(((K2065*U2065)-P2065)/(K2065*U2065))</f>
        <v>0.60003143171460005</v>
      </c>
    </row>
    <row r="2066" spans="3:22" s="7" customFormat="1" ht="18" customHeight="1">
      <c r="C2066" s="6" t="s">
        <v>5110</v>
      </c>
      <c r="D2066" s="13" t="s">
        <v>5057</v>
      </c>
      <c r="E2066" s="21">
        <v>12701</v>
      </c>
      <c r="F2066" s="1921">
        <v>50</v>
      </c>
      <c r="G2066" s="203" t="s">
        <v>5122</v>
      </c>
      <c r="H2066" s="1922">
        <v>10</v>
      </c>
      <c r="I2066" s="1923">
        <v>1</v>
      </c>
      <c r="J2066" s="55">
        <f t="shared" si="542"/>
        <v>10</v>
      </c>
      <c r="K2066" s="1924">
        <v>36.36</v>
      </c>
      <c r="L2066" s="598">
        <f t="shared" ref="L2066:L2069" si="559">I2066*K2066</f>
        <v>36.36</v>
      </c>
      <c r="M2066" s="97" t="s">
        <v>224</v>
      </c>
      <c r="N2066" s="1818">
        <v>45987</v>
      </c>
      <c r="O2066" s="1946" t="s">
        <v>5154</v>
      </c>
      <c r="P2066" s="83">
        <v>2036</v>
      </c>
      <c r="Q2066" s="83">
        <f t="shared" ref="Q2066:Q2069" si="560">P2066*I2066</f>
        <v>2036</v>
      </c>
      <c r="S2066" s="7">
        <f t="shared" ref="S2066:S2071" si="561">P2066</f>
        <v>2036</v>
      </c>
      <c r="T2066" s="1318">
        <f t="shared" ref="T2066:T2071" si="562">Q2066</f>
        <v>2036</v>
      </c>
      <c r="U2066" s="83">
        <v>140</v>
      </c>
      <c r="V2066" s="1560">
        <f t="shared" ref="V2066:V2069" si="563">(((K2066*U2066)-P2066)/(K2066*U2066))</f>
        <v>0.60003143171460005</v>
      </c>
    </row>
    <row r="2067" spans="3:22" s="7" customFormat="1" ht="18" customHeight="1">
      <c r="C2067" s="6" t="s">
        <v>5110</v>
      </c>
      <c r="D2067" s="13" t="s">
        <v>5057</v>
      </c>
      <c r="E2067" s="21">
        <v>12701</v>
      </c>
      <c r="F2067" s="1921">
        <v>50</v>
      </c>
      <c r="G2067" s="203" t="s">
        <v>5123</v>
      </c>
      <c r="H2067" s="1922">
        <v>10</v>
      </c>
      <c r="I2067" s="1923">
        <v>1</v>
      </c>
      <c r="J2067" s="55">
        <f t="shared" si="542"/>
        <v>10</v>
      </c>
      <c r="K2067" s="1924">
        <v>36.36</v>
      </c>
      <c r="L2067" s="598">
        <f t="shared" si="559"/>
        <v>36.36</v>
      </c>
      <c r="M2067" s="97" t="s">
        <v>224</v>
      </c>
      <c r="N2067" s="1818">
        <v>45987</v>
      </c>
      <c r="O2067" s="1946" t="s">
        <v>5154</v>
      </c>
      <c r="P2067" s="83">
        <v>2036</v>
      </c>
      <c r="Q2067" s="83">
        <f t="shared" si="560"/>
        <v>2036</v>
      </c>
      <c r="S2067" s="7">
        <f t="shared" si="561"/>
        <v>2036</v>
      </c>
      <c r="T2067" s="1318">
        <f t="shared" si="562"/>
        <v>2036</v>
      </c>
      <c r="U2067" s="83">
        <v>140</v>
      </c>
      <c r="V2067" s="1560">
        <f t="shared" si="563"/>
        <v>0.60003143171460005</v>
      </c>
    </row>
    <row r="2068" spans="3:22" s="7" customFormat="1" ht="18" customHeight="1">
      <c r="C2068" s="6" t="s">
        <v>5110</v>
      </c>
      <c r="D2068" s="13" t="s">
        <v>5057</v>
      </c>
      <c r="E2068" s="21">
        <v>12701</v>
      </c>
      <c r="F2068" s="1921">
        <v>50</v>
      </c>
      <c r="G2068" s="203" t="s">
        <v>5124</v>
      </c>
      <c r="H2068" s="1922">
        <v>10</v>
      </c>
      <c r="I2068" s="1923">
        <v>1</v>
      </c>
      <c r="J2068" s="55">
        <f t="shared" si="542"/>
        <v>10</v>
      </c>
      <c r="K2068" s="1924">
        <v>36.36</v>
      </c>
      <c r="L2068" s="598">
        <f t="shared" si="559"/>
        <v>36.36</v>
      </c>
      <c r="M2068" s="97" t="s">
        <v>224</v>
      </c>
      <c r="N2068" s="1818">
        <v>45987</v>
      </c>
      <c r="O2068" s="1946" t="s">
        <v>5154</v>
      </c>
      <c r="P2068" s="83">
        <v>2036</v>
      </c>
      <c r="Q2068" s="83">
        <f t="shared" si="560"/>
        <v>2036</v>
      </c>
      <c r="S2068" s="7">
        <f t="shared" si="561"/>
        <v>2036</v>
      </c>
      <c r="T2068" s="1318">
        <f t="shared" si="562"/>
        <v>2036</v>
      </c>
      <c r="U2068" s="83">
        <v>140</v>
      </c>
      <c r="V2068" s="1560">
        <f t="shared" si="563"/>
        <v>0.60003143171460005</v>
      </c>
    </row>
    <row r="2069" spans="3:22" s="7" customFormat="1" ht="18" customHeight="1">
      <c r="C2069" s="6" t="s">
        <v>5110</v>
      </c>
      <c r="D2069" s="13" t="s">
        <v>5057</v>
      </c>
      <c r="E2069" s="21">
        <v>12701</v>
      </c>
      <c r="F2069" s="1921">
        <v>50</v>
      </c>
      <c r="G2069" s="203" t="s">
        <v>5125</v>
      </c>
      <c r="H2069" s="1922">
        <v>10</v>
      </c>
      <c r="I2069" s="1923">
        <v>1</v>
      </c>
      <c r="J2069" s="55">
        <f t="shared" si="542"/>
        <v>10</v>
      </c>
      <c r="K2069" s="1924">
        <v>36.36</v>
      </c>
      <c r="L2069" s="598">
        <f t="shared" si="559"/>
        <v>36.36</v>
      </c>
      <c r="M2069" s="97" t="s">
        <v>224</v>
      </c>
      <c r="N2069" s="1818">
        <v>45987</v>
      </c>
      <c r="O2069" s="1946" t="s">
        <v>5154</v>
      </c>
      <c r="P2069" s="83">
        <v>2036</v>
      </c>
      <c r="Q2069" s="83">
        <f t="shared" si="560"/>
        <v>2036</v>
      </c>
      <c r="S2069" s="7">
        <f t="shared" si="561"/>
        <v>2036</v>
      </c>
      <c r="T2069" s="1318">
        <f t="shared" si="562"/>
        <v>2036</v>
      </c>
      <c r="U2069" s="83">
        <v>140</v>
      </c>
      <c r="V2069" s="1560">
        <f t="shared" si="563"/>
        <v>0.60003143171460005</v>
      </c>
    </row>
    <row r="2070" spans="3:22" s="7" customFormat="1" ht="15">
      <c r="C2070" s="6" t="s">
        <v>5110</v>
      </c>
      <c r="D2070" s="13" t="s">
        <v>5057</v>
      </c>
      <c r="E2070" s="18" t="s">
        <v>5113</v>
      </c>
      <c r="F2070" s="23"/>
      <c r="G2070" s="21"/>
      <c r="H2070" s="55"/>
      <c r="I2070" s="56"/>
      <c r="J2070" s="55"/>
      <c r="K2070" s="9"/>
      <c r="L2070" s="688"/>
      <c r="M2070" s="688"/>
      <c r="N2070" s="1833">
        <v>45987</v>
      </c>
      <c r="O2070" s="1946" t="s">
        <v>5154</v>
      </c>
      <c r="P2070" s="83"/>
      <c r="Q2070" s="83"/>
      <c r="S2070" s="7">
        <f t="shared" si="561"/>
        <v>0</v>
      </c>
      <c r="T2070" s="1318">
        <f t="shared" si="562"/>
        <v>0</v>
      </c>
      <c r="U2070" s="100"/>
    </row>
    <row r="2071" spans="3:22" s="7" customFormat="1" ht="18" customHeight="1">
      <c r="C2071" s="6" t="s">
        <v>5110</v>
      </c>
      <c r="D2071" s="13" t="s">
        <v>5057</v>
      </c>
      <c r="E2071" s="21">
        <v>8005</v>
      </c>
      <c r="F2071" s="1921">
        <v>50</v>
      </c>
      <c r="G2071" s="203" t="s">
        <v>258</v>
      </c>
      <c r="H2071" s="1922">
        <v>10</v>
      </c>
      <c r="I2071" s="1923">
        <v>1</v>
      </c>
      <c r="J2071" s="55">
        <f t="shared" ref="J2071" si="564">H2071*I2071</f>
        <v>10</v>
      </c>
      <c r="K2071" s="1924">
        <v>49.53</v>
      </c>
      <c r="L2071" s="598">
        <f t="shared" ref="L2071" si="565">I2071*K2071</f>
        <v>49.53</v>
      </c>
      <c r="M2071" s="97" t="s">
        <v>224</v>
      </c>
      <c r="N2071" s="1818">
        <v>45987</v>
      </c>
      <c r="O2071" s="1946" t="s">
        <v>5154</v>
      </c>
      <c r="P2071" s="83">
        <v>3120</v>
      </c>
      <c r="Q2071" s="83">
        <f t="shared" ref="Q2071" si="566">P2071*I2071</f>
        <v>3120</v>
      </c>
      <c r="S2071" s="7">
        <f t="shared" si="561"/>
        <v>3120</v>
      </c>
      <c r="T2071" s="1318">
        <f t="shared" si="562"/>
        <v>3120</v>
      </c>
      <c r="U2071" s="83">
        <v>140</v>
      </c>
      <c r="V2071" s="1560">
        <f t="shared" ref="V2071" si="567">(((K2071*U2071)-P2071)/(K2071*U2071))</f>
        <v>0.55005624296962874</v>
      </c>
    </row>
    <row r="2072" spans="3:22" s="7" customFormat="1" ht="15">
      <c r="C2072" s="6" t="s">
        <v>5110</v>
      </c>
      <c r="D2072" s="13" t="s">
        <v>5057</v>
      </c>
      <c r="E2072" s="18" t="s">
        <v>5114</v>
      </c>
      <c r="F2072" s="23"/>
      <c r="G2072" s="21"/>
      <c r="H2072" s="55"/>
      <c r="I2072" s="56"/>
      <c r="J2072" s="55"/>
      <c r="K2072" s="9"/>
      <c r="L2072" s="688"/>
      <c r="M2072" s="688"/>
      <c r="N2072" s="1833">
        <v>45987</v>
      </c>
      <c r="O2072" s="1946" t="s">
        <v>5154</v>
      </c>
      <c r="P2072" s="83"/>
      <c r="Q2072" s="83"/>
      <c r="S2072" s="7">
        <f t="shared" ref="S2072:S2073" si="568">P2072</f>
        <v>0</v>
      </c>
      <c r="T2072" s="1318">
        <f t="shared" ref="T2072:T2073" si="569">Q2072</f>
        <v>0</v>
      </c>
      <c r="U2072" s="100"/>
    </row>
    <row r="2073" spans="3:22" s="7" customFormat="1" ht="18" customHeight="1">
      <c r="C2073" s="6" t="s">
        <v>5110</v>
      </c>
      <c r="D2073" s="13" t="s">
        <v>5057</v>
      </c>
      <c r="E2073" s="21" t="s">
        <v>5115</v>
      </c>
      <c r="F2073" s="1921">
        <v>50</v>
      </c>
      <c r="G2073" s="203" t="s">
        <v>5126</v>
      </c>
      <c r="H2073" s="1922">
        <v>30</v>
      </c>
      <c r="I2073" s="1923">
        <v>1</v>
      </c>
      <c r="J2073" s="55">
        <f t="shared" ref="J2073" si="570">H2073*I2073</f>
        <v>30</v>
      </c>
      <c r="K2073" s="1924">
        <v>77.040000000000006</v>
      </c>
      <c r="L2073" s="598">
        <f t="shared" ref="L2073" si="571">I2073*K2073</f>
        <v>77.040000000000006</v>
      </c>
      <c r="M2073" s="97" t="s">
        <v>224</v>
      </c>
      <c r="N2073" s="1818">
        <v>45987</v>
      </c>
      <c r="O2073" s="1946" t="s">
        <v>5154</v>
      </c>
      <c r="P2073" s="83">
        <v>4853</v>
      </c>
      <c r="Q2073" s="83">
        <f t="shared" ref="Q2073" si="572">P2073*I2073</f>
        <v>4853</v>
      </c>
      <c r="S2073" s="7">
        <f t="shared" si="568"/>
        <v>4853</v>
      </c>
      <c r="T2073" s="1318">
        <f t="shared" si="569"/>
        <v>4853</v>
      </c>
      <c r="U2073" s="83">
        <v>140</v>
      </c>
      <c r="V2073" s="1560">
        <f t="shared" ref="V2073" si="573">(((K2073*U2073)-P2073)/(K2073*U2073))</f>
        <v>0.55004821243139002</v>
      </c>
    </row>
    <row r="2074" spans="3:22" s="7" customFormat="1" ht="18" customHeight="1">
      <c r="C2074" s="6" t="s">
        <v>5110</v>
      </c>
      <c r="D2074" s="13" t="s">
        <v>5057</v>
      </c>
      <c r="E2074" s="21" t="s">
        <v>5115</v>
      </c>
      <c r="F2074" s="1921">
        <v>50</v>
      </c>
      <c r="G2074" s="203" t="s">
        <v>5127</v>
      </c>
      <c r="H2074" s="1922">
        <v>30</v>
      </c>
      <c r="I2074" s="1923">
        <v>1</v>
      </c>
      <c r="J2074" s="55">
        <f t="shared" ref="J2074:J2076" si="574">H2074*I2074</f>
        <v>30</v>
      </c>
      <c r="K2074" s="1924">
        <v>77.040000000000006</v>
      </c>
      <c r="L2074" s="598">
        <f t="shared" ref="L2074:L2076" si="575">I2074*K2074</f>
        <v>77.040000000000006</v>
      </c>
      <c r="M2074" s="97" t="s">
        <v>224</v>
      </c>
      <c r="N2074" s="1818">
        <v>45987</v>
      </c>
      <c r="O2074" s="1946" t="s">
        <v>5154</v>
      </c>
      <c r="P2074" s="83">
        <v>4853</v>
      </c>
      <c r="Q2074" s="83">
        <f t="shared" ref="Q2074:Q2076" si="576">P2074*I2074</f>
        <v>4853</v>
      </c>
      <c r="S2074" s="7">
        <f t="shared" ref="S2074:S2078" si="577">P2074</f>
        <v>4853</v>
      </c>
      <c r="T2074" s="1318">
        <f t="shared" ref="T2074:T2078" si="578">Q2074</f>
        <v>4853</v>
      </c>
      <c r="U2074" s="83">
        <v>140</v>
      </c>
      <c r="V2074" s="1560">
        <f t="shared" ref="V2074:V2076" si="579">(((K2074*U2074)-P2074)/(K2074*U2074))</f>
        <v>0.55004821243139002</v>
      </c>
    </row>
    <row r="2075" spans="3:22" s="7" customFormat="1" ht="18" customHeight="1">
      <c r="C2075" s="6" t="s">
        <v>5110</v>
      </c>
      <c r="D2075" s="13" t="s">
        <v>5057</v>
      </c>
      <c r="E2075" s="21" t="s">
        <v>5115</v>
      </c>
      <c r="F2075" s="1921">
        <v>50</v>
      </c>
      <c r="G2075" s="203" t="s">
        <v>5128</v>
      </c>
      <c r="H2075" s="1922">
        <v>30</v>
      </c>
      <c r="I2075" s="1923">
        <v>1</v>
      </c>
      <c r="J2075" s="55">
        <f t="shared" si="574"/>
        <v>30</v>
      </c>
      <c r="K2075" s="1924">
        <v>77.040000000000006</v>
      </c>
      <c r="L2075" s="598">
        <f t="shared" si="575"/>
        <v>77.040000000000006</v>
      </c>
      <c r="M2075" s="97" t="s">
        <v>224</v>
      </c>
      <c r="N2075" s="1818">
        <v>45987</v>
      </c>
      <c r="O2075" s="1946" t="s">
        <v>5154</v>
      </c>
      <c r="P2075" s="83">
        <v>4853</v>
      </c>
      <c r="Q2075" s="83">
        <f t="shared" si="576"/>
        <v>4853</v>
      </c>
      <c r="S2075" s="7">
        <f t="shared" si="577"/>
        <v>4853</v>
      </c>
      <c r="T2075" s="1318">
        <f t="shared" si="578"/>
        <v>4853</v>
      </c>
      <c r="U2075" s="83">
        <v>140</v>
      </c>
      <c r="V2075" s="1560">
        <f t="shared" si="579"/>
        <v>0.55004821243139002</v>
      </c>
    </row>
    <row r="2076" spans="3:22" s="7" customFormat="1" ht="18" customHeight="1">
      <c r="C2076" s="6" t="s">
        <v>5110</v>
      </c>
      <c r="D2076" s="13" t="s">
        <v>5057</v>
      </c>
      <c r="E2076" s="21" t="s">
        <v>5115</v>
      </c>
      <c r="F2076" s="1921">
        <v>50</v>
      </c>
      <c r="G2076" s="203" t="s">
        <v>5129</v>
      </c>
      <c r="H2076" s="1922">
        <v>30</v>
      </c>
      <c r="I2076" s="1923">
        <v>1</v>
      </c>
      <c r="J2076" s="55">
        <f t="shared" si="574"/>
        <v>30</v>
      </c>
      <c r="K2076" s="1924">
        <v>77.040000000000006</v>
      </c>
      <c r="L2076" s="598">
        <f t="shared" si="575"/>
        <v>77.040000000000006</v>
      </c>
      <c r="M2076" s="97" t="s">
        <v>224</v>
      </c>
      <c r="N2076" s="1818">
        <v>45987</v>
      </c>
      <c r="O2076" s="1946" t="s">
        <v>5154</v>
      </c>
      <c r="P2076" s="83">
        <v>4853</v>
      </c>
      <c r="Q2076" s="83">
        <f t="shared" si="576"/>
        <v>4853</v>
      </c>
      <c r="S2076" s="7">
        <f t="shared" si="577"/>
        <v>4853</v>
      </c>
      <c r="T2076" s="1318">
        <f t="shared" si="578"/>
        <v>4853</v>
      </c>
      <c r="U2076" s="83">
        <v>140</v>
      </c>
      <c r="V2076" s="1560">
        <f t="shared" si="579"/>
        <v>0.55004821243139002</v>
      </c>
    </row>
    <row r="2077" spans="3:22" s="7" customFormat="1" ht="15">
      <c r="C2077" s="6" t="s">
        <v>5110</v>
      </c>
      <c r="D2077" s="13" t="s">
        <v>5057</v>
      </c>
      <c r="E2077" s="18" t="s">
        <v>5116</v>
      </c>
      <c r="F2077" s="23"/>
      <c r="G2077" s="21"/>
      <c r="H2077" s="55"/>
      <c r="I2077" s="56"/>
      <c r="J2077" s="55"/>
      <c r="K2077" s="9"/>
      <c r="L2077" s="688"/>
      <c r="M2077" s="688"/>
      <c r="N2077" s="1833">
        <v>45987</v>
      </c>
      <c r="O2077" s="1946" t="s">
        <v>5154</v>
      </c>
      <c r="P2077" s="83"/>
      <c r="Q2077" s="83"/>
      <c r="S2077" s="7">
        <f t="shared" si="577"/>
        <v>0</v>
      </c>
      <c r="T2077" s="1318">
        <f t="shared" si="578"/>
        <v>0</v>
      </c>
      <c r="U2077" s="100"/>
    </row>
    <row r="2078" spans="3:22" s="7" customFormat="1" ht="18" customHeight="1">
      <c r="C2078" s="6" t="s">
        <v>5110</v>
      </c>
      <c r="D2078" s="13" t="s">
        <v>5057</v>
      </c>
      <c r="E2078" s="21">
        <v>3770</v>
      </c>
      <c r="F2078" s="1921">
        <v>25</v>
      </c>
      <c r="G2078" s="203" t="s">
        <v>5130</v>
      </c>
      <c r="H2078" s="1925">
        <v>20</v>
      </c>
      <c r="I2078" s="1923">
        <v>1</v>
      </c>
      <c r="J2078" s="55">
        <f t="shared" ref="J2078" si="580">H2078*I2078</f>
        <v>20</v>
      </c>
      <c r="K2078" s="1924">
        <v>27.78</v>
      </c>
      <c r="L2078" s="598">
        <f t="shared" ref="L2078" si="581">I2078*K2078</f>
        <v>27.78</v>
      </c>
      <c r="M2078" s="97" t="s">
        <v>224</v>
      </c>
      <c r="N2078" s="1818">
        <v>45987</v>
      </c>
      <c r="O2078" s="1946" t="s">
        <v>5154</v>
      </c>
      <c r="P2078" s="83">
        <v>1750</v>
      </c>
      <c r="Q2078" s="83">
        <f t="shared" ref="Q2078" si="582">P2078*I2078</f>
        <v>1750</v>
      </c>
      <c r="S2078" s="7">
        <f t="shared" si="577"/>
        <v>1750</v>
      </c>
      <c r="T2078" s="1318">
        <f t="shared" si="578"/>
        <v>1750</v>
      </c>
      <c r="U2078" s="83">
        <v>140</v>
      </c>
      <c r="V2078" s="1560">
        <f t="shared" ref="V2078" si="583">(((K2078*U2078)-P2078)/(K2078*U2078))</f>
        <v>0.55003599712023044</v>
      </c>
    </row>
    <row r="2079" spans="3:22" s="7" customFormat="1" ht="18" customHeight="1">
      <c r="C2079" s="6" t="s">
        <v>5110</v>
      </c>
      <c r="D2079" s="13" t="s">
        <v>5057</v>
      </c>
      <c r="E2079" s="21">
        <v>3770</v>
      </c>
      <c r="F2079" s="1921">
        <v>25</v>
      </c>
      <c r="G2079" s="203" t="s">
        <v>5131</v>
      </c>
      <c r="H2079" s="1925">
        <v>20</v>
      </c>
      <c r="I2079" s="1923">
        <v>1</v>
      </c>
      <c r="J2079" s="55">
        <f t="shared" ref="J2079:J2080" si="584">H2079*I2079</f>
        <v>20</v>
      </c>
      <c r="K2079" s="1924">
        <v>27.78</v>
      </c>
      <c r="L2079" s="598">
        <f t="shared" ref="L2079:L2080" si="585">I2079*K2079</f>
        <v>27.78</v>
      </c>
      <c r="M2079" s="97" t="s">
        <v>224</v>
      </c>
      <c r="N2079" s="1818">
        <v>45987</v>
      </c>
      <c r="O2079" s="1946" t="s">
        <v>5154</v>
      </c>
      <c r="P2079" s="83">
        <v>1750</v>
      </c>
      <c r="Q2079" s="83">
        <f t="shared" ref="Q2079:Q2080" si="586">P2079*I2079</f>
        <v>1750</v>
      </c>
      <c r="S2079" s="7">
        <f t="shared" ref="S2079:S2082" si="587">P2079</f>
        <v>1750</v>
      </c>
      <c r="T2079" s="1318">
        <f t="shared" ref="T2079:T2082" si="588">Q2079</f>
        <v>1750</v>
      </c>
      <c r="U2079" s="83">
        <v>140</v>
      </c>
      <c r="V2079" s="1560">
        <f t="shared" ref="V2079:V2080" si="589">(((K2079*U2079)-P2079)/(K2079*U2079))</f>
        <v>0.55003599712023044</v>
      </c>
    </row>
    <row r="2080" spans="3:22" s="7" customFormat="1" ht="18" customHeight="1">
      <c r="C2080" s="6" t="s">
        <v>5110</v>
      </c>
      <c r="D2080" s="13" t="s">
        <v>5057</v>
      </c>
      <c r="E2080" s="21">
        <v>3770</v>
      </c>
      <c r="F2080" s="1921">
        <v>25</v>
      </c>
      <c r="G2080" s="203" t="s">
        <v>5132</v>
      </c>
      <c r="H2080" s="1925">
        <v>20</v>
      </c>
      <c r="I2080" s="1923">
        <v>1</v>
      </c>
      <c r="J2080" s="55">
        <f t="shared" si="584"/>
        <v>20</v>
      </c>
      <c r="K2080" s="1924">
        <v>27.78</v>
      </c>
      <c r="L2080" s="598">
        <f t="shared" si="585"/>
        <v>27.78</v>
      </c>
      <c r="M2080" s="97" t="s">
        <v>224</v>
      </c>
      <c r="N2080" s="1818">
        <v>45987</v>
      </c>
      <c r="O2080" s="1946" t="s">
        <v>5154</v>
      </c>
      <c r="P2080" s="83">
        <v>1750</v>
      </c>
      <c r="Q2080" s="83">
        <f t="shared" si="586"/>
        <v>1750</v>
      </c>
      <c r="S2080" s="7">
        <f t="shared" si="587"/>
        <v>1750</v>
      </c>
      <c r="T2080" s="1318">
        <f t="shared" si="588"/>
        <v>1750</v>
      </c>
      <c r="U2080" s="83">
        <v>140</v>
      </c>
      <c r="V2080" s="1560">
        <f t="shared" si="589"/>
        <v>0.55003599712023044</v>
      </c>
    </row>
    <row r="2081" spans="1:26" s="7" customFormat="1" ht="15">
      <c r="C2081" s="6" t="s">
        <v>5110</v>
      </c>
      <c r="D2081" s="13" t="s">
        <v>5057</v>
      </c>
      <c r="E2081" s="18" t="s">
        <v>5116</v>
      </c>
      <c r="F2081" s="23"/>
      <c r="G2081" s="21"/>
      <c r="H2081" s="55"/>
      <c r="I2081" s="56"/>
      <c r="J2081" s="55"/>
      <c r="K2081" s="9"/>
      <c r="L2081" s="688"/>
      <c r="M2081" s="688"/>
      <c r="N2081" s="1833">
        <v>45987</v>
      </c>
      <c r="O2081" s="1946" t="s">
        <v>5154</v>
      </c>
      <c r="P2081" s="83"/>
      <c r="Q2081" s="83"/>
      <c r="S2081" s="7">
        <f t="shared" si="587"/>
        <v>0</v>
      </c>
      <c r="T2081" s="1318">
        <f t="shared" si="588"/>
        <v>0</v>
      </c>
      <c r="U2081" s="100"/>
    </row>
    <row r="2082" spans="1:26" s="7" customFormat="1" ht="18" customHeight="1">
      <c r="C2082" s="6" t="s">
        <v>5110</v>
      </c>
      <c r="D2082" s="13" t="s">
        <v>5057</v>
      </c>
      <c r="E2082" s="21">
        <v>3780</v>
      </c>
      <c r="F2082" s="1921">
        <v>15</v>
      </c>
      <c r="G2082" s="203" t="s">
        <v>5120</v>
      </c>
      <c r="H2082" s="1925">
        <v>20</v>
      </c>
      <c r="I2082" s="1923">
        <v>1</v>
      </c>
      <c r="J2082" s="55">
        <f t="shared" ref="J2082" si="590">H2082*I2082</f>
        <v>20</v>
      </c>
      <c r="K2082" s="1924">
        <v>17.86</v>
      </c>
      <c r="L2082" s="598">
        <f t="shared" ref="L2082" si="591">I2082*K2082</f>
        <v>17.86</v>
      </c>
      <c r="M2082" s="97" t="s">
        <v>224</v>
      </c>
      <c r="N2082" s="1818">
        <v>45987</v>
      </c>
      <c r="O2082" s="1946" t="s">
        <v>5154</v>
      </c>
      <c r="P2082" s="83">
        <v>1125</v>
      </c>
      <c r="Q2082" s="83">
        <f t="shared" ref="Q2082" si="592">P2082*I2082</f>
        <v>1125</v>
      </c>
      <c r="S2082" s="7">
        <f t="shared" si="587"/>
        <v>1125</v>
      </c>
      <c r="T2082" s="1318">
        <f t="shared" si="588"/>
        <v>1125</v>
      </c>
      <c r="U2082" s="83">
        <v>140</v>
      </c>
      <c r="V2082" s="1560">
        <f t="shared" ref="V2082" si="593">(((K2082*U2082)-P2082)/(K2082*U2082))</f>
        <v>0.55007198848184291</v>
      </c>
    </row>
    <row r="2083" spans="1:26" s="7" customFormat="1" ht="18" customHeight="1">
      <c r="C2083" s="6" t="s">
        <v>5110</v>
      </c>
      <c r="D2083" s="13" t="s">
        <v>5057</v>
      </c>
      <c r="E2083" s="21">
        <v>3780</v>
      </c>
      <c r="F2083" s="1921">
        <v>15</v>
      </c>
      <c r="G2083" s="203" t="s">
        <v>5133</v>
      </c>
      <c r="H2083" s="1925">
        <v>20</v>
      </c>
      <c r="I2083" s="1923">
        <v>1</v>
      </c>
      <c r="J2083" s="55">
        <f t="shared" ref="J2083" si="594">H2083*I2083</f>
        <v>20</v>
      </c>
      <c r="K2083" s="1924">
        <v>17.86</v>
      </c>
      <c r="L2083" s="598">
        <f t="shared" ref="L2083" si="595">I2083*K2083</f>
        <v>17.86</v>
      </c>
      <c r="M2083" s="97" t="s">
        <v>224</v>
      </c>
      <c r="N2083" s="1818">
        <v>45987</v>
      </c>
      <c r="O2083" s="1946" t="s">
        <v>5154</v>
      </c>
      <c r="P2083" s="83">
        <v>1125</v>
      </c>
      <c r="Q2083" s="83">
        <f t="shared" ref="Q2083" si="596">P2083*I2083</f>
        <v>1125</v>
      </c>
      <c r="S2083" s="7">
        <f t="shared" ref="S2083:S2090" si="597">P2083</f>
        <v>1125</v>
      </c>
      <c r="T2083" s="1318">
        <f t="shared" ref="T2083:T2090" si="598">Q2083</f>
        <v>1125</v>
      </c>
      <c r="U2083" s="83">
        <v>140</v>
      </c>
      <c r="V2083" s="1560">
        <f t="shared" ref="V2083" si="599">(((K2083*U2083)-P2083)/(K2083*U2083))</f>
        <v>0.55007198848184291</v>
      </c>
    </row>
    <row r="2084" spans="1:26" s="7" customFormat="1" ht="15">
      <c r="C2084" s="6" t="s">
        <v>5110</v>
      </c>
      <c r="D2084" s="13" t="s">
        <v>5057</v>
      </c>
      <c r="E2084" s="18" t="s">
        <v>5117</v>
      </c>
      <c r="F2084" s="23"/>
      <c r="G2084" s="21"/>
      <c r="H2084" s="55"/>
      <c r="I2084" s="56"/>
      <c r="J2084" s="55"/>
      <c r="K2084" s="9"/>
      <c r="L2084" s="688"/>
      <c r="M2084" s="688"/>
      <c r="N2084" s="1833">
        <v>45987</v>
      </c>
      <c r="O2084" s="1946" t="s">
        <v>5154</v>
      </c>
      <c r="P2084" s="83"/>
      <c r="Q2084" s="83"/>
      <c r="S2084" s="7">
        <f t="shared" si="597"/>
        <v>0</v>
      </c>
      <c r="T2084" s="1318">
        <f t="shared" si="598"/>
        <v>0</v>
      </c>
      <c r="U2084" s="100"/>
    </row>
    <row r="2085" spans="1:26" s="7" customFormat="1" ht="18" customHeight="1">
      <c r="C2085" s="6" t="s">
        <v>5110</v>
      </c>
      <c r="D2085" s="13" t="s">
        <v>5057</v>
      </c>
      <c r="E2085" s="21">
        <v>1453</v>
      </c>
      <c r="F2085" s="1921">
        <v>33</v>
      </c>
      <c r="G2085" s="203" t="s">
        <v>5134</v>
      </c>
      <c r="H2085" s="1925">
        <v>30</v>
      </c>
      <c r="I2085" s="1923">
        <v>1</v>
      </c>
      <c r="J2085" s="55">
        <f t="shared" ref="J2085:J2088" si="600">H2085*I2085</f>
        <v>30</v>
      </c>
      <c r="K2085" s="1924">
        <v>38.94</v>
      </c>
      <c r="L2085" s="598">
        <f t="shared" ref="L2085:L2088" si="601">I2085*K2085</f>
        <v>38.94</v>
      </c>
      <c r="M2085" s="97" t="s">
        <v>224</v>
      </c>
      <c r="N2085" s="1818">
        <v>45987</v>
      </c>
      <c r="O2085" s="1946" t="s">
        <v>5154</v>
      </c>
      <c r="P2085" s="83">
        <v>2453</v>
      </c>
      <c r="Q2085" s="83">
        <f t="shared" ref="Q2085:Q2088" si="602">P2085*I2085</f>
        <v>2453</v>
      </c>
      <c r="S2085" s="7">
        <f t="shared" si="597"/>
        <v>2453</v>
      </c>
      <c r="T2085" s="1318">
        <f t="shared" si="598"/>
        <v>2453</v>
      </c>
      <c r="U2085" s="83">
        <v>140</v>
      </c>
      <c r="V2085" s="1560">
        <f t="shared" ref="V2085:V2090" si="603">(((K2085*U2085)-P2085)/(K2085*U2085))</f>
        <v>0.55004035512510085</v>
      </c>
    </row>
    <row r="2086" spans="1:26" s="7" customFormat="1" ht="18" customHeight="1">
      <c r="C2086" s="6" t="s">
        <v>5110</v>
      </c>
      <c r="D2086" s="13" t="s">
        <v>5057</v>
      </c>
      <c r="E2086" s="21">
        <v>1453</v>
      </c>
      <c r="F2086" s="1921">
        <v>33</v>
      </c>
      <c r="G2086" s="203" t="s">
        <v>5135</v>
      </c>
      <c r="H2086" s="1925">
        <v>30</v>
      </c>
      <c r="I2086" s="1923">
        <v>1</v>
      </c>
      <c r="J2086" s="55">
        <f t="shared" si="600"/>
        <v>30</v>
      </c>
      <c r="K2086" s="1924">
        <v>38.94</v>
      </c>
      <c r="L2086" s="598">
        <f t="shared" si="601"/>
        <v>38.94</v>
      </c>
      <c r="M2086" s="97" t="s">
        <v>224</v>
      </c>
      <c r="N2086" s="1818">
        <v>45987</v>
      </c>
      <c r="O2086" s="1946" t="s">
        <v>5154</v>
      </c>
      <c r="P2086" s="83">
        <v>2453</v>
      </c>
      <c r="Q2086" s="83">
        <f t="shared" si="602"/>
        <v>2453</v>
      </c>
      <c r="S2086" s="7">
        <f t="shared" si="597"/>
        <v>2453</v>
      </c>
      <c r="T2086" s="1318">
        <f t="shared" si="598"/>
        <v>2453</v>
      </c>
      <c r="U2086" s="83">
        <v>140</v>
      </c>
      <c r="V2086" s="1560">
        <f t="shared" si="603"/>
        <v>0.55004035512510085</v>
      </c>
    </row>
    <row r="2087" spans="1:26" s="7" customFormat="1" ht="18" customHeight="1">
      <c r="C2087" s="6" t="s">
        <v>5110</v>
      </c>
      <c r="D2087" s="13" t="s">
        <v>5057</v>
      </c>
      <c r="E2087" s="21">
        <v>1453</v>
      </c>
      <c r="F2087" s="1921">
        <v>33</v>
      </c>
      <c r="G2087" s="203" t="s">
        <v>5136</v>
      </c>
      <c r="H2087" s="1925">
        <v>30</v>
      </c>
      <c r="I2087" s="1923">
        <v>1</v>
      </c>
      <c r="J2087" s="55">
        <f t="shared" si="600"/>
        <v>30</v>
      </c>
      <c r="K2087" s="1924">
        <v>38.94</v>
      </c>
      <c r="L2087" s="598">
        <f t="shared" si="601"/>
        <v>38.94</v>
      </c>
      <c r="M2087" s="97" t="s">
        <v>224</v>
      </c>
      <c r="N2087" s="1818">
        <v>45987</v>
      </c>
      <c r="O2087" s="1946" t="s">
        <v>5154</v>
      </c>
      <c r="P2087" s="83">
        <v>2453</v>
      </c>
      <c r="Q2087" s="83">
        <f t="shared" si="602"/>
        <v>2453</v>
      </c>
      <c r="S2087" s="7">
        <f t="shared" si="597"/>
        <v>2453</v>
      </c>
      <c r="T2087" s="1318">
        <f t="shared" si="598"/>
        <v>2453</v>
      </c>
      <c r="U2087" s="83">
        <v>140</v>
      </c>
      <c r="V2087" s="1560">
        <f t="shared" si="603"/>
        <v>0.55004035512510085</v>
      </c>
    </row>
    <row r="2088" spans="1:26" s="7" customFormat="1" ht="18" customHeight="1">
      <c r="C2088" s="6" t="s">
        <v>5110</v>
      </c>
      <c r="D2088" s="13" t="s">
        <v>5057</v>
      </c>
      <c r="E2088" s="21">
        <v>1453</v>
      </c>
      <c r="F2088" s="1921">
        <v>33</v>
      </c>
      <c r="G2088" s="203" t="s">
        <v>5137</v>
      </c>
      <c r="H2088" s="1925">
        <v>30</v>
      </c>
      <c r="I2088" s="1923">
        <v>1</v>
      </c>
      <c r="J2088" s="55">
        <f t="shared" si="600"/>
        <v>30</v>
      </c>
      <c r="K2088" s="1924">
        <v>38.94</v>
      </c>
      <c r="L2088" s="598">
        <f t="shared" si="601"/>
        <v>38.94</v>
      </c>
      <c r="M2088" s="97" t="s">
        <v>224</v>
      </c>
      <c r="N2088" s="1818">
        <v>45987</v>
      </c>
      <c r="O2088" s="1946" t="s">
        <v>5154</v>
      </c>
      <c r="P2088" s="83">
        <v>2453</v>
      </c>
      <c r="Q2088" s="83">
        <f t="shared" si="602"/>
        <v>2453</v>
      </c>
      <c r="S2088" s="7">
        <f t="shared" si="597"/>
        <v>2453</v>
      </c>
      <c r="T2088" s="1318">
        <f t="shared" si="598"/>
        <v>2453</v>
      </c>
      <c r="U2088" s="83">
        <v>140</v>
      </c>
      <c r="V2088" s="1560">
        <f t="shared" si="603"/>
        <v>0.55004035512510085</v>
      </c>
    </row>
    <row r="2089" spans="1:26" ht="18" customHeight="1">
      <c r="C2089" s="6" t="s">
        <v>5110</v>
      </c>
      <c r="D2089" s="13" t="s">
        <v>5057</v>
      </c>
      <c r="E2089" s="16" t="s">
        <v>84</v>
      </c>
      <c r="F2089" s="253"/>
      <c r="G2089" s="237"/>
      <c r="H2089" s="238" t="s">
        <v>265</v>
      </c>
      <c r="I2089" s="254"/>
      <c r="J2089" s="255"/>
      <c r="K2089" s="9"/>
      <c r="L2089" s="115"/>
      <c r="M2089" s="33"/>
      <c r="N2089" s="1818">
        <v>45987</v>
      </c>
      <c r="O2089" s="1946" t="s">
        <v>5154</v>
      </c>
      <c r="P2089" s="83"/>
      <c r="Q2089" s="83"/>
      <c r="R2089" s="7"/>
      <c r="S2089" s="7">
        <f t="shared" si="597"/>
        <v>0</v>
      </c>
      <c r="T2089" s="1318">
        <f t="shared" si="598"/>
        <v>0</v>
      </c>
      <c r="U2089" s="83">
        <v>140</v>
      </c>
      <c r="V2089" s="1560" t="e">
        <f t="shared" si="603"/>
        <v>#DIV/0!</v>
      </c>
      <c r="W2089" s="7"/>
      <c r="X2089" s="7"/>
      <c r="Y2089" s="7"/>
      <c r="Z2089" s="7"/>
    </row>
    <row r="2090" spans="1:26" ht="18" customHeight="1">
      <c r="C2090" s="6" t="s">
        <v>5110</v>
      </c>
      <c r="D2090" s="13" t="s">
        <v>5057</v>
      </c>
      <c r="E2090" s="21">
        <v>14552</v>
      </c>
      <c r="F2090" s="134">
        <v>75</v>
      </c>
      <c r="G2090" s="203" t="s">
        <v>5138</v>
      </c>
      <c r="H2090" s="1922">
        <v>30</v>
      </c>
      <c r="I2090" s="1923">
        <v>1</v>
      </c>
      <c r="J2090" s="55">
        <f t="shared" ref="J2090" si="604">H2090*I2090</f>
        <v>30</v>
      </c>
      <c r="K2090" s="611">
        <v>126.67</v>
      </c>
      <c r="L2090" s="598">
        <f>I2090*K2090</f>
        <v>126.67</v>
      </c>
      <c r="M2090" s="97" t="s">
        <v>257</v>
      </c>
      <c r="N2090" s="1818">
        <v>45987</v>
      </c>
      <c r="O2090" s="1946" t="s">
        <v>5154</v>
      </c>
      <c r="P2090" s="83">
        <v>7980</v>
      </c>
      <c r="Q2090" s="83">
        <f>P2090*I2090</f>
        <v>7980</v>
      </c>
      <c r="S2090" s="7">
        <f t="shared" si="597"/>
        <v>7980</v>
      </c>
      <c r="T2090" s="1318">
        <f t="shared" si="598"/>
        <v>7980</v>
      </c>
      <c r="U2090" s="83">
        <v>140</v>
      </c>
      <c r="V2090" s="1560">
        <f t="shared" si="603"/>
        <v>0.55001184179363705</v>
      </c>
    </row>
    <row r="2091" spans="1:26" ht="18" customHeight="1">
      <c r="C2091" s="6" t="s">
        <v>5110</v>
      </c>
      <c r="D2091" s="13" t="s">
        <v>5057</v>
      </c>
      <c r="E2091" s="21">
        <v>14552</v>
      </c>
      <c r="F2091" s="134">
        <v>100</v>
      </c>
      <c r="G2091" s="203" t="s">
        <v>5120</v>
      </c>
      <c r="H2091" s="1922">
        <v>30</v>
      </c>
      <c r="I2091" s="1923">
        <v>1</v>
      </c>
      <c r="J2091" s="55">
        <f t="shared" ref="J2091" si="605">H2091*I2091</f>
        <v>30</v>
      </c>
      <c r="K2091" s="611">
        <v>193</v>
      </c>
      <c r="L2091" s="598">
        <f>I2091*K2091</f>
        <v>193</v>
      </c>
      <c r="M2091" s="97" t="s">
        <v>257</v>
      </c>
      <c r="N2091" s="1818">
        <v>45987</v>
      </c>
      <c r="O2091" s="1946" t="s">
        <v>5154</v>
      </c>
      <c r="P2091" s="83">
        <v>16170</v>
      </c>
      <c r="Q2091" s="83">
        <f>P2091*I2091</f>
        <v>16170</v>
      </c>
      <c r="S2091" s="7">
        <f t="shared" ref="S2091:S2096" si="606">P2091</f>
        <v>16170</v>
      </c>
      <c r="T2091" s="1318">
        <f t="shared" ref="T2091:T2096" si="607">Q2091</f>
        <v>16170</v>
      </c>
      <c r="U2091" s="83">
        <v>140</v>
      </c>
      <c r="V2091" s="1560">
        <f t="shared" ref="V2091" si="608">(((K2091*U2091)-P2091)/(K2091*U2091))</f>
        <v>0.4015544041450777</v>
      </c>
    </row>
    <row r="2092" spans="1:26" s="7" customFormat="1" ht="15">
      <c r="A2092" s="1"/>
      <c r="B2092" s="11"/>
      <c r="C2092" s="6" t="s">
        <v>5110</v>
      </c>
      <c r="D2092" s="13" t="s">
        <v>5057</v>
      </c>
      <c r="E2092" s="18" t="s">
        <v>264</v>
      </c>
      <c r="F2092" s="23"/>
      <c r="G2092" s="21"/>
      <c r="H2092" s="55"/>
      <c r="I2092" s="56"/>
      <c r="J2092" s="55"/>
      <c r="K2092" s="9"/>
      <c r="L2092" s="33"/>
      <c r="M2092" s="33"/>
      <c r="N2092" s="1818">
        <v>45987</v>
      </c>
      <c r="O2092" s="1946" t="s">
        <v>5154</v>
      </c>
      <c r="P2092" s="6" t="s">
        <v>3</v>
      </c>
      <c r="Q2092" s="1794"/>
      <c r="S2092" s="1795"/>
      <c r="T2092" s="83"/>
      <c r="U2092" s="1796"/>
      <c r="V2092" s="1452">
        <v>120</v>
      </c>
      <c r="W2092" s="1560" t="e">
        <f t="shared" ref="W2092" si="609">(((K2092*V2092)-S2092)/(K2092*V2092))</f>
        <v>#DIV/0!</v>
      </c>
    </row>
    <row r="2093" spans="1:26" s="7" customFormat="1" ht="18" customHeight="1">
      <c r="C2093" s="6" t="s">
        <v>5110</v>
      </c>
      <c r="D2093" s="13" t="s">
        <v>5057</v>
      </c>
      <c r="E2093" s="21">
        <v>11700</v>
      </c>
      <c r="F2093" s="596">
        <v>18</v>
      </c>
      <c r="G2093" s="21" t="s">
        <v>15</v>
      </c>
      <c r="H2093" s="93">
        <v>10</v>
      </c>
      <c r="I2093" s="94">
        <v>2</v>
      </c>
      <c r="J2093" s="55">
        <f t="shared" ref="J2093" si="610">H2093*I2093</f>
        <v>20</v>
      </c>
      <c r="K2093" s="611">
        <v>21.59</v>
      </c>
      <c r="L2093" s="598">
        <f t="shared" ref="L2093" si="611">I2093*K2093</f>
        <v>43.18</v>
      </c>
      <c r="M2093" s="97" t="s">
        <v>224</v>
      </c>
      <c r="N2093" s="1818">
        <v>45987</v>
      </c>
      <c r="O2093" s="1946" t="s">
        <v>5154</v>
      </c>
      <c r="P2093" s="83">
        <v>1360</v>
      </c>
      <c r="Q2093" s="83">
        <f t="shared" ref="Q2093" si="612">P2093*I2093</f>
        <v>2720</v>
      </c>
      <c r="S2093" s="7">
        <f t="shared" ref="S2093" si="613">P2093</f>
        <v>1360</v>
      </c>
      <c r="T2093" s="1318">
        <f t="shared" ref="T2093" si="614">Q2093</f>
        <v>2720</v>
      </c>
      <c r="U2093" s="83">
        <v>140</v>
      </c>
      <c r="V2093" s="1560">
        <f t="shared" ref="V2093" si="615">(((K2093*U2093)-P2093)/(K2093*U2093))</f>
        <v>0.55005624296962874</v>
      </c>
    </row>
    <row r="2094" spans="1:26" s="7" customFormat="1" ht="18" customHeight="1">
      <c r="C2094" s="6" t="s">
        <v>5110</v>
      </c>
      <c r="D2094" s="13" t="s">
        <v>5057</v>
      </c>
      <c r="E2094" s="21">
        <v>11700</v>
      </c>
      <c r="F2094" s="596">
        <v>18</v>
      </c>
      <c r="G2094" s="21" t="s">
        <v>81</v>
      </c>
      <c r="H2094" s="93">
        <v>10</v>
      </c>
      <c r="I2094" s="94">
        <v>2</v>
      </c>
      <c r="J2094" s="55">
        <f t="shared" ref="J2094" si="616">H2094*I2094</f>
        <v>20</v>
      </c>
      <c r="K2094" s="611">
        <v>21.59</v>
      </c>
      <c r="L2094" s="598">
        <f t="shared" ref="L2094" si="617">I2094*K2094</f>
        <v>43.18</v>
      </c>
      <c r="M2094" s="97" t="s">
        <v>224</v>
      </c>
      <c r="N2094" s="1818">
        <v>45987</v>
      </c>
      <c r="O2094" s="1946" t="s">
        <v>5154</v>
      </c>
      <c r="P2094" s="83">
        <v>1360</v>
      </c>
      <c r="Q2094" s="83">
        <f t="shared" ref="Q2094" si="618">P2094*I2094</f>
        <v>2720</v>
      </c>
      <c r="S2094" s="7">
        <f t="shared" ref="S2094" si="619">P2094</f>
        <v>1360</v>
      </c>
      <c r="T2094" s="1318">
        <f t="shared" ref="T2094" si="620">Q2094</f>
        <v>2720</v>
      </c>
      <c r="U2094" s="83">
        <v>140</v>
      </c>
      <c r="V2094" s="1560">
        <f t="shared" ref="V2094" si="621">(((K2094*U2094)-P2094)/(K2094*U2094))</f>
        <v>0.55005624296962874</v>
      </c>
    </row>
    <row r="2095" spans="1:26" ht="18.600000000000001" customHeight="1">
      <c r="C2095" s="116" t="s">
        <v>5110</v>
      </c>
      <c r="D2095" s="81" t="s">
        <v>5057</v>
      </c>
      <c r="E2095" s="126"/>
      <c r="F2095" s="36"/>
      <c r="G2095" s="36" t="s">
        <v>218</v>
      </c>
      <c r="H2095" s="37"/>
      <c r="I2095" s="166"/>
      <c r="J2095" s="37">
        <v>1</v>
      </c>
      <c r="K2095" s="724">
        <v>12</v>
      </c>
      <c r="L2095" s="1621">
        <v>0</v>
      </c>
      <c r="M2095" s="898"/>
      <c r="N2095" s="1818">
        <v>45987</v>
      </c>
      <c r="O2095" s="1946" t="s">
        <v>5154</v>
      </c>
      <c r="P2095" s="83">
        <f>1300+1000</f>
        <v>2300</v>
      </c>
      <c r="Q2095" s="83">
        <f>P2095*J2095</f>
        <v>2300</v>
      </c>
      <c r="S2095" s="7">
        <f t="shared" si="606"/>
        <v>2300</v>
      </c>
      <c r="T2095" s="1318">
        <f t="shared" si="607"/>
        <v>2300</v>
      </c>
      <c r="U2095" s="83">
        <v>140</v>
      </c>
      <c r="V2095" s="1560">
        <f>(((K2095*U2095)-P2095)/(K2095*U2095))</f>
        <v>-0.36904761904761907</v>
      </c>
    </row>
    <row r="2096" spans="1:26" s="159" customFormat="1" ht="18" customHeight="1">
      <c r="C2096" s="149" t="s">
        <v>5110</v>
      </c>
      <c r="D2096" s="150" t="s">
        <v>5057</v>
      </c>
      <c r="E2096" s="191"/>
      <c r="F2096" s="152"/>
      <c r="G2096" s="152" t="s">
        <v>4904</v>
      </c>
      <c r="H2096" s="154" t="s">
        <v>4903</v>
      </c>
      <c r="I2096" s="155"/>
      <c r="J2096" s="154">
        <v>1</v>
      </c>
      <c r="K2096" s="911">
        <v>0</v>
      </c>
      <c r="L2096" s="911">
        <v>0</v>
      </c>
      <c r="M2096" s="601"/>
      <c r="N2096" s="1948">
        <v>45987</v>
      </c>
      <c r="O2096" s="1947" t="s">
        <v>5154</v>
      </c>
      <c r="P2096" s="1870">
        <v>0</v>
      </c>
      <c r="Q2096" s="1870">
        <v>0</v>
      </c>
      <c r="S2096" s="83">
        <f t="shared" si="606"/>
        <v>0</v>
      </c>
      <c r="T2096" s="1455">
        <f t="shared" si="607"/>
        <v>0</v>
      </c>
      <c r="U2096" s="83">
        <v>125</v>
      </c>
      <c r="V2096" s="1560" t="e">
        <f t="shared" ref="V2096" si="622">(((K2096*U2096)-P2096)/(K2096*U2096))</f>
        <v>#DIV/0!</v>
      </c>
    </row>
    <row r="2097" spans="1:23" s="7" customFormat="1" ht="18" customHeight="1">
      <c r="C2097" s="6" t="s">
        <v>5146</v>
      </c>
      <c r="D2097" s="13" t="s">
        <v>1900</v>
      </c>
      <c r="E2097" s="18" t="s">
        <v>5049</v>
      </c>
      <c r="F2097" s="23"/>
      <c r="G2097" s="21"/>
      <c r="H2097" s="55"/>
      <c r="I2097" s="56"/>
      <c r="J2097" s="55"/>
      <c r="K2097" s="15" t="s">
        <v>8</v>
      </c>
      <c r="L2097" s="10"/>
      <c r="M2097" s="10"/>
      <c r="N2097" s="33">
        <v>46008</v>
      </c>
      <c r="O2097" s="32">
        <v>7700</v>
      </c>
      <c r="P2097" s="100"/>
      <c r="Q2097" s="100"/>
      <c r="T2097" s="1301"/>
      <c r="U2097" s="6" t="s">
        <v>3</v>
      </c>
    </row>
    <row r="2098" spans="1:23" s="7" customFormat="1" ht="15.75" customHeight="1">
      <c r="C2098" s="6" t="s">
        <v>5146</v>
      </c>
      <c r="D2098" s="13" t="s">
        <v>1900</v>
      </c>
      <c r="E2098" s="21" t="s">
        <v>5014</v>
      </c>
      <c r="F2098" s="13"/>
      <c r="G2098" s="21" t="s">
        <v>5000</v>
      </c>
      <c r="H2098" s="93"/>
      <c r="I2098" s="94"/>
      <c r="J2098" s="8">
        <v>350</v>
      </c>
      <c r="K2098" s="611">
        <v>1.46</v>
      </c>
      <c r="L2098" s="598">
        <f t="shared" ref="L2098:L2099" si="623">K2098*J2098</f>
        <v>511</v>
      </c>
      <c r="M2098" s="97" t="s">
        <v>224</v>
      </c>
      <c r="N2098" s="33">
        <v>46008</v>
      </c>
      <c r="O2098" s="32">
        <v>7700</v>
      </c>
      <c r="P2098" s="1895">
        <v>122</v>
      </c>
      <c r="Q2098" s="83">
        <f t="shared" ref="Q2098:Q2099" si="624">P2098*J2098</f>
        <v>42700</v>
      </c>
      <c r="R2098" s="7" t="s">
        <v>265</v>
      </c>
      <c r="S2098" s="7">
        <f t="shared" ref="S2098:S2099" si="625">P2098</f>
        <v>122</v>
      </c>
      <c r="T2098" s="1318">
        <f t="shared" ref="T2098:T2099" si="626">Q2098</f>
        <v>42700</v>
      </c>
      <c r="U2098" s="83">
        <v>140</v>
      </c>
      <c r="V2098" s="1560">
        <f t="shared" ref="V2098:V2099" si="627">(((K2098*U2098)-P2098)/(K2098*U2098))</f>
        <v>0.40313111545988262</v>
      </c>
    </row>
    <row r="2099" spans="1:23" s="7" customFormat="1" ht="15.75" customHeight="1">
      <c r="C2099" s="6" t="s">
        <v>5146</v>
      </c>
      <c r="D2099" s="13" t="s">
        <v>1900</v>
      </c>
      <c r="E2099" s="21" t="s">
        <v>5014</v>
      </c>
      <c r="F2099" s="13"/>
      <c r="G2099" s="21" t="s">
        <v>5053</v>
      </c>
      <c r="H2099" s="93"/>
      <c r="I2099" s="94"/>
      <c r="J2099" s="8">
        <v>350</v>
      </c>
      <c r="K2099" s="611">
        <v>2.04</v>
      </c>
      <c r="L2099" s="598">
        <f t="shared" si="623"/>
        <v>714</v>
      </c>
      <c r="M2099" s="97" t="s">
        <v>224</v>
      </c>
      <c r="N2099" s="33">
        <v>46008</v>
      </c>
      <c r="O2099" s="32">
        <v>7700</v>
      </c>
      <c r="P2099" s="1895">
        <v>171</v>
      </c>
      <c r="Q2099" s="83">
        <f t="shared" si="624"/>
        <v>59850</v>
      </c>
      <c r="R2099" s="7" t="s">
        <v>265</v>
      </c>
      <c r="S2099" s="7">
        <f t="shared" si="625"/>
        <v>171</v>
      </c>
      <c r="T2099" s="1318">
        <f t="shared" si="626"/>
        <v>59850</v>
      </c>
      <c r="U2099" s="83">
        <v>140</v>
      </c>
      <c r="V2099" s="1560">
        <f t="shared" si="627"/>
        <v>0.40126050420168075</v>
      </c>
    </row>
    <row r="2100" spans="1:23" s="7" customFormat="1" ht="18" customHeight="1">
      <c r="C2100" s="6" t="s">
        <v>5146</v>
      </c>
      <c r="D2100" s="13" t="s">
        <v>1900</v>
      </c>
      <c r="E2100" s="18" t="s">
        <v>5050</v>
      </c>
      <c r="F2100" s="23"/>
      <c r="G2100" s="21"/>
      <c r="H2100" s="55"/>
      <c r="I2100" s="56"/>
      <c r="J2100" s="55"/>
      <c r="K2100" s="15"/>
      <c r="L2100" s="10"/>
      <c r="M2100" s="10"/>
      <c r="N2100" s="33">
        <v>46008</v>
      </c>
      <c r="O2100" s="32">
        <v>7700</v>
      </c>
      <c r="P2100" s="1896"/>
      <c r="Q2100" s="100"/>
      <c r="T2100" s="1301"/>
      <c r="U2100" s="6" t="s">
        <v>3</v>
      </c>
    </row>
    <row r="2101" spans="1:23" s="7" customFormat="1" ht="15.75" customHeight="1">
      <c r="C2101" s="6" t="s">
        <v>5146</v>
      </c>
      <c r="D2101" s="13" t="s">
        <v>1900</v>
      </c>
      <c r="E2101" s="21" t="s">
        <v>5011</v>
      </c>
      <c r="F2101" s="13"/>
      <c r="G2101" s="21" t="s">
        <v>5000</v>
      </c>
      <c r="H2101" s="93"/>
      <c r="I2101" s="94"/>
      <c r="J2101" s="8">
        <v>250</v>
      </c>
      <c r="K2101" s="611">
        <v>1.75</v>
      </c>
      <c r="L2101" s="598">
        <f t="shared" ref="L2101:L2102" si="628">K2101*J2101</f>
        <v>437.5</v>
      </c>
      <c r="M2101" s="97" t="s">
        <v>224</v>
      </c>
      <c r="N2101" s="33">
        <v>46008</v>
      </c>
      <c r="O2101" s="32">
        <v>7700</v>
      </c>
      <c r="P2101" s="1895">
        <v>147</v>
      </c>
      <c r="Q2101" s="83">
        <f t="shared" ref="Q2101:Q2102" si="629">P2101*J2101</f>
        <v>36750</v>
      </c>
      <c r="R2101" s="7" t="s">
        <v>265</v>
      </c>
      <c r="S2101" s="7">
        <f t="shared" ref="S2101:S2107" si="630">P2101</f>
        <v>147</v>
      </c>
      <c r="T2101" s="1318">
        <f t="shared" ref="T2101:T2107" si="631">Q2101</f>
        <v>36750</v>
      </c>
      <c r="U2101" s="83">
        <v>140</v>
      </c>
      <c r="V2101" s="1560">
        <f t="shared" ref="V2101:V2103" si="632">(((K2101*U2101)-P2101)/(K2101*U2101))</f>
        <v>0.4</v>
      </c>
    </row>
    <row r="2102" spans="1:23" s="7" customFormat="1" ht="15.75" customHeight="1">
      <c r="C2102" s="6" t="s">
        <v>5146</v>
      </c>
      <c r="D2102" s="13" t="s">
        <v>1900</v>
      </c>
      <c r="E2102" s="21" t="s">
        <v>5011</v>
      </c>
      <c r="F2102" s="13"/>
      <c r="G2102" s="21" t="s">
        <v>5053</v>
      </c>
      <c r="H2102" s="93"/>
      <c r="I2102" s="94"/>
      <c r="J2102" s="8">
        <v>250</v>
      </c>
      <c r="K2102" s="611">
        <v>2.46</v>
      </c>
      <c r="L2102" s="598">
        <f t="shared" si="628"/>
        <v>615</v>
      </c>
      <c r="M2102" s="97" t="s">
        <v>224</v>
      </c>
      <c r="N2102" s="33">
        <v>46008</v>
      </c>
      <c r="O2102" s="32">
        <v>7700</v>
      </c>
      <c r="P2102" s="1895">
        <v>206</v>
      </c>
      <c r="Q2102" s="83">
        <f t="shared" si="629"/>
        <v>51500</v>
      </c>
      <c r="R2102" s="7" t="s">
        <v>265</v>
      </c>
      <c r="S2102" s="7">
        <f t="shared" si="630"/>
        <v>206</v>
      </c>
      <c r="T2102" s="1318">
        <f t="shared" si="631"/>
        <v>51500</v>
      </c>
      <c r="U2102" s="83">
        <v>140</v>
      </c>
      <c r="V2102" s="1560">
        <f t="shared" si="632"/>
        <v>0.40185830429732866</v>
      </c>
    </row>
    <row r="2103" spans="1:23" s="159" customFormat="1" ht="18" customHeight="1">
      <c r="C2103" s="149" t="s">
        <v>5146</v>
      </c>
      <c r="D2103" s="150" t="s">
        <v>1900</v>
      </c>
      <c r="E2103" s="191"/>
      <c r="F2103" s="152"/>
      <c r="G2103" s="152" t="s">
        <v>4904</v>
      </c>
      <c r="H2103" s="154" t="s">
        <v>4903</v>
      </c>
      <c r="I2103" s="155"/>
      <c r="J2103" s="154">
        <v>1</v>
      </c>
      <c r="K2103" s="911">
        <v>0</v>
      </c>
      <c r="L2103" s="911">
        <v>0</v>
      </c>
      <c r="M2103" s="601"/>
      <c r="N2103" s="157">
        <v>46008</v>
      </c>
      <c r="O2103" s="156">
        <v>7700</v>
      </c>
      <c r="P2103" s="1870">
        <v>0</v>
      </c>
      <c r="Q2103" s="1870">
        <v>0</v>
      </c>
      <c r="S2103" s="83">
        <f t="shared" si="630"/>
        <v>0</v>
      </c>
      <c r="T2103" s="1455">
        <f t="shared" si="631"/>
        <v>0</v>
      </c>
      <c r="U2103" s="83">
        <v>125</v>
      </c>
      <c r="V2103" s="1560" t="e">
        <f t="shared" si="632"/>
        <v>#DIV/0!</v>
      </c>
    </row>
    <row r="2104" spans="1:23" s="7" customFormat="1" ht="18.600000000000001" customHeight="1">
      <c r="C2104" s="6" t="s">
        <v>5153</v>
      </c>
      <c r="D2104" s="13" t="s">
        <v>2277</v>
      </c>
      <c r="E2104" s="18" t="s">
        <v>19</v>
      </c>
      <c r="F2104" s="23"/>
      <c r="G2104" s="21"/>
      <c r="H2104" s="55"/>
      <c r="I2104" s="56"/>
      <c r="J2104" s="55"/>
      <c r="K2104" s="15" t="s">
        <v>8</v>
      </c>
      <c r="L2104" s="688"/>
      <c r="M2104" s="688"/>
      <c r="N2104" s="33">
        <v>45988</v>
      </c>
      <c r="O2104" s="32">
        <v>7672</v>
      </c>
      <c r="P2104" s="83"/>
      <c r="Q2104" s="83"/>
      <c r="S2104" s="7">
        <f t="shared" si="630"/>
        <v>0</v>
      </c>
      <c r="T2104" s="1318">
        <f t="shared" si="631"/>
        <v>0</v>
      </c>
      <c r="U2104" s="83">
        <v>125</v>
      </c>
    </row>
    <row r="2105" spans="1:23" s="7" customFormat="1" ht="18.600000000000001" customHeight="1">
      <c r="C2105" s="6" t="s">
        <v>5153</v>
      </c>
      <c r="D2105" s="13" t="s">
        <v>2277</v>
      </c>
      <c r="E2105" s="740" t="s">
        <v>2722</v>
      </c>
      <c r="F2105" s="23"/>
      <c r="G2105" s="21" t="s">
        <v>25</v>
      </c>
      <c r="H2105" s="93">
        <v>13.7</v>
      </c>
      <c r="I2105" s="94">
        <v>3</v>
      </c>
      <c r="J2105" s="108">
        <f>H2105*I2105</f>
        <v>41.099999999999994</v>
      </c>
      <c r="K2105" s="597">
        <v>3.87</v>
      </c>
      <c r="L2105" s="598">
        <f>K2105*J2105</f>
        <v>159.05699999999999</v>
      </c>
      <c r="M2105" s="97" t="s">
        <v>224</v>
      </c>
      <c r="N2105" s="33">
        <v>45988</v>
      </c>
      <c r="O2105" s="32">
        <v>7672</v>
      </c>
      <c r="P2105" s="83">
        <v>315</v>
      </c>
      <c r="Q2105" s="83">
        <f>P2105*J2105</f>
        <v>12946.499999999998</v>
      </c>
      <c r="S2105" s="7">
        <f t="shared" si="630"/>
        <v>315</v>
      </c>
      <c r="T2105" s="1318">
        <f t="shared" si="631"/>
        <v>12946.499999999998</v>
      </c>
      <c r="U2105" s="83">
        <v>140</v>
      </c>
      <c r="V2105" s="1560">
        <f>(((K2105*U2105)-P2105)/(K2105*U2105))</f>
        <v>0.41860465116279078</v>
      </c>
    </row>
    <row r="2106" spans="1:23" ht="18.600000000000001" customHeight="1">
      <c r="C2106" s="6" t="s">
        <v>5153</v>
      </c>
      <c r="D2106" s="13" t="s">
        <v>2277</v>
      </c>
      <c r="E2106" s="21"/>
      <c r="F2106" s="38"/>
      <c r="G2106" s="38" t="s">
        <v>218</v>
      </c>
      <c r="H2106" s="39"/>
      <c r="I2106" s="94"/>
      <c r="J2106" s="39">
        <v>1</v>
      </c>
      <c r="K2106" s="611">
        <v>12</v>
      </c>
      <c r="L2106" s="598">
        <f>K2106*J2106</f>
        <v>12</v>
      </c>
      <c r="M2106" s="898"/>
      <c r="N2106" s="33">
        <v>45988</v>
      </c>
      <c r="O2106" s="32">
        <v>7672</v>
      </c>
      <c r="P2106" s="83">
        <v>1000</v>
      </c>
      <c r="Q2106" s="83">
        <f>P2106*J2106</f>
        <v>1000</v>
      </c>
      <c r="S2106" s="7">
        <f t="shared" si="630"/>
        <v>1000</v>
      </c>
      <c r="T2106" s="1318">
        <f t="shared" si="631"/>
        <v>1000</v>
      </c>
      <c r="U2106" s="83">
        <v>140</v>
      </c>
      <c r="V2106" s="1560">
        <f>(((K2106*U2106)-P2106)/(K2106*U2106))</f>
        <v>0.40476190476190477</v>
      </c>
    </row>
    <row r="2107" spans="1:23" s="159" customFormat="1" ht="18.600000000000001" customHeight="1">
      <c r="C2107" s="149" t="s">
        <v>5153</v>
      </c>
      <c r="D2107" s="150" t="s">
        <v>2277</v>
      </c>
      <c r="E2107" s="191"/>
      <c r="F2107" s="152"/>
      <c r="G2107" s="152" t="s">
        <v>168</v>
      </c>
      <c r="H2107" s="154" t="s">
        <v>169</v>
      </c>
      <c r="I2107" s="155"/>
      <c r="J2107" s="153"/>
      <c r="K2107" s="600">
        <v>0</v>
      </c>
      <c r="L2107" s="601"/>
      <c r="M2107" s="601"/>
      <c r="N2107" s="157">
        <v>45988</v>
      </c>
      <c r="O2107" s="156">
        <v>7672</v>
      </c>
      <c r="P2107" s="164">
        <v>0</v>
      </c>
      <c r="Q2107" s="165">
        <v>0</v>
      </c>
      <c r="S2107" s="7">
        <f t="shared" si="630"/>
        <v>0</v>
      </c>
      <c r="T2107" s="1318">
        <f t="shared" si="631"/>
        <v>0</v>
      </c>
      <c r="U2107" s="83">
        <v>140</v>
      </c>
      <c r="V2107" s="1560" t="e">
        <f>(((K2107*U2107)-P2107)/(K2107*U2107))</f>
        <v>#DIV/0!</v>
      </c>
    </row>
    <row r="2108" spans="1:23" customFormat="1" ht="18" customHeight="1">
      <c r="A2108" s="1"/>
      <c r="B2108" s="25"/>
      <c r="C2108" s="6" t="s">
        <v>5195</v>
      </c>
      <c r="D2108" s="13" t="s">
        <v>4768</v>
      </c>
      <c r="E2108" s="18" t="s">
        <v>5170</v>
      </c>
      <c r="F2108" s="92"/>
      <c r="G2108" s="21"/>
      <c r="H2108" s="93"/>
      <c r="I2108" s="94"/>
      <c r="J2108" s="93"/>
      <c r="K2108" s="95" t="s">
        <v>8</v>
      </c>
      <c r="L2108" s="33"/>
      <c r="M2108" s="33"/>
      <c r="N2108" s="33">
        <v>46007</v>
      </c>
      <c r="O2108" s="32">
        <v>7722</v>
      </c>
      <c r="P2108" s="13"/>
      <c r="Q2108" s="1449"/>
      <c r="R2108" s="1"/>
      <c r="S2108" s="1958"/>
      <c r="T2108" s="83"/>
      <c r="U2108" s="1451"/>
      <c r="V2108" s="1452">
        <v>120</v>
      </c>
    </row>
    <row r="2109" spans="1:23" customFormat="1" ht="18" customHeight="1">
      <c r="B2109" s="11"/>
      <c r="C2109" s="6" t="s">
        <v>5195</v>
      </c>
      <c r="D2109" s="13" t="s">
        <v>4768</v>
      </c>
      <c r="E2109" s="18" t="s">
        <v>5171</v>
      </c>
      <c r="F2109" s="92" t="s">
        <v>5104</v>
      </c>
      <c r="G2109" s="21" t="s">
        <v>20</v>
      </c>
      <c r="H2109" s="17"/>
      <c r="I2109" s="56"/>
      <c r="J2109" s="55">
        <v>1</v>
      </c>
      <c r="K2109" s="598">
        <v>7.96</v>
      </c>
      <c r="L2109" s="611">
        <f>K2109*J2109</f>
        <v>7.96</v>
      </c>
      <c r="M2109" s="97" t="s">
        <v>224</v>
      </c>
      <c r="N2109" s="33">
        <v>46007</v>
      </c>
      <c r="O2109" s="32">
        <v>7722</v>
      </c>
      <c r="P2109" s="1961">
        <v>580</v>
      </c>
      <c r="Q2109" s="83">
        <f>P2109*J2109</f>
        <v>580</v>
      </c>
      <c r="R2109" s="7"/>
      <c r="S2109" s="7">
        <f t="shared" ref="S2109:S2111" si="633">P2109</f>
        <v>580</v>
      </c>
      <c r="T2109" s="1318">
        <f t="shared" ref="T2109:T2111" si="634">Q2109</f>
        <v>580</v>
      </c>
      <c r="U2109" s="83">
        <v>140</v>
      </c>
      <c r="V2109" s="1560">
        <f>(((K2109*U2109)-P2109)/(K2109*U2109))</f>
        <v>0.47954055994257005</v>
      </c>
      <c r="W2109" s="1560"/>
    </row>
    <row r="2110" spans="1:23" customFormat="1" ht="15.95" customHeight="1">
      <c r="A2110" s="1"/>
      <c r="B2110" s="11"/>
      <c r="C2110" s="6" t="s">
        <v>5195</v>
      </c>
      <c r="D2110" s="13" t="s">
        <v>4768</v>
      </c>
      <c r="E2110" s="21"/>
      <c r="F2110" s="86"/>
      <c r="G2110" s="38" t="s">
        <v>5172</v>
      </c>
      <c r="H2110" s="8"/>
      <c r="I2110" s="35"/>
      <c r="J2110" s="39">
        <v>1</v>
      </c>
      <c r="K2110" s="598">
        <v>10</v>
      </c>
      <c r="L2110" s="611">
        <f>K2110*J2110</f>
        <v>10</v>
      </c>
      <c r="M2110" s="82"/>
      <c r="N2110" s="33">
        <v>46007</v>
      </c>
      <c r="O2110" s="32">
        <v>7722</v>
      </c>
      <c r="P2110" s="83">
        <v>1000</v>
      </c>
      <c r="Q2110" s="83">
        <f>P2110*J2110</f>
        <v>1000</v>
      </c>
      <c r="R2110" s="1"/>
      <c r="S2110" s="7">
        <f t="shared" si="633"/>
        <v>1000</v>
      </c>
      <c r="T2110" s="1318">
        <f t="shared" si="634"/>
        <v>1000</v>
      </c>
      <c r="U2110" s="83">
        <v>140</v>
      </c>
      <c r="V2110" s="1560">
        <f>(((K2110*U2110)-P2110)/(K2110*U2110))</f>
        <v>0.2857142857142857</v>
      </c>
      <c r="W2110" s="1560">
        <f>(((K2110*V2110)-S2110)/(K2110*V2110))</f>
        <v>-349.00000000000006</v>
      </c>
    </row>
    <row r="2111" spans="1:23" customFormat="1" ht="15.95" customHeight="1">
      <c r="A2111" s="1"/>
      <c r="B2111" s="11"/>
      <c r="C2111" s="6" t="s">
        <v>5195</v>
      </c>
      <c r="D2111" s="13" t="s">
        <v>4768</v>
      </c>
      <c r="E2111" s="21"/>
      <c r="F2111" s="86"/>
      <c r="G2111" s="38" t="s">
        <v>218</v>
      </c>
      <c r="H2111" s="8"/>
      <c r="I2111" s="35"/>
      <c r="J2111" s="39">
        <v>1</v>
      </c>
      <c r="K2111" s="598">
        <v>12</v>
      </c>
      <c r="L2111" s="611">
        <f>K2111*J2111</f>
        <v>12</v>
      </c>
      <c r="M2111" s="82"/>
      <c r="N2111" s="33">
        <v>46007</v>
      </c>
      <c r="O2111" s="32">
        <v>7722</v>
      </c>
      <c r="P2111" s="83">
        <v>1000</v>
      </c>
      <c r="Q2111" s="83">
        <f>P2111*J2111</f>
        <v>1000</v>
      </c>
      <c r="R2111" s="1"/>
      <c r="S2111" s="7">
        <f t="shared" si="633"/>
        <v>1000</v>
      </c>
      <c r="T2111" s="1318">
        <f t="shared" si="634"/>
        <v>1000</v>
      </c>
      <c r="U2111" s="83">
        <v>140</v>
      </c>
      <c r="V2111" s="1560">
        <f>(((K2111*U2111)-P2111)/(K2111*U2111))</f>
        <v>0.40476190476190477</v>
      </c>
      <c r="W2111" s="1560">
        <f>(((K2111*V2111)-S2111)/(K2111*V2111))</f>
        <v>-204.88235294117644</v>
      </c>
    </row>
    <row r="2112" spans="1:23" s="159" customFormat="1" ht="15.75">
      <c r="B2112" s="1784"/>
      <c r="C2112" s="149" t="s">
        <v>5195</v>
      </c>
      <c r="D2112" s="150" t="s">
        <v>4768</v>
      </c>
      <c r="E2112" s="151"/>
      <c r="F2112" s="152"/>
      <c r="G2112" s="1959" t="s">
        <v>4904</v>
      </c>
      <c r="H2112" s="154" t="s">
        <v>169</v>
      </c>
      <c r="I2112" s="155"/>
      <c r="J2112" s="153"/>
      <c r="K2112" s="921">
        <v>0</v>
      </c>
      <c r="L2112" s="157"/>
      <c r="M2112" s="157"/>
      <c r="N2112" s="157">
        <v>46007</v>
      </c>
      <c r="O2112" s="156">
        <v>7722</v>
      </c>
      <c r="P2112" s="149"/>
      <c r="Q2112" s="1960"/>
      <c r="R2112" s="1960"/>
      <c r="S2112" s="1960"/>
      <c r="T2112" s="1960"/>
      <c r="U2112" s="1789"/>
      <c r="V2112" s="1452">
        <v>120</v>
      </c>
      <c r="W2112" s="1560" t="e">
        <f>(((K2112*V2112)-S2112)/(K2112*V2112))</f>
        <v>#DIV/0!</v>
      </c>
    </row>
    <row r="2113" spans="3:22" s="7" customFormat="1" ht="18" customHeight="1">
      <c r="C2113" s="6" t="s">
        <v>5179</v>
      </c>
      <c r="D2113" s="13" t="s">
        <v>1900</v>
      </c>
      <c r="E2113" s="18" t="s">
        <v>5049</v>
      </c>
      <c r="F2113" s="23"/>
      <c r="G2113" s="21"/>
      <c r="H2113" s="55"/>
      <c r="I2113" s="56"/>
      <c r="J2113" s="55"/>
      <c r="K2113" s="15" t="s">
        <v>8</v>
      </c>
      <c r="L2113" s="10"/>
      <c r="M2113" s="10"/>
      <c r="N2113" s="33">
        <v>46059</v>
      </c>
      <c r="O2113" s="32">
        <v>7832</v>
      </c>
      <c r="P2113" s="100"/>
      <c r="Q2113" s="100"/>
      <c r="T2113" s="1301"/>
      <c r="U2113" s="6" t="s">
        <v>3</v>
      </c>
    </row>
    <row r="2114" spans="3:22" s="7" customFormat="1" ht="15.75" customHeight="1">
      <c r="C2114" s="6" t="s">
        <v>5179</v>
      </c>
      <c r="D2114" s="13" t="s">
        <v>1900</v>
      </c>
      <c r="E2114" s="1819" t="s">
        <v>5014</v>
      </c>
      <c r="F2114" s="13"/>
      <c r="G2114" s="21" t="s">
        <v>5000</v>
      </c>
      <c r="H2114" s="93"/>
      <c r="I2114" s="94"/>
      <c r="J2114" s="8">
        <v>50</v>
      </c>
      <c r="K2114" s="611">
        <v>1.46</v>
      </c>
      <c r="L2114" s="598">
        <f t="shared" ref="L2114:L2115" si="635">K2114*J2114</f>
        <v>73</v>
      </c>
      <c r="M2114" s="97" t="s">
        <v>224</v>
      </c>
      <c r="N2114" s="1818">
        <v>46059</v>
      </c>
      <c r="O2114" s="32">
        <v>7832</v>
      </c>
      <c r="P2114" s="1895">
        <v>122</v>
      </c>
      <c r="Q2114" s="83">
        <f t="shared" ref="Q2114:Q2115" si="636">P2114*J2114</f>
        <v>6100</v>
      </c>
      <c r="R2114" s="7" t="s">
        <v>265</v>
      </c>
      <c r="S2114" s="7">
        <f t="shared" ref="S2114:S2115" si="637">P2114</f>
        <v>122</v>
      </c>
      <c r="T2114" s="1318">
        <f t="shared" ref="T2114:T2115" si="638">Q2114</f>
        <v>6100</v>
      </c>
      <c r="U2114" s="83">
        <v>140</v>
      </c>
      <c r="V2114" s="1560">
        <f t="shared" ref="V2114:V2115" si="639">(((K2114*U2114)-P2114)/(K2114*U2114))</f>
        <v>0.40313111545988262</v>
      </c>
    </row>
    <row r="2115" spans="3:22" s="7" customFormat="1" ht="15.75" customHeight="1">
      <c r="C2115" s="6" t="s">
        <v>5179</v>
      </c>
      <c r="D2115" s="13" t="s">
        <v>1900</v>
      </c>
      <c r="E2115" s="1819" t="s">
        <v>5014</v>
      </c>
      <c r="F2115" s="13"/>
      <c r="G2115" s="21" t="s">
        <v>5053</v>
      </c>
      <c r="H2115" s="93"/>
      <c r="I2115" s="94"/>
      <c r="J2115" s="8">
        <v>50</v>
      </c>
      <c r="K2115" s="611">
        <v>2.04</v>
      </c>
      <c r="L2115" s="598">
        <f t="shared" si="635"/>
        <v>102</v>
      </c>
      <c r="M2115" s="97" t="s">
        <v>224</v>
      </c>
      <c r="N2115" s="1818">
        <v>46059</v>
      </c>
      <c r="O2115" s="32">
        <v>7832</v>
      </c>
      <c r="P2115" s="1895">
        <v>171</v>
      </c>
      <c r="Q2115" s="83">
        <f t="shared" si="636"/>
        <v>8550</v>
      </c>
      <c r="R2115" s="7" t="s">
        <v>265</v>
      </c>
      <c r="S2115" s="7">
        <f t="shared" si="637"/>
        <v>171</v>
      </c>
      <c r="T2115" s="1318">
        <f t="shared" si="638"/>
        <v>8550</v>
      </c>
      <c r="U2115" s="83">
        <v>140</v>
      </c>
      <c r="V2115" s="1560">
        <f t="shared" si="639"/>
        <v>0.40126050420168075</v>
      </c>
    </row>
    <row r="2116" spans="3:22" s="7" customFormat="1" ht="15.75" customHeight="1">
      <c r="C2116" s="6" t="s">
        <v>5184</v>
      </c>
      <c r="D2116" s="13" t="s">
        <v>1900</v>
      </c>
      <c r="E2116" s="1819" t="s">
        <v>5014</v>
      </c>
      <c r="F2116" s="13"/>
      <c r="G2116" s="21" t="s">
        <v>5053</v>
      </c>
      <c r="H2116" s="93"/>
      <c r="I2116" s="94"/>
      <c r="J2116" s="8">
        <v>15</v>
      </c>
      <c r="K2116" s="611">
        <v>2.04</v>
      </c>
      <c r="L2116" s="598">
        <f>K2116*J2116</f>
        <v>30.6</v>
      </c>
      <c r="M2116" s="97" t="s">
        <v>224</v>
      </c>
      <c r="N2116" s="1818">
        <v>46059</v>
      </c>
      <c r="O2116" s="32">
        <v>7832</v>
      </c>
      <c r="P2116" s="1895">
        <v>171</v>
      </c>
      <c r="Q2116" s="83">
        <f>P2116*J2116</f>
        <v>2565</v>
      </c>
      <c r="R2116" s="7" t="s">
        <v>265</v>
      </c>
      <c r="S2116" s="7">
        <f>P2116</f>
        <v>171</v>
      </c>
      <c r="T2116" s="1318">
        <f>Q2116</f>
        <v>2565</v>
      </c>
      <c r="U2116" s="83">
        <v>140</v>
      </c>
      <c r="V2116" s="1560">
        <f>(((K2116*U2116)-P2116)/(K2116*U2116))</f>
        <v>0.40126050420168075</v>
      </c>
    </row>
    <row r="2117" spans="3:22" s="7" customFormat="1" ht="18" customHeight="1">
      <c r="C2117" s="6" t="s">
        <v>5179</v>
      </c>
      <c r="D2117" s="13" t="s">
        <v>1900</v>
      </c>
      <c r="E2117" s="18" t="s">
        <v>5050</v>
      </c>
      <c r="F2117" s="23"/>
      <c r="G2117" s="21"/>
      <c r="H2117" s="55"/>
      <c r="I2117" s="56"/>
      <c r="J2117" s="55"/>
      <c r="K2117" s="15"/>
      <c r="L2117" s="10"/>
      <c r="M2117" s="10"/>
      <c r="N2117" s="1818">
        <v>46059</v>
      </c>
      <c r="O2117" s="32">
        <v>7832</v>
      </c>
      <c r="P2117" s="1896"/>
      <c r="Q2117" s="100"/>
      <c r="T2117" s="1301"/>
      <c r="U2117" s="6" t="s">
        <v>3</v>
      </c>
    </row>
    <row r="2118" spans="3:22" s="7" customFormat="1" ht="15.75" customHeight="1">
      <c r="C2118" s="6" t="s">
        <v>5179</v>
      </c>
      <c r="D2118" s="13" t="s">
        <v>1900</v>
      </c>
      <c r="E2118" s="1819" t="s">
        <v>5011</v>
      </c>
      <c r="F2118" s="13"/>
      <c r="G2118" s="21" t="s">
        <v>5000</v>
      </c>
      <c r="H2118" s="93"/>
      <c r="I2118" s="94"/>
      <c r="J2118" s="8">
        <v>700</v>
      </c>
      <c r="K2118" s="611">
        <v>1.75</v>
      </c>
      <c r="L2118" s="598">
        <f t="shared" ref="L2118:L2119" si="640">K2118*J2118</f>
        <v>1225</v>
      </c>
      <c r="M2118" s="97" t="s">
        <v>224</v>
      </c>
      <c r="N2118" s="1818">
        <v>46059</v>
      </c>
      <c r="O2118" s="32">
        <v>7832</v>
      </c>
      <c r="P2118" s="1895">
        <v>147</v>
      </c>
      <c r="Q2118" s="83">
        <f t="shared" ref="Q2118:Q2119" si="641">P2118*J2118</f>
        <v>102900</v>
      </c>
      <c r="R2118" s="7" t="s">
        <v>265</v>
      </c>
      <c r="S2118" s="7">
        <f t="shared" ref="S2118:S2127" si="642">P2118</f>
        <v>147</v>
      </c>
      <c r="T2118" s="1318">
        <f t="shared" ref="T2118:T2127" si="643">Q2118</f>
        <v>102900</v>
      </c>
      <c r="U2118" s="83">
        <v>140</v>
      </c>
      <c r="V2118" s="1560">
        <f t="shared" ref="V2118:V2126" si="644">(((K2118*U2118)-P2118)/(K2118*U2118))</f>
        <v>0.4</v>
      </c>
    </row>
    <row r="2119" spans="3:22" s="7" customFormat="1" ht="15.75" customHeight="1">
      <c r="C2119" s="6" t="s">
        <v>5179</v>
      </c>
      <c r="D2119" s="13" t="s">
        <v>1900</v>
      </c>
      <c r="E2119" s="1819" t="s">
        <v>5011</v>
      </c>
      <c r="F2119" s="13"/>
      <c r="G2119" s="21" t="s">
        <v>5053</v>
      </c>
      <c r="H2119" s="93"/>
      <c r="I2119" s="94"/>
      <c r="J2119" s="8">
        <v>750</v>
      </c>
      <c r="K2119" s="611">
        <v>2.46</v>
      </c>
      <c r="L2119" s="598">
        <f t="shared" si="640"/>
        <v>1845</v>
      </c>
      <c r="M2119" s="97" t="s">
        <v>224</v>
      </c>
      <c r="N2119" s="1818">
        <v>46059</v>
      </c>
      <c r="O2119" s="32">
        <v>7832</v>
      </c>
      <c r="P2119" s="1895">
        <v>206</v>
      </c>
      <c r="Q2119" s="83">
        <f t="shared" si="641"/>
        <v>154500</v>
      </c>
      <c r="R2119" s="7" t="s">
        <v>265</v>
      </c>
      <c r="S2119" s="7">
        <f t="shared" si="642"/>
        <v>206</v>
      </c>
      <c r="T2119" s="1318">
        <f t="shared" si="643"/>
        <v>154500</v>
      </c>
      <c r="U2119" s="83">
        <v>140</v>
      </c>
      <c r="V2119" s="1560">
        <f t="shared" si="644"/>
        <v>0.40185830429732866</v>
      </c>
    </row>
    <row r="2120" spans="3:22" s="7" customFormat="1" ht="15.75" customHeight="1">
      <c r="C2120" s="6" t="s">
        <v>5184</v>
      </c>
      <c r="D2120" s="13" t="s">
        <v>1900</v>
      </c>
      <c r="E2120" s="1819" t="s">
        <v>5011</v>
      </c>
      <c r="F2120" s="13"/>
      <c r="G2120" s="21" t="s">
        <v>5000</v>
      </c>
      <c r="H2120" s="93"/>
      <c r="I2120" s="94"/>
      <c r="J2120" s="8">
        <v>35</v>
      </c>
      <c r="K2120" s="611">
        <v>1.75</v>
      </c>
      <c r="L2120" s="598">
        <f t="shared" ref="L2120:L2124" si="645">K2120*J2120</f>
        <v>61.25</v>
      </c>
      <c r="M2120" s="97" t="s">
        <v>224</v>
      </c>
      <c r="N2120" s="1818">
        <v>46059</v>
      </c>
      <c r="O2120" s="32">
        <v>7832</v>
      </c>
      <c r="P2120" s="1895">
        <v>147</v>
      </c>
      <c r="Q2120" s="83">
        <f t="shared" ref="Q2120:Q2124" si="646">P2120*J2120</f>
        <v>5145</v>
      </c>
      <c r="R2120" s="7" t="s">
        <v>265</v>
      </c>
      <c r="S2120" s="7">
        <f t="shared" ref="S2120:S2124" si="647">P2120</f>
        <v>147</v>
      </c>
      <c r="T2120" s="1318">
        <f t="shared" ref="T2120:T2124" si="648">Q2120</f>
        <v>5145</v>
      </c>
      <c r="U2120" s="83">
        <v>140</v>
      </c>
      <c r="V2120" s="1560">
        <f t="shared" ref="V2120:V2124" si="649">(((K2120*U2120)-P2120)/(K2120*U2120))</f>
        <v>0.4</v>
      </c>
    </row>
    <row r="2121" spans="3:22" ht="18" customHeight="1">
      <c r="C2121" s="6" t="s">
        <v>5184</v>
      </c>
      <c r="D2121" s="13" t="s">
        <v>1900</v>
      </c>
      <c r="E2121" s="21"/>
      <c r="F2121" s="38"/>
      <c r="G2121" s="38" t="s">
        <v>218</v>
      </c>
      <c r="H2121" s="39"/>
      <c r="I2121" s="94"/>
      <c r="J2121" s="39">
        <v>1</v>
      </c>
      <c r="K2121" s="611">
        <v>15</v>
      </c>
      <c r="L2121" s="598">
        <f t="shared" si="645"/>
        <v>15</v>
      </c>
      <c r="M2121" s="898"/>
      <c r="N2121" s="33">
        <v>46059</v>
      </c>
      <c r="O2121" s="32">
        <v>7832</v>
      </c>
      <c r="P2121" s="1904" ph="1">
        <v>0</v>
      </c>
      <c r="Q2121" s="1817">
        <f t="shared" si="646"/>
        <v>0</v>
      </c>
      <c r="S2121" s="7">
        <f t="shared" si="647"/>
        <v>0</v>
      </c>
      <c r="T2121" s="1318">
        <f t="shared" si="648"/>
        <v>0</v>
      </c>
      <c r="U2121" s="83">
        <v>125</v>
      </c>
      <c r="V2121" s="1560">
        <f t="shared" si="649"/>
        <v>1</v>
      </c>
    </row>
    <row r="2122" spans="3:22" s="159" customFormat="1" ht="18" customHeight="1">
      <c r="C2122" s="149" t="s">
        <v>5179</v>
      </c>
      <c r="D2122" s="150" t="s">
        <v>1900</v>
      </c>
      <c r="E2122" s="191"/>
      <c r="F2122" s="152"/>
      <c r="G2122" s="152" t="s">
        <v>4904</v>
      </c>
      <c r="H2122" s="154" t="s">
        <v>4903</v>
      </c>
      <c r="I2122" s="155"/>
      <c r="J2122" s="154">
        <v>1</v>
      </c>
      <c r="K2122" s="911">
        <v>0</v>
      </c>
      <c r="L2122" s="911">
        <v>0</v>
      </c>
      <c r="M2122" s="601"/>
      <c r="N2122" s="157">
        <v>46059</v>
      </c>
      <c r="O2122" s="156">
        <v>7832</v>
      </c>
      <c r="P2122" s="1870">
        <v>0</v>
      </c>
      <c r="Q2122" s="1870">
        <v>0</v>
      </c>
      <c r="S2122" s="83">
        <f t="shared" si="647"/>
        <v>0</v>
      </c>
      <c r="T2122" s="1455">
        <f t="shared" si="648"/>
        <v>0</v>
      </c>
      <c r="U2122" s="83">
        <v>140</v>
      </c>
      <c r="V2122" s="1560" t="e">
        <f t="shared" si="649"/>
        <v>#DIV/0!</v>
      </c>
    </row>
    <row r="2123" spans="3:22" s="7" customFormat="1" ht="18" customHeight="1">
      <c r="C2123" s="6" t="s">
        <v>5185</v>
      </c>
      <c r="D2123" s="13" t="s">
        <v>1900</v>
      </c>
      <c r="E2123" s="18" t="s">
        <v>5050</v>
      </c>
      <c r="F2123" s="23"/>
      <c r="G2123" s="21"/>
      <c r="H2123" s="55"/>
      <c r="I2123" s="56"/>
      <c r="J2123" s="55"/>
      <c r="K2123" s="15"/>
      <c r="L2123" s="10"/>
      <c r="M2123" s="10"/>
      <c r="N2123" s="33">
        <v>46070</v>
      </c>
      <c r="O2123" s="32">
        <v>7889</v>
      </c>
      <c r="P2123" s="1896"/>
      <c r="Q2123" s="100"/>
      <c r="T2123" s="1301"/>
      <c r="U2123" s="6" t="s">
        <v>3</v>
      </c>
    </row>
    <row r="2124" spans="3:22" s="7" customFormat="1" ht="15.75" customHeight="1">
      <c r="C2124" s="6" t="s">
        <v>5185</v>
      </c>
      <c r="D2124" s="13" t="s">
        <v>1900</v>
      </c>
      <c r="E2124" s="21" t="s">
        <v>5011</v>
      </c>
      <c r="F2124" s="13"/>
      <c r="G2124" s="21" t="s">
        <v>5053</v>
      </c>
      <c r="H2124" s="93"/>
      <c r="I2124" s="94"/>
      <c r="J2124" s="8">
        <v>100</v>
      </c>
      <c r="K2124" s="611">
        <v>2.46</v>
      </c>
      <c r="L2124" s="598">
        <f t="shared" si="645"/>
        <v>246</v>
      </c>
      <c r="M2124" s="97" t="s">
        <v>224</v>
      </c>
      <c r="N2124" s="1971">
        <v>46070</v>
      </c>
      <c r="O2124" s="32">
        <v>7889</v>
      </c>
      <c r="P2124" s="1895">
        <v>206</v>
      </c>
      <c r="Q2124" s="83">
        <f t="shared" si="646"/>
        <v>20600</v>
      </c>
      <c r="R2124" s="7" t="s">
        <v>265</v>
      </c>
      <c r="S2124" s="7">
        <f t="shared" si="647"/>
        <v>206</v>
      </c>
      <c r="T2124" s="1318">
        <f t="shared" si="648"/>
        <v>20600</v>
      </c>
      <c r="U2124" s="83">
        <v>140</v>
      </c>
      <c r="V2124" s="1560">
        <f t="shared" si="649"/>
        <v>0.40185830429732866</v>
      </c>
    </row>
    <row r="2125" spans="3:22" ht="18" customHeight="1">
      <c r="C2125" s="6" t="s">
        <v>5185</v>
      </c>
      <c r="D2125" s="13" t="s">
        <v>1900</v>
      </c>
      <c r="E2125" s="21"/>
      <c r="F2125" s="38"/>
      <c r="G2125" s="38" t="s">
        <v>218</v>
      </c>
      <c r="H2125" s="39"/>
      <c r="I2125" s="94"/>
      <c r="J2125" s="39">
        <v>1</v>
      </c>
      <c r="K2125" s="611">
        <v>15</v>
      </c>
      <c r="L2125" s="598">
        <f t="shared" ref="L2125" si="650">K2125*J2125</f>
        <v>15</v>
      </c>
      <c r="M2125" s="898"/>
      <c r="N2125" s="33">
        <v>46070</v>
      </c>
      <c r="O2125" s="32">
        <v>7889</v>
      </c>
      <c r="P2125" s="1972" ph="1">
        <v>0</v>
      </c>
      <c r="Q2125" s="83">
        <f t="shared" ref="Q2125" si="651">P2125*J2125</f>
        <v>0</v>
      </c>
      <c r="S2125" s="7">
        <f t="shared" ref="S2125" si="652">P2125</f>
        <v>0</v>
      </c>
      <c r="T2125" s="1318">
        <f t="shared" ref="T2125" si="653">Q2125</f>
        <v>0</v>
      </c>
      <c r="U2125" s="83">
        <v>125</v>
      </c>
      <c r="V2125" s="1560">
        <f t="shared" ref="V2125" si="654">(((K2125*U2125)-P2125)/(K2125*U2125))</f>
        <v>1</v>
      </c>
    </row>
    <row r="2126" spans="3:22" s="159" customFormat="1" ht="18" customHeight="1">
      <c r="C2126" s="149" t="s">
        <v>5185</v>
      </c>
      <c r="D2126" s="150" t="s">
        <v>1900</v>
      </c>
      <c r="E2126" s="191"/>
      <c r="F2126" s="152"/>
      <c r="G2126" s="152" t="s">
        <v>4904</v>
      </c>
      <c r="H2126" s="154" t="s">
        <v>4903</v>
      </c>
      <c r="I2126" s="155"/>
      <c r="J2126" s="154">
        <v>1</v>
      </c>
      <c r="K2126" s="911">
        <v>0</v>
      </c>
      <c r="L2126" s="911">
        <v>0</v>
      </c>
      <c r="M2126" s="601"/>
      <c r="N2126" s="157">
        <v>46070</v>
      </c>
      <c r="O2126" s="156">
        <v>7889</v>
      </c>
      <c r="P2126" s="1870">
        <v>0</v>
      </c>
      <c r="Q2126" s="1870">
        <v>0</v>
      </c>
      <c r="S2126" s="83">
        <f t="shared" si="642"/>
        <v>0</v>
      </c>
      <c r="T2126" s="1455">
        <f t="shared" si="643"/>
        <v>0</v>
      </c>
      <c r="U2126" s="83">
        <v>140</v>
      </c>
      <c r="V2126" s="1560" t="e">
        <f t="shared" si="644"/>
        <v>#DIV/0!</v>
      </c>
    </row>
    <row r="2127" spans="3:22" s="7" customFormat="1" ht="18" customHeight="1">
      <c r="C2127" s="6" t="s">
        <v>5177</v>
      </c>
      <c r="D2127" s="13" t="s">
        <v>1812</v>
      </c>
      <c r="E2127" s="18" t="s">
        <v>2745</v>
      </c>
      <c r="F2127" s="23"/>
      <c r="G2127" s="21"/>
      <c r="H2127" s="55"/>
      <c r="I2127" s="56"/>
      <c r="J2127" s="55"/>
      <c r="K2127" s="15" t="s">
        <v>8</v>
      </c>
      <c r="L2127" s="33"/>
      <c r="M2127" s="33"/>
      <c r="N2127" s="33">
        <v>46038</v>
      </c>
      <c r="O2127" s="32">
        <v>7745</v>
      </c>
      <c r="P2127" s="83"/>
      <c r="Q2127" s="83"/>
      <c r="S2127" s="7">
        <f t="shared" si="642"/>
        <v>0</v>
      </c>
      <c r="T2127" s="1318">
        <f t="shared" si="643"/>
        <v>0</v>
      </c>
      <c r="U2127" s="83">
        <v>140</v>
      </c>
    </row>
    <row r="2128" spans="3:22" ht="18" customHeight="1">
      <c r="C2128" s="6" t="s">
        <v>5177</v>
      </c>
      <c r="D2128" s="13" t="s">
        <v>1812</v>
      </c>
      <c r="E2128" s="1819">
        <v>5636</v>
      </c>
      <c r="F2128" s="23" t="s">
        <v>1808</v>
      </c>
      <c r="G2128" s="21" t="s">
        <v>5178</v>
      </c>
      <c r="H2128" s="93">
        <v>50</v>
      </c>
      <c r="I2128" s="94">
        <v>4</v>
      </c>
      <c r="J2128" s="55">
        <f>H2128*I2128</f>
        <v>200</v>
      </c>
      <c r="K2128" s="597">
        <v>0.66</v>
      </c>
      <c r="L2128" s="598">
        <f>K2128*J2128</f>
        <v>132</v>
      </c>
      <c r="M2128" s="97" t="s">
        <v>224</v>
      </c>
      <c r="N2128" s="1818">
        <v>46038</v>
      </c>
      <c r="O2128" s="32">
        <v>7745</v>
      </c>
      <c r="P2128" s="83">
        <v>41</v>
      </c>
      <c r="Q2128" s="83">
        <f>P2128*J2128</f>
        <v>8200</v>
      </c>
      <c r="R2128" s="700"/>
      <c r="S2128" s="7">
        <f>P2128</f>
        <v>41</v>
      </c>
      <c r="T2128" s="1318">
        <f>Q2128</f>
        <v>8200</v>
      </c>
      <c r="U2128" s="83">
        <v>140</v>
      </c>
      <c r="V2128" s="1560">
        <f t="shared" ref="V2128:V2130" si="655">(((K2128*U2128)-P2128)/(K2128*U2128))</f>
        <v>0.55627705627705626</v>
      </c>
    </row>
    <row r="2129" spans="3:22" ht="18" customHeight="1">
      <c r="C2129" s="6" t="s">
        <v>5177</v>
      </c>
      <c r="D2129" s="13" t="s">
        <v>1812</v>
      </c>
      <c r="E2129" s="21"/>
      <c r="F2129" s="38"/>
      <c r="G2129" s="38" t="s">
        <v>218</v>
      </c>
      <c r="H2129" s="39"/>
      <c r="I2129" s="94"/>
      <c r="J2129" s="39">
        <v>1</v>
      </c>
      <c r="K2129" s="611">
        <v>12</v>
      </c>
      <c r="L2129" s="598">
        <f>K2129*J2129</f>
        <v>12</v>
      </c>
      <c r="M2129" s="33"/>
      <c r="N2129" s="33">
        <v>46038</v>
      </c>
      <c r="O2129" s="32">
        <v>7745</v>
      </c>
      <c r="P2129" s="1817">
        <v>1000</v>
      </c>
      <c r="Q2129" s="1817">
        <v>1000</v>
      </c>
      <c r="S2129" s="7">
        <f t="shared" ref="S2129:S2139" si="656">P2129</f>
        <v>1000</v>
      </c>
      <c r="T2129" s="1318">
        <f t="shared" ref="T2129:T2139" si="657">Q2129</f>
        <v>1000</v>
      </c>
      <c r="U2129" s="83">
        <v>140</v>
      </c>
      <c r="V2129" s="1560">
        <f t="shared" si="655"/>
        <v>0.40476190476190477</v>
      </c>
    </row>
    <row r="2130" spans="3:22" s="159" customFormat="1" ht="18" customHeight="1">
      <c r="C2130" s="149" t="s">
        <v>5177</v>
      </c>
      <c r="D2130" s="150" t="s">
        <v>1812</v>
      </c>
      <c r="E2130" s="151"/>
      <c r="F2130" s="152"/>
      <c r="G2130" s="152" t="s">
        <v>168</v>
      </c>
      <c r="H2130" s="154" t="s">
        <v>169</v>
      </c>
      <c r="I2130" s="155"/>
      <c r="J2130" s="153"/>
      <c r="K2130" s="600">
        <v>0</v>
      </c>
      <c r="L2130" s="601"/>
      <c r="M2130" s="601"/>
      <c r="N2130" s="157">
        <v>46038</v>
      </c>
      <c r="O2130" s="156">
        <v>7745</v>
      </c>
      <c r="P2130" s="1967">
        <v>0</v>
      </c>
      <c r="Q2130" s="1968">
        <v>0</v>
      </c>
      <c r="S2130" s="7">
        <f t="shared" si="656"/>
        <v>0</v>
      </c>
      <c r="T2130" s="1318">
        <f t="shared" si="657"/>
        <v>0</v>
      </c>
      <c r="U2130" s="83">
        <v>140</v>
      </c>
      <c r="V2130" s="1560" t="e">
        <f t="shared" si="655"/>
        <v>#DIV/0!</v>
      </c>
    </row>
    <row r="2131" spans="3:22" s="7" customFormat="1" ht="18" customHeight="1" thickBot="1">
      <c r="C2131" s="1483" t="s">
        <v>5183</v>
      </c>
      <c r="D2131" s="13" t="s">
        <v>5044</v>
      </c>
      <c r="E2131" s="18" t="s">
        <v>5047</v>
      </c>
      <c r="F2131" s="23"/>
      <c r="G2131" s="21"/>
      <c r="H2131" s="39"/>
      <c r="I2131" s="56"/>
      <c r="J2131" s="55"/>
      <c r="K2131" s="15" t="s">
        <v>8</v>
      </c>
      <c r="L2131" s="33"/>
      <c r="M2131" s="33"/>
      <c r="N2131" s="33">
        <v>46085</v>
      </c>
      <c r="O2131" s="32">
        <v>7922</v>
      </c>
      <c r="P2131" s="1477"/>
      <c r="Q2131" s="83"/>
      <c r="S2131" s="7">
        <f t="shared" si="656"/>
        <v>0</v>
      </c>
      <c r="T2131" s="1318">
        <f t="shared" si="657"/>
        <v>0</v>
      </c>
      <c r="U2131" s="83">
        <v>125</v>
      </c>
    </row>
    <row r="2132" spans="3:22" s="7" customFormat="1" ht="18" customHeight="1" thickBot="1">
      <c r="C2132" s="1483" t="s">
        <v>5183</v>
      </c>
      <c r="D2132" s="13" t="s">
        <v>5044</v>
      </c>
      <c r="E2132" s="740" t="s">
        <v>5046</v>
      </c>
      <c r="F2132" s="23" t="s">
        <v>2491</v>
      </c>
      <c r="G2132" s="21" t="s">
        <v>5048</v>
      </c>
      <c r="H2132" s="17">
        <v>45.7</v>
      </c>
      <c r="I2132" s="94">
        <v>1</v>
      </c>
      <c r="J2132" s="17">
        <f t="shared" ref="J2132" si="658">H2132*I2132</f>
        <v>45.7</v>
      </c>
      <c r="K2132" s="597">
        <v>19.62</v>
      </c>
      <c r="L2132" s="598">
        <f t="shared" ref="L2132:L2138" si="659">K2132*J2132</f>
        <v>896.63400000000013</v>
      </c>
      <c r="M2132" s="97" t="s">
        <v>224</v>
      </c>
      <c r="N2132" s="33">
        <v>46085</v>
      </c>
      <c r="O2132" s="32">
        <v>7922</v>
      </c>
      <c r="P2132" s="1897">
        <v>2060</v>
      </c>
      <c r="Q2132" s="83">
        <f t="shared" ref="Q2132:Q2138" si="660">P2132*J2132</f>
        <v>94142</v>
      </c>
      <c r="S2132" s="7">
        <f t="shared" si="656"/>
        <v>2060</v>
      </c>
      <c r="T2132" s="1318">
        <f t="shared" si="657"/>
        <v>94142</v>
      </c>
      <c r="U2132" s="83">
        <v>140</v>
      </c>
      <c r="V2132" s="1560">
        <f t="shared" ref="V2132:V2138" si="661">(((K2132*U2132)-P2132)/(K2132*U2132))</f>
        <v>0.25003640599970878</v>
      </c>
    </row>
    <row r="2133" spans="3:22" s="7" customFormat="1" ht="18" customHeight="1" thickBot="1">
      <c r="C2133" s="1483" t="s">
        <v>5183</v>
      </c>
      <c r="D2133" s="13" t="s">
        <v>5044</v>
      </c>
      <c r="E2133" s="740" t="s">
        <v>5046</v>
      </c>
      <c r="F2133" s="23" t="s">
        <v>2491</v>
      </c>
      <c r="G2133" s="21" t="s">
        <v>5048</v>
      </c>
      <c r="H2133" s="17">
        <v>45.4</v>
      </c>
      <c r="I2133" s="94">
        <v>1</v>
      </c>
      <c r="J2133" s="17">
        <f t="shared" ref="J2133:J2138" si="662">H2133*I2133</f>
        <v>45.4</v>
      </c>
      <c r="K2133" s="597">
        <v>19.62</v>
      </c>
      <c r="L2133" s="598">
        <f t="shared" si="659"/>
        <v>890.74800000000005</v>
      </c>
      <c r="M2133" s="97" t="s">
        <v>224</v>
      </c>
      <c r="N2133" s="33">
        <v>46085</v>
      </c>
      <c r="O2133" s="32">
        <v>7922</v>
      </c>
      <c r="P2133" s="1897">
        <v>2060</v>
      </c>
      <c r="Q2133" s="83">
        <f t="shared" si="660"/>
        <v>93524</v>
      </c>
      <c r="S2133" s="7">
        <f t="shared" ref="S2133:S2138" si="663">P2133</f>
        <v>2060</v>
      </c>
      <c r="T2133" s="1318">
        <f t="shared" ref="T2133:T2138" si="664">Q2133</f>
        <v>93524</v>
      </c>
      <c r="U2133" s="83">
        <v>140</v>
      </c>
      <c r="V2133" s="1560">
        <f t="shared" si="661"/>
        <v>0.25003640599970878</v>
      </c>
    </row>
    <row r="2134" spans="3:22" s="7" customFormat="1" ht="18" customHeight="1" thickBot="1">
      <c r="C2134" s="1483" t="s">
        <v>5183</v>
      </c>
      <c r="D2134" s="13" t="s">
        <v>5044</v>
      </c>
      <c r="E2134" s="740" t="s">
        <v>5046</v>
      </c>
      <c r="F2134" s="23" t="s">
        <v>2491</v>
      </c>
      <c r="G2134" s="21" t="s">
        <v>5048</v>
      </c>
      <c r="H2134" s="17">
        <v>44.8</v>
      </c>
      <c r="I2134" s="94">
        <v>1</v>
      </c>
      <c r="J2134" s="17">
        <f t="shared" si="662"/>
        <v>44.8</v>
      </c>
      <c r="K2134" s="597">
        <v>19.62</v>
      </c>
      <c r="L2134" s="598">
        <f t="shared" si="659"/>
        <v>878.976</v>
      </c>
      <c r="M2134" s="97" t="s">
        <v>224</v>
      </c>
      <c r="N2134" s="33">
        <v>46085</v>
      </c>
      <c r="O2134" s="32">
        <v>7922</v>
      </c>
      <c r="P2134" s="1897">
        <v>2060</v>
      </c>
      <c r="Q2134" s="83">
        <f t="shared" si="660"/>
        <v>92288</v>
      </c>
      <c r="S2134" s="7">
        <f t="shared" si="663"/>
        <v>2060</v>
      </c>
      <c r="T2134" s="1318">
        <f t="shared" si="664"/>
        <v>92288</v>
      </c>
      <c r="U2134" s="83">
        <v>140</v>
      </c>
      <c r="V2134" s="1560">
        <f t="shared" si="661"/>
        <v>0.25003640599970878</v>
      </c>
    </row>
    <row r="2135" spans="3:22" s="7" customFormat="1" ht="18" customHeight="1" thickBot="1">
      <c r="C2135" s="1483" t="s">
        <v>5183</v>
      </c>
      <c r="D2135" s="13" t="s">
        <v>5044</v>
      </c>
      <c r="E2135" s="740" t="s">
        <v>5046</v>
      </c>
      <c r="F2135" s="23" t="s">
        <v>2491</v>
      </c>
      <c r="G2135" s="21" t="s">
        <v>5048</v>
      </c>
      <c r="H2135" s="17">
        <v>45.5</v>
      </c>
      <c r="I2135" s="94">
        <v>1</v>
      </c>
      <c r="J2135" s="17">
        <f t="shared" si="662"/>
        <v>45.5</v>
      </c>
      <c r="K2135" s="597">
        <v>19.62</v>
      </c>
      <c r="L2135" s="598">
        <f t="shared" si="659"/>
        <v>892.71</v>
      </c>
      <c r="M2135" s="97" t="s">
        <v>224</v>
      </c>
      <c r="N2135" s="33">
        <v>46085</v>
      </c>
      <c r="O2135" s="32">
        <v>7922</v>
      </c>
      <c r="P2135" s="1897">
        <v>2060</v>
      </c>
      <c r="Q2135" s="83">
        <f t="shared" si="660"/>
        <v>93730</v>
      </c>
      <c r="S2135" s="7">
        <f t="shared" si="663"/>
        <v>2060</v>
      </c>
      <c r="T2135" s="1318">
        <f t="shared" si="664"/>
        <v>93730</v>
      </c>
      <c r="U2135" s="83">
        <v>140</v>
      </c>
      <c r="V2135" s="1560">
        <f t="shared" si="661"/>
        <v>0.25003640599970878</v>
      </c>
    </row>
    <row r="2136" spans="3:22" s="7" customFormat="1" ht="18" customHeight="1" thickBot="1">
      <c r="C2136" s="1483" t="s">
        <v>5183</v>
      </c>
      <c r="D2136" s="13" t="s">
        <v>5044</v>
      </c>
      <c r="E2136" s="740" t="s">
        <v>5046</v>
      </c>
      <c r="F2136" s="23" t="s">
        <v>2491</v>
      </c>
      <c r="G2136" s="21" t="s">
        <v>5048</v>
      </c>
      <c r="H2136" s="17">
        <v>45.6</v>
      </c>
      <c r="I2136" s="94">
        <v>1</v>
      </c>
      <c r="J2136" s="17">
        <f t="shared" si="662"/>
        <v>45.6</v>
      </c>
      <c r="K2136" s="597">
        <v>19.62</v>
      </c>
      <c r="L2136" s="598">
        <f t="shared" si="659"/>
        <v>894.67200000000003</v>
      </c>
      <c r="M2136" s="97" t="s">
        <v>224</v>
      </c>
      <c r="N2136" s="33">
        <v>46085</v>
      </c>
      <c r="O2136" s="32">
        <v>7922</v>
      </c>
      <c r="P2136" s="1897">
        <v>2060</v>
      </c>
      <c r="Q2136" s="83">
        <f t="shared" si="660"/>
        <v>93936</v>
      </c>
      <c r="S2136" s="7">
        <f t="shared" si="663"/>
        <v>2060</v>
      </c>
      <c r="T2136" s="1318">
        <f t="shared" si="664"/>
        <v>93936</v>
      </c>
      <c r="U2136" s="83">
        <v>140</v>
      </c>
      <c r="V2136" s="1560">
        <f t="shared" si="661"/>
        <v>0.25003640599970878</v>
      </c>
    </row>
    <row r="2137" spans="3:22" s="7" customFormat="1" ht="18" customHeight="1" thickBot="1">
      <c r="C2137" s="1483" t="s">
        <v>5183</v>
      </c>
      <c r="D2137" s="13" t="s">
        <v>5044</v>
      </c>
      <c r="E2137" s="740" t="s">
        <v>5046</v>
      </c>
      <c r="F2137" s="23" t="s">
        <v>2491</v>
      </c>
      <c r="G2137" s="21" t="s">
        <v>5048</v>
      </c>
      <c r="H2137" s="17">
        <v>45.7</v>
      </c>
      <c r="I2137" s="94">
        <v>1</v>
      </c>
      <c r="J2137" s="17">
        <f t="shared" si="662"/>
        <v>45.7</v>
      </c>
      <c r="K2137" s="597">
        <v>19.62</v>
      </c>
      <c r="L2137" s="598">
        <f t="shared" si="659"/>
        <v>896.63400000000013</v>
      </c>
      <c r="M2137" s="97" t="s">
        <v>224</v>
      </c>
      <c r="N2137" s="33">
        <v>46085</v>
      </c>
      <c r="O2137" s="32">
        <v>7922</v>
      </c>
      <c r="P2137" s="1897">
        <v>2060</v>
      </c>
      <c r="Q2137" s="83">
        <f t="shared" si="660"/>
        <v>94142</v>
      </c>
      <c r="S2137" s="7">
        <f t="shared" si="663"/>
        <v>2060</v>
      </c>
      <c r="T2137" s="1318">
        <f t="shared" si="664"/>
        <v>94142</v>
      </c>
      <c r="U2137" s="83">
        <v>140</v>
      </c>
      <c r="V2137" s="1560">
        <f t="shared" si="661"/>
        <v>0.25003640599970878</v>
      </c>
    </row>
    <row r="2138" spans="3:22" s="7" customFormat="1" ht="18" customHeight="1" thickBot="1">
      <c r="C2138" s="1483" t="s">
        <v>5183</v>
      </c>
      <c r="D2138" s="13" t="s">
        <v>5044</v>
      </c>
      <c r="E2138" s="740" t="s">
        <v>5046</v>
      </c>
      <c r="F2138" s="23" t="s">
        <v>2491</v>
      </c>
      <c r="G2138" s="21" t="s">
        <v>5048</v>
      </c>
      <c r="H2138" s="17">
        <v>45.9</v>
      </c>
      <c r="I2138" s="94">
        <v>1</v>
      </c>
      <c r="J2138" s="17">
        <f t="shared" si="662"/>
        <v>45.9</v>
      </c>
      <c r="K2138" s="597">
        <v>19.62</v>
      </c>
      <c r="L2138" s="598">
        <f t="shared" si="659"/>
        <v>900.55799999999999</v>
      </c>
      <c r="M2138" s="97" t="s">
        <v>224</v>
      </c>
      <c r="N2138" s="33">
        <v>46085</v>
      </c>
      <c r="O2138" s="32">
        <v>7922</v>
      </c>
      <c r="P2138" s="1897">
        <v>2060</v>
      </c>
      <c r="Q2138" s="83">
        <f t="shared" si="660"/>
        <v>94554</v>
      </c>
      <c r="S2138" s="7">
        <f t="shared" si="663"/>
        <v>2060</v>
      </c>
      <c r="T2138" s="1318">
        <f t="shared" si="664"/>
        <v>94554</v>
      </c>
      <c r="U2138" s="83">
        <v>140</v>
      </c>
      <c r="V2138" s="1560">
        <f t="shared" si="661"/>
        <v>0.25003640599970878</v>
      </c>
    </row>
    <row r="2139" spans="3:22" s="159" customFormat="1" ht="18" customHeight="1">
      <c r="C2139" s="1484" t="s">
        <v>5183</v>
      </c>
      <c r="D2139" s="150" t="s">
        <v>5044</v>
      </c>
      <c r="E2139" s="191"/>
      <c r="F2139" s="152"/>
      <c r="G2139" s="152" t="s">
        <v>4904</v>
      </c>
      <c r="H2139" s="154" t="s">
        <v>4903</v>
      </c>
      <c r="I2139" s="155"/>
      <c r="J2139" s="154">
        <v>1</v>
      </c>
      <c r="K2139" s="911">
        <v>0</v>
      </c>
      <c r="L2139" s="911">
        <v>0</v>
      </c>
      <c r="M2139" s="601"/>
      <c r="N2139" s="157">
        <v>46085</v>
      </c>
      <c r="O2139" s="156">
        <v>7922</v>
      </c>
      <c r="P2139" s="1870">
        <v>0</v>
      </c>
      <c r="Q2139" s="1870">
        <v>0</v>
      </c>
      <c r="S2139" s="83">
        <f t="shared" si="656"/>
        <v>0</v>
      </c>
      <c r="T2139" s="1455">
        <f t="shared" si="657"/>
        <v>0</v>
      </c>
      <c r="U2139" s="83">
        <v>125</v>
      </c>
      <c r="V2139" s="1560" t="e">
        <f t="shared" ref="V2139" si="665">(((K2139*U2139)-P2139)/(K2139*U2139))</f>
        <v>#DIV/0!</v>
      </c>
    </row>
  </sheetData>
  <autoFilter ref="A1:W2139" xr:uid="{00000000-0001-0000-0000-000000000000}"/>
  <phoneticPr fontId="4"/>
  <pageMargins left="0.39370078740157483" right="0" top="0.59055118110236227" bottom="0" header="0.51181102362204722" footer="0.51181102362204722"/>
  <pageSetup paperSize="9" scale="10" orientation="portrait" r:id="rId1"/>
  <headerFooter alignWithMargins="0"/>
  <rowBreaks count="4" manualBreakCount="4">
    <brk id="1038" min="2" max="14" man="1"/>
    <brk id="1511" min="2" max="14" man="1"/>
    <brk id="1990" min="2" max="14" man="1"/>
    <brk id="2022" min="2" max="14" man="1"/>
  </row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79"/>
  <sheetViews>
    <sheetView topLeftCell="F19" zoomScale="85" zoomScaleNormal="85" workbookViewId="0">
      <selection activeCell="I51" sqref="I51"/>
    </sheetView>
  </sheetViews>
  <sheetFormatPr defaultColWidth="9" defaultRowHeight="15"/>
  <cols>
    <col min="1" max="1" width="13.125" style="414" bestFit="1" customWidth="1"/>
    <col min="2" max="2" width="9" style="414"/>
    <col min="3" max="3" width="58" style="414" bestFit="1" customWidth="1"/>
    <col min="4" max="4" width="10" style="414" bestFit="1" customWidth="1"/>
    <col min="5" max="5" width="45.5" style="414" bestFit="1" customWidth="1"/>
    <col min="6" max="6" width="57.75" style="414" bestFit="1" customWidth="1"/>
    <col min="7" max="7" width="44.75" style="414" bestFit="1" customWidth="1"/>
    <col min="8" max="8" width="29.5" style="414" bestFit="1" customWidth="1"/>
    <col min="9" max="9" width="24.5" style="414" bestFit="1" customWidth="1"/>
    <col min="10" max="10" width="15.25" style="414" bestFit="1" customWidth="1"/>
    <col min="11" max="16384" width="9" style="414"/>
  </cols>
  <sheetData>
    <row r="1" spans="1:10" ht="18.75">
      <c r="A1" s="417" t="s">
        <v>1038</v>
      </c>
      <c r="B1" s="417" t="s">
        <v>1039</v>
      </c>
      <c r="C1" s="418" t="s">
        <v>1044</v>
      </c>
      <c r="D1" s="414" t="s">
        <v>773</v>
      </c>
      <c r="E1" s="414" t="s">
        <v>774</v>
      </c>
      <c r="F1" s="414" t="s">
        <v>775</v>
      </c>
      <c r="G1" s="414" t="s">
        <v>776</v>
      </c>
      <c r="H1" s="414" t="s">
        <v>777</v>
      </c>
      <c r="I1" s="414" t="s">
        <v>781</v>
      </c>
      <c r="J1" s="414" t="s">
        <v>3505</v>
      </c>
    </row>
    <row r="2" spans="1:10">
      <c r="A2" s="414">
        <v>6001</v>
      </c>
      <c r="C2" s="414" t="s">
        <v>409</v>
      </c>
      <c r="D2" s="414">
        <v>10012</v>
      </c>
      <c r="E2" s="414" t="s">
        <v>410</v>
      </c>
      <c r="F2" s="414" t="s">
        <v>782</v>
      </c>
      <c r="G2" s="414" t="s">
        <v>414</v>
      </c>
    </row>
    <row r="3" spans="1:10">
      <c r="A3" s="414">
        <v>6002</v>
      </c>
      <c r="C3" s="414" t="s">
        <v>1040</v>
      </c>
      <c r="E3" s="414" t="s">
        <v>411</v>
      </c>
      <c r="F3" s="414" t="s">
        <v>783</v>
      </c>
      <c r="G3" s="414" t="s">
        <v>223</v>
      </c>
      <c r="H3" s="414" t="s">
        <v>1047</v>
      </c>
    </row>
    <row r="4" spans="1:10">
      <c r="A4" s="414" t="s">
        <v>900</v>
      </c>
      <c r="C4" s="414" t="s">
        <v>901</v>
      </c>
      <c r="D4" s="414">
        <v>400025</v>
      </c>
      <c r="E4" s="414" t="s">
        <v>902</v>
      </c>
      <c r="F4" s="414" t="s">
        <v>1012</v>
      </c>
      <c r="G4" s="414" t="s">
        <v>1011</v>
      </c>
      <c r="H4" s="414" t="s">
        <v>1097</v>
      </c>
    </row>
    <row r="5" spans="1:10">
      <c r="A5" s="414">
        <v>6005</v>
      </c>
      <c r="C5" s="414" t="s">
        <v>412</v>
      </c>
      <c r="D5" s="414">
        <v>90014</v>
      </c>
      <c r="E5" s="414" t="s">
        <v>413</v>
      </c>
      <c r="F5" s="414" t="s">
        <v>785</v>
      </c>
      <c r="G5" s="414" t="s">
        <v>414</v>
      </c>
      <c r="H5" s="414" t="s">
        <v>1098</v>
      </c>
      <c r="I5" s="414" t="s">
        <v>415</v>
      </c>
    </row>
    <row r="6" spans="1:10">
      <c r="A6" s="414">
        <v>6006</v>
      </c>
      <c r="C6" s="414" t="s">
        <v>416</v>
      </c>
      <c r="D6" s="414">
        <v>10013</v>
      </c>
      <c r="E6" s="414" t="s">
        <v>417</v>
      </c>
      <c r="F6" s="414" t="s">
        <v>787</v>
      </c>
      <c r="G6" s="414" t="s">
        <v>414</v>
      </c>
      <c r="H6" s="414" t="s">
        <v>418</v>
      </c>
    </row>
    <row r="7" spans="1:10">
      <c r="A7" s="414">
        <v>6007</v>
      </c>
      <c r="C7" s="414" t="s">
        <v>419</v>
      </c>
      <c r="D7" s="414">
        <v>10018</v>
      </c>
      <c r="E7" s="414" t="s">
        <v>420</v>
      </c>
      <c r="F7" s="414" t="s">
        <v>787</v>
      </c>
      <c r="G7" s="414" t="s">
        <v>414</v>
      </c>
      <c r="H7" s="414" t="s">
        <v>1048</v>
      </c>
      <c r="I7" s="414" t="s">
        <v>421</v>
      </c>
    </row>
    <row r="8" spans="1:10">
      <c r="A8" s="414">
        <v>7020</v>
      </c>
      <c r="C8" s="414" t="s">
        <v>645</v>
      </c>
      <c r="D8" s="414">
        <v>75011</v>
      </c>
      <c r="E8" s="414" t="s">
        <v>646</v>
      </c>
      <c r="F8" s="414" t="s">
        <v>647</v>
      </c>
      <c r="G8" s="414" t="s">
        <v>853</v>
      </c>
      <c r="H8" s="414" t="s">
        <v>1099</v>
      </c>
      <c r="I8" s="414" t="s">
        <v>648</v>
      </c>
    </row>
    <row r="9" spans="1:10">
      <c r="A9" s="414">
        <v>6008</v>
      </c>
      <c r="C9" s="414" t="s">
        <v>422</v>
      </c>
      <c r="D9" s="414">
        <v>90046</v>
      </c>
      <c r="E9" s="414" t="s">
        <v>423</v>
      </c>
      <c r="F9" s="414" t="s">
        <v>785</v>
      </c>
      <c r="G9" s="414" t="s">
        <v>414</v>
      </c>
      <c r="H9" s="414" t="s">
        <v>1049</v>
      </c>
      <c r="I9" s="414" t="s">
        <v>424</v>
      </c>
    </row>
    <row r="10" spans="1:10">
      <c r="A10" s="414">
        <v>6009</v>
      </c>
      <c r="C10" s="414" t="s">
        <v>425</v>
      </c>
      <c r="D10" s="414">
        <v>10018</v>
      </c>
      <c r="E10" s="414" t="s">
        <v>426</v>
      </c>
      <c r="F10" s="414" t="s">
        <v>787</v>
      </c>
      <c r="G10" s="414" t="s">
        <v>414</v>
      </c>
      <c r="H10" s="414" t="s">
        <v>1050</v>
      </c>
      <c r="I10" s="414" t="s">
        <v>427</v>
      </c>
    </row>
    <row r="11" spans="1:10">
      <c r="A11" s="414">
        <v>6011</v>
      </c>
      <c r="C11" s="414" t="s">
        <v>428</v>
      </c>
      <c r="D11" s="414">
        <v>75207</v>
      </c>
      <c r="E11" s="414" t="s">
        <v>429</v>
      </c>
      <c r="F11" s="414" t="s">
        <v>788</v>
      </c>
      <c r="G11" s="414" t="s">
        <v>414</v>
      </c>
      <c r="H11" s="414" t="s">
        <v>430</v>
      </c>
    </row>
    <row r="12" spans="1:10">
      <c r="A12" s="414">
        <v>6012</v>
      </c>
      <c r="C12" s="414" t="s">
        <v>431</v>
      </c>
      <c r="D12" s="414">
        <v>10018</v>
      </c>
      <c r="E12" s="414" t="s">
        <v>432</v>
      </c>
      <c r="F12" s="414" t="s">
        <v>787</v>
      </c>
      <c r="G12" s="414" t="s">
        <v>414</v>
      </c>
      <c r="H12" s="414" t="s">
        <v>1051</v>
      </c>
      <c r="I12" s="414" t="s">
        <v>433</v>
      </c>
    </row>
    <row r="13" spans="1:10">
      <c r="A13" s="414">
        <v>6014</v>
      </c>
      <c r="C13" s="414" t="s">
        <v>434</v>
      </c>
      <c r="D13" s="414">
        <v>90015</v>
      </c>
      <c r="E13" s="414" t="s">
        <v>435</v>
      </c>
      <c r="F13" s="414" t="s">
        <v>785</v>
      </c>
      <c r="G13" s="414" t="s">
        <v>414</v>
      </c>
      <c r="H13" s="414" t="s">
        <v>1052</v>
      </c>
      <c r="I13" s="414" t="s">
        <v>436</v>
      </c>
    </row>
    <row r="14" spans="1:10">
      <c r="A14" s="414">
        <v>7023</v>
      </c>
      <c r="C14" s="414" t="s">
        <v>649</v>
      </c>
      <c r="D14" s="414">
        <v>230088</v>
      </c>
      <c r="E14" s="414" t="s">
        <v>650</v>
      </c>
      <c r="F14" s="414" t="s">
        <v>854</v>
      </c>
      <c r="G14" s="414" t="s">
        <v>223</v>
      </c>
      <c r="H14" s="414" t="s">
        <v>1100</v>
      </c>
      <c r="I14" s="414" t="s">
        <v>651</v>
      </c>
    </row>
    <row r="15" spans="1:10">
      <c r="A15" s="414">
        <v>6015</v>
      </c>
      <c r="C15" s="414" t="s">
        <v>437</v>
      </c>
      <c r="D15" s="414">
        <v>10018</v>
      </c>
      <c r="E15" s="414" t="s">
        <v>438</v>
      </c>
      <c r="F15" s="414" t="s">
        <v>787</v>
      </c>
      <c r="G15" s="414" t="s">
        <v>414</v>
      </c>
      <c r="H15" s="414" t="s">
        <v>439</v>
      </c>
    </row>
    <row r="16" spans="1:10">
      <c r="A16" s="414">
        <v>6020</v>
      </c>
      <c r="C16" s="414" t="s">
        <v>440</v>
      </c>
      <c r="D16" s="414">
        <v>90015</v>
      </c>
      <c r="E16" s="414" t="s">
        <v>441</v>
      </c>
      <c r="F16" s="414" t="s">
        <v>785</v>
      </c>
      <c r="G16" s="414" t="s">
        <v>414</v>
      </c>
      <c r="H16" s="414" t="s">
        <v>442</v>
      </c>
    </row>
    <row r="17" spans="1:9">
      <c r="A17" s="414">
        <v>6021</v>
      </c>
      <c r="C17" s="414" t="s">
        <v>443</v>
      </c>
      <c r="E17" s="414" t="s">
        <v>444</v>
      </c>
      <c r="F17" s="414" t="s">
        <v>784</v>
      </c>
      <c r="G17" s="414" t="s">
        <v>223</v>
      </c>
      <c r="H17" s="414" t="s">
        <v>1053</v>
      </c>
      <c r="I17" s="414" t="s">
        <v>446</v>
      </c>
    </row>
    <row r="18" spans="1:9">
      <c r="A18" s="414">
        <v>7030</v>
      </c>
      <c r="C18" s="414" t="s">
        <v>652</v>
      </c>
      <c r="D18" s="414">
        <v>75002</v>
      </c>
      <c r="E18" s="414" t="s">
        <v>653</v>
      </c>
      <c r="F18" s="414" t="s">
        <v>647</v>
      </c>
      <c r="G18" s="414" t="s">
        <v>853</v>
      </c>
      <c r="H18" s="414" t="s">
        <v>1101</v>
      </c>
      <c r="I18" s="414" t="s">
        <v>654</v>
      </c>
    </row>
    <row r="19" spans="1:9">
      <c r="A19" s="414">
        <v>7042</v>
      </c>
      <c r="C19" s="414" t="s">
        <v>655</v>
      </c>
      <c r="D19" s="414">
        <v>75116</v>
      </c>
      <c r="E19" s="414" t="s">
        <v>656</v>
      </c>
      <c r="F19" s="414" t="s">
        <v>647</v>
      </c>
      <c r="G19" s="414" t="s">
        <v>853</v>
      </c>
      <c r="H19" s="414" t="s">
        <v>1102</v>
      </c>
      <c r="I19" s="414" t="s">
        <v>657</v>
      </c>
    </row>
    <row r="20" spans="1:9">
      <c r="A20" s="414">
        <v>6041</v>
      </c>
      <c r="C20" s="414" t="s">
        <v>447</v>
      </c>
      <c r="D20" s="414">
        <v>90058</v>
      </c>
      <c r="E20" s="414" t="s">
        <v>448</v>
      </c>
      <c r="F20" s="414" t="s">
        <v>789</v>
      </c>
      <c r="G20" s="414" t="s">
        <v>414</v>
      </c>
      <c r="H20" s="414" t="s">
        <v>1054</v>
      </c>
      <c r="I20" s="414" t="s">
        <v>449</v>
      </c>
    </row>
    <row r="21" spans="1:9">
      <c r="A21" s="414">
        <v>6045</v>
      </c>
      <c r="C21" s="414" t="s">
        <v>450</v>
      </c>
      <c r="D21" s="414">
        <v>92663</v>
      </c>
      <c r="E21" s="414" t="s">
        <v>451</v>
      </c>
      <c r="F21" s="414" t="s">
        <v>790</v>
      </c>
      <c r="G21" s="414" t="s">
        <v>414</v>
      </c>
      <c r="H21" s="414" t="s">
        <v>1055</v>
      </c>
      <c r="I21" s="414" t="s">
        <v>452</v>
      </c>
    </row>
    <row r="22" spans="1:9">
      <c r="A22" s="414">
        <v>6046</v>
      </c>
      <c r="C22" s="414" t="s">
        <v>453</v>
      </c>
      <c r="D22" s="414">
        <v>60647</v>
      </c>
      <c r="E22" s="414" t="s">
        <v>454</v>
      </c>
      <c r="F22" s="414" t="s">
        <v>791</v>
      </c>
      <c r="G22" s="414" t="s">
        <v>414</v>
      </c>
      <c r="H22" s="414" t="s">
        <v>1056</v>
      </c>
      <c r="I22" s="414" t="s">
        <v>455</v>
      </c>
    </row>
    <row r="23" spans="1:9">
      <c r="A23" s="414">
        <v>7047</v>
      </c>
      <c r="C23" s="414" t="s">
        <v>658</v>
      </c>
      <c r="D23" s="414">
        <v>75002</v>
      </c>
      <c r="E23" s="414" t="s">
        <v>659</v>
      </c>
      <c r="F23" s="414" t="s">
        <v>647</v>
      </c>
      <c r="G23" s="414" t="s">
        <v>853</v>
      </c>
      <c r="H23" s="414" t="s">
        <v>1103</v>
      </c>
      <c r="I23" s="414" t="s">
        <v>660</v>
      </c>
    </row>
    <row r="24" spans="1:9">
      <c r="A24" s="414">
        <v>6050</v>
      </c>
      <c r="C24" s="414" t="s">
        <v>456</v>
      </c>
      <c r="D24" s="414">
        <v>10013</v>
      </c>
      <c r="E24" s="414" t="s">
        <v>457</v>
      </c>
      <c r="F24" s="414" t="s">
        <v>787</v>
      </c>
      <c r="G24" s="414" t="s">
        <v>414</v>
      </c>
      <c r="H24" s="414" t="s">
        <v>1057</v>
      </c>
    </row>
    <row r="25" spans="1:9">
      <c r="A25" s="414">
        <v>7065</v>
      </c>
      <c r="C25" s="414" t="s">
        <v>661</v>
      </c>
      <c r="D25" s="414">
        <v>75116</v>
      </c>
      <c r="E25" s="414" t="s">
        <v>662</v>
      </c>
      <c r="F25" s="414" t="s">
        <v>647</v>
      </c>
      <c r="G25" s="414" t="s">
        <v>853</v>
      </c>
      <c r="H25" s="414" t="s">
        <v>1104</v>
      </c>
      <c r="I25" s="414" t="s">
        <v>663</v>
      </c>
    </row>
    <row r="26" spans="1:9">
      <c r="A26" s="414">
        <v>7068</v>
      </c>
      <c r="C26" s="414" t="s">
        <v>664</v>
      </c>
      <c r="D26" s="414">
        <v>4004</v>
      </c>
      <c r="E26" s="414" t="s">
        <v>665</v>
      </c>
      <c r="F26" s="414" t="s">
        <v>666</v>
      </c>
      <c r="G26" s="414" t="s">
        <v>855</v>
      </c>
      <c r="H26" s="414" t="s">
        <v>1105</v>
      </c>
      <c r="I26" s="414" t="s">
        <v>667</v>
      </c>
    </row>
    <row r="27" spans="1:9">
      <c r="A27" s="414" t="s">
        <v>909</v>
      </c>
      <c r="C27" s="414" t="s">
        <v>910</v>
      </c>
      <c r="D27" s="414">
        <v>10013</v>
      </c>
      <c r="E27" s="414" t="s">
        <v>911</v>
      </c>
      <c r="F27" s="414" t="s">
        <v>787</v>
      </c>
      <c r="G27" s="414" t="s">
        <v>414</v>
      </c>
      <c r="H27" s="414" t="s">
        <v>1106</v>
      </c>
    </row>
    <row r="28" spans="1:9">
      <c r="A28" s="414">
        <v>6060</v>
      </c>
      <c r="C28" s="414" t="s">
        <v>458</v>
      </c>
      <c r="D28" s="414">
        <v>90007</v>
      </c>
      <c r="E28" s="414" t="s">
        <v>459</v>
      </c>
      <c r="F28" s="414" t="s">
        <v>785</v>
      </c>
      <c r="G28" s="414" t="s">
        <v>414</v>
      </c>
      <c r="H28" s="414" t="s">
        <v>1058</v>
      </c>
      <c r="I28" s="414" t="s">
        <v>460</v>
      </c>
    </row>
    <row r="29" spans="1:9">
      <c r="A29" s="414" t="s">
        <v>929</v>
      </c>
      <c r="C29" s="414" t="s">
        <v>930</v>
      </c>
      <c r="D29" s="414">
        <v>4475309</v>
      </c>
      <c r="E29" s="414" t="s">
        <v>931</v>
      </c>
      <c r="F29" s="414" t="s">
        <v>1018</v>
      </c>
      <c r="G29" s="414" t="s">
        <v>1019</v>
      </c>
      <c r="H29" s="414" t="s">
        <v>1107</v>
      </c>
    </row>
    <row r="30" spans="1:9">
      <c r="A30" s="414" t="s">
        <v>990</v>
      </c>
      <c r="C30" s="414" t="s">
        <v>991</v>
      </c>
      <c r="D30" s="414">
        <v>10018</v>
      </c>
      <c r="E30" s="414" t="s">
        <v>992</v>
      </c>
      <c r="F30" s="414" t="s">
        <v>782</v>
      </c>
      <c r="G30" s="414" t="s">
        <v>414</v>
      </c>
    </row>
    <row r="31" spans="1:9">
      <c r="A31" s="414">
        <v>6080</v>
      </c>
      <c r="C31" s="414" t="s">
        <v>461</v>
      </c>
      <c r="D31" s="414">
        <v>10018</v>
      </c>
      <c r="E31" s="414" t="s">
        <v>462</v>
      </c>
      <c r="F31" s="414" t="s">
        <v>787</v>
      </c>
      <c r="G31" s="414" t="s">
        <v>414</v>
      </c>
      <c r="H31" s="414" t="s">
        <v>463</v>
      </c>
      <c r="I31" s="414" t="s">
        <v>464</v>
      </c>
    </row>
    <row r="32" spans="1:9">
      <c r="A32" s="414">
        <v>7085</v>
      </c>
      <c r="C32" s="414" t="s">
        <v>668</v>
      </c>
      <c r="D32" s="414" t="s">
        <v>669</v>
      </c>
      <c r="E32" s="414" t="s">
        <v>871</v>
      </c>
      <c r="F32" s="414" t="s">
        <v>870</v>
      </c>
      <c r="G32" s="414" t="s">
        <v>1016</v>
      </c>
      <c r="H32" s="414" t="s">
        <v>1108</v>
      </c>
      <c r="I32" s="414" t="s">
        <v>670</v>
      </c>
    </row>
    <row r="33" spans="1:9">
      <c r="A33" s="414">
        <v>6085</v>
      </c>
      <c r="C33" s="414" t="s">
        <v>465</v>
      </c>
      <c r="D33" s="414">
        <v>27406</v>
      </c>
      <c r="E33" s="414" t="s">
        <v>466</v>
      </c>
      <c r="F33" s="414" t="s">
        <v>792</v>
      </c>
      <c r="G33" s="414" t="s">
        <v>414</v>
      </c>
      <c r="I33" s="414" t="s">
        <v>467</v>
      </c>
    </row>
    <row r="34" spans="1:9">
      <c r="A34" s="414">
        <v>6088</v>
      </c>
      <c r="C34" s="414" t="s">
        <v>468</v>
      </c>
      <c r="D34" s="414">
        <v>213000</v>
      </c>
      <c r="E34" s="414" t="s">
        <v>469</v>
      </c>
      <c r="F34" s="414" t="s">
        <v>793</v>
      </c>
      <c r="G34" s="414" t="s">
        <v>470</v>
      </c>
      <c r="H34" s="414" t="s">
        <v>1059</v>
      </c>
      <c r="I34" s="414" t="s">
        <v>471</v>
      </c>
    </row>
    <row r="35" spans="1:9">
      <c r="A35" s="414" t="s">
        <v>950</v>
      </c>
      <c r="C35" s="414" t="s">
        <v>951</v>
      </c>
      <c r="D35" s="414">
        <v>521000</v>
      </c>
      <c r="E35" s="414" t="s">
        <v>952</v>
      </c>
      <c r="F35" s="414" t="s">
        <v>1025</v>
      </c>
      <c r="G35" s="414" t="s">
        <v>223</v>
      </c>
      <c r="H35" s="414" t="s">
        <v>1071</v>
      </c>
    </row>
    <row r="36" spans="1:9">
      <c r="A36" s="414">
        <v>6089</v>
      </c>
      <c r="C36" s="414" t="s">
        <v>472</v>
      </c>
      <c r="D36" s="414">
        <v>213200</v>
      </c>
      <c r="E36" s="414" t="s">
        <v>794</v>
      </c>
      <c r="F36" s="414" t="s">
        <v>793</v>
      </c>
      <c r="G36" s="414" t="s">
        <v>223</v>
      </c>
      <c r="H36" s="414" t="s">
        <v>1091</v>
      </c>
      <c r="I36" s="414" t="s">
        <v>473</v>
      </c>
    </row>
    <row r="37" spans="1:9">
      <c r="A37" s="414" t="s">
        <v>895</v>
      </c>
      <c r="C37" s="414" t="s">
        <v>896</v>
      </c>
      <c r="D37" s="414">
        <v>518000</v>
      </c>
      <c r="E37" s="414" t="s">
        <v>999</v>
      </c>
      <c r="F37" s="414" t="s">
        <v>1008</v>
      </c>
      <c r="G37" s="414" t="s">
        <v>223</v>
      </c>
      <c r="H37" s="414" t="s">
        <v>1109</v>
      </c>
    </row>
    <row r="38" spans="1:9">
      <c r="A38" s="414">
        <v>6090</v>
      </c>
      <c r="C38" s="414" t="s">
        <v>474</v>
      </c>
      <c r="D38" s="414">
        <v>311100</v>
      </c>
      <c r="E38" s="414" t="s">
        <v>475</v>
      </c>
      <c r="F38" s="414" t="s">
        <v>795</v>
      </c>
      <c r="G38" s="414" t="s">
        <v>223</v>
      </c>
      <c r="H38" s="414" t="s">
        <v>1060</v>
      </c>
      <c r="I38" s="414" t="s">
        <v>476</v>
      </c>
    </row>
    <row r="39" spans="1:9">
      <c r="A39" s="414" t="s">
        <v>987</v>
      </c>
      <c r="C39" s="414" t="s">
        <v>988</v>
      </c>
      <c r="E39" s="414" t="s">
        <v>989</v>
      </c>
      <c r="F39" s="414" t="s">
        <v>1034</v>
      </c>
      <c r="G39" s="414" t="s">
        <v>223</v>
      </c>
    </row>
    <row r="40" spans="1:9">
      <c r="A40" s="414">
        <v>6091</v>
      </c>
      <c r="C40" s="414" t="s">
        <v>477</v>
      </c>
      <c r="E40" s="414" t="s">
        <v>478</v>
      </c>
      <c r="F40" s="414" t="s">
        <v>479</v>
      </c>
      <c r="G40" s="414" t="s">
        <v>223</v>
      </c>
      <c r="H40" s="414" t="s">
        <v>1061</v>
      </c>
      <c r="I40" s="414" t="s">
        <v>480</v>
      </c>
    </row>
    <row r="41" spans="1:9">
      <c r="A41" s="414">
        <v>6092</v>
      </c>
      <c r="C41" s="414" t="s">
        <v>481</v>
      </c>
      <c r="D41" s="414">
        <v>90011</v>
      </c>
      <c r="E41" s="414" t="s">
        <v>482</v>
      </c>
      <c r="F41" s="414" t="s">
        <v>785</v>
      </c>
      <c r="G41" s="414" t="s">
        <v>414</v>
      </c>
      <c r="H41" s="414" t="s">
        <v>1062</v>
      </c>
    </row>
    <row r="42" spans="1:9">
      <c r="A42" s="414" t="s">
        <v>961</v>
      </c>
      <c r="C42" s="414" t="s">
        <v>962</v>
      </c>
      <c r="D42" s="414">
        <v>90039</v>
      </c>
      <c r="E42" s="414" t="s">
        <v>821</v>
      </c>
      <c r="F42" s="414" t="s">
        <v>785</v>
      </c>
      <c r="G42" s="414" t="s">
        <v>414</v>
      </c>
      <c r="H42" s="414" t="s">
        <v>1110</v>
      </c>
    </row>
    <row r="43" spans="1:9">
      <c r="A43" s="414">
        <v>6098</v>
      </c>
      <c r="C43" s="414" t="s">
        <v>483</v>
      </c>
      <c r="D43" s="414">
        <v>36000</v>
      </c>
      <c r="E43" s="414" t="s">
        <v>484</v>
      </c>
      <c r="F43" s="414" t="s">
        <v>796</v>
      </c>
      <c r="G43" s="414" t="s">
        <v>797</v>
      </c>
      <c r="H43" s="414" t="s">
        <v>485</v>
      </c>
    </row>
    <row r="44" spans="1:9">
      <c r="A44" s="414">
        <v>7101</v>
      </c>
      <c r="C44" s="414" t="s">
        <v>671</v>
      </c>
      <c r="D44" s="414">
        <v>75001</v>
      </c>
      <c r="E44" s="414" t="s">
        <v>672</v>
      </c>
      <c r="F44" s="414" t="s">
        <v>647</v>
      </c>
      <c r="G44" s="414" t="s">
        <v>853</v>
      </c>
      <c r="H44" s="414" t="s">
        <v>1111</v>
      </c>
      <c r="I44" s="414" t="s">
        <v>673</v>
      </c>
    </row>
    <row r="45" spans="1:9">
      <c r="A45" s="414">
        <v>6102</v>
      </c>
      <c r="C45" s="414" t="s">
        <v>486</v>
      </c>
      <c r="D45" s="414">
        <v>10001</v>
      </c>
      <c r="E45" s="414" t="s">
        <v>487</v>
      </c>
      <c r="F45" s="414" t="s">
        <v>787</v>
      </c>
      <c r="G45" s="414" t="s">
        <v>414</v>
      </c>
      <c r="H45" s="414" t="s">
        <v>1063</v>
      </c>
      <c r="I45" s="414" t="s">
        <v>488</v>
      </c>
    </row>
    <row r="46" spans="1:9">
      <c r="A46" s="414">
        <v>7105</v>
      </c>
      <c r="C46" s="414" t="s">
        <v>674</v>
      </c>
      <c r="D46" s="414">
        <v>75008</v>
      </c>
      <c r="E46" s="414" t="s">
        <v>3497</v>
      </c>
      <c r="F46" s="414" t="s">
        <v>647</v>
      </c>
      <c r="G46" s="414" t="s">
        <v>853</v>
      </c>
      <c r="H46" s="414" t="s">
        <v>1112</v>
      </c>
      <c r="I46" s="414" t="s">
        <v>675</v>
      </c>
    </row>
    <row r="47" spans="1:9">
      <c r="A47" s="414" t="s">
        <v>984</v>
      </c>
      <c r="C47" s="414" t="s">
        <v>985</v>
      </c>
      <c r="D47" s="414">
        <v>90277</v>
      </c>
      <c r="E47" s="414" t="s">
        <v>986</v>
      </c>
      <c r="F47" s="414" t="s">
        <v>1037</v>
      </c>
      <c r="G47" s="414" t="s">
        <v>414</v>
      </c>
    </row>
    <row r="48" spans="1:9">
      <c r="A48" s="414" t="s">
        <v>993</v>
      </c>
      <c r="C48" s="414" t="s">
        <v>994</v>
      </c>
      <c r="D48" s="414">
        <v>400001</v>
      </c>
      <c r="E48" s="414" t="s">
        <v>995</v>
      </c>
      <c r="F48" s="414" t="s">
        <v>1035</v>
      </c>
      <c r="G48" s="414" t="s">
        <v>1011</v>
      </c>
    </row>
    <row r="49" spans="1:9">
      <c r="A49" s="414">
        <v>6105</v>
      </c>
      <c r="C49" s="414" t="s">
        <v>489</v>
      </c>
      <c r="D49" s="415" t="s">
        <v>799</v>
      </c>
      <c r="E49" s="414" t="s">
        <v>490</v>
      </c>
      <c r="F49" s="414" t="s">
        <v>800</v>
      </c>
      <c r="G49" s="414" t="s">
        <v>414</v>
      </c>
    </row>
    <row r="50" spans="1:9">
      <c r="A50" s="414">
        <v>7115</v>
      </c>
      <c r="C50" s="414" t="s">
        <v>676</v>
      </c>
      <c r="D50" s="414">
        <v>77210</v>
      </c>
      <c r="E50" s="414" t="s">
        <v>677</v>
      </c>
      <c r="F50" s="414" t="s">
        <v>678</v>
      </c>
      <c r="G50" s="414" t="s">
        <v>853</v>
      </c>
      <c r="H50" s="414" t="s">
        <v>3555</v>
      </c>
      <c r="I50" s="414" t="s">
        <v>3556</v>
      </c>
    </row>
    <row r="51" spans="1:9">
      <c r="A51" s="414">
        <v>6120</v>
      </c>
      <c r="C51" s="414" t="s">
        <v>778</v>
      </c>
      <c r="D51" s="414">
        <v>10018</v>
      </c>
      <c r="E51" s="414" t="s">
        <v>491</v>
      </c>
      <c r="F51" s="414" t="s">
        <v>787</v>
      </c>
      <c r="G51" s="414" t="s">
        <v>414</v>
      </c>
      <c r="H51" s="414" t="s">
        <v>1064</v>
      </c>
      <c r="I51" s="414" t="s">
        <v>492</v>
      </c>
    </row>
    <row r="52" spans="1:9">
      <c r="A52" s="414">
        <v>6121</v>
      </c>
      <c r="C52" s="414" t="s">
        <v>493</v>
      </c>
      <c r="D52" s="414">
        <v>10018</v>
      </c>
      <c r="E52" s="414" t="s">
        <v>494</v>
      </c>
      <c r="F52" s="414" t="s">
        <v>787</v>
      </c>
      <c r="G52" s="414" t="s">
        <v>414</v>
      </c>
      <c r="H52" s="414" t="s">
        <v>495</v>
      </c>
    </row>
    <row r="53" spans="1:9">
      <c r="A53" s="414">
        <v>6125</v>
      </c>
      <c r="C53" s="414" t="s">
        <v>496</v>
      </c>
      <c r="D53" s="414">
        <v>90014</v>
      </c>
      <c r="E53" s="414" t="s">
        <v>798</v>
      </c>
      <c r="F53" s="414" t="s">
        <v>785</v>
      </c>
      <c r="G53" s="414" t="s">
        <v>779</v>
      </c>
      <c r="H53" s="414" t="s">
        <v>1065</v>
      </c>
      <c r="I53" s="414" t="s">
        <v>497</v>
      </c>
    </row>
    <row r="54" spans="1:9">
      <c r="A54" s="414">
        <v>7125</v>
      </c>
      <c r="C54" s="414" t="s">
        <v>679</v>
      </c>
      <c r="D54" s="414">
        <v>75002</v>
      </c>
      <c r="E54" s="414" t="s">
        <v>680</v>
      </c>
      <c r="F54" s="414" t="s">
        <v>647</v>
      </c>
      <c r="G54" s="414" t="s">
        <v>853</v>
      </c>
      <c r="H54" s="414" t="s">
        <v>1113</v>
      </c>
      <c r="I54" s="414" t="s">
        <v>681</v>
      </c>
    </row>
    <row r="55" spans="1:9">
      <c r="A55" s="414">
        <v>6127</v>
      </c>
      <c r="C55" s="414" t="s">
        <v>498</v>
      </c>
      <c r="D55" s="414">
        <v>850000</v>
      </c>
      <c r="E55" s="414" t="s">
        <v>499</v>
      </c>
      <c r="F55" s="414" t="s">
        <v>801</v>
      </c>
      <c r="G55" s="414" t="s">
        <v>802</v>
      </c>
      <c r="H55" s="414" t="s">
        <v>1114</v>
      </c>
      <c r="I55" s="414" t="s">
        <v>500</v>
      </c>
    </row>
    <row r="56" spans="1:9">
      <c r="A56" s="414">
        <v>7155</v>
      </c>
      <c r="C56" s="414" t="s">
        <v>682</v>
      </c>
      <c r="D56" s="414">
        <v>75017</v>
      </c>
      <c r="E56" s="414" t="s">
        <v>683</v>
      </c>
      <c r="F56" s="414" t="s">
        <v>647</v>
      </c>
      <c r="G56" s="414" t="s">
        <v>853</v>
      </c>
      <c r="H56" s="414" t="s">
        <v>1115</v>
      </c>
      <c r="I56" s="414" t="s">
        <v>684</v>
      </c>
    </row>
    <row r="57" spans="1:9">
      <c r="A57" s="414" t="s">
        <v>892</v>
      </c>
      <c r="C57" s="414" t="s">
        <v>893</v>
      </c>
      <c r="E57" s="414" t="s">
        <v>894</v>
      </c>
      <c r="F57" s="414" t="s">
        <v>1007</v>
      </c>
      <c r="G57" s="414" t="s">
        <v>223</v>
      </c>
      <c r="H57" s="414" t="s">
        <v>1116</v>
      </c>
    </row>
    <row r="58" spans="1:9">
      <c r="A58" s="414" t="s">
        <v>981</v>
      </c>
      <c r="C58" s="414" t="s">
        <v>982</v>
      </c>
      <c r="E58" s="414" t="s">
        <v>983</v>
      </c>
      <c r="F58" s="414" t="s">
        <v>1033</v>
      </c>
      <c r="G58" s="414" t="s">
        <v>223</v>
      </c>
    </row>
    <row r="59" spans="1:9">
      <c r="A59" s="414">
        <v>6185</v>
      </c>
      <c r="C59" s="414" t="s">
        <v>501</v>
      </c>
      <c r="D59" s="414">
        <v>91745</v>
      </c>
      <c r="E59" s="414" t="s">
        <v>502</v>
      </c>
      <c r="F59" s="414" t="s">
        <v>804</v>
      </c>
      <c r="G59" s="414" t="s">
        <v>414</v>
      </c>
      <c r="H59" s="414" t="s">
        <v>1117</v>
      </c>
    </row>
    <row r="60" spans="1:9">
      <c r="A60" s="414">
        <v>7168</v>
      </c>
      <c r="C60" s="414" t="s">
        <v>685</v>
      </c>
      <c r="D60" s="414">
        <v>92614</v>
      </c>
      <c r="E60" s="414" t="s">
        <v>686</v>
      </c>
      <c r="F60" s="414" t="s">
        <v>856</v>
      </c>
      <c r="G60" s="414" t="s">
        <v>853</v>
      </c>
      <c r="H60" s="414" t="s">
        <v>1118</v>
      </c>
      <c r="I60" s="414" t="s">
        <v>687</v>
      </c>
    </row>
    <row r="61" spans="1:9">
      <c r="A61" s="414">
        <v>6190</v>
      </c>
      <c r="C61" s="414" t="s">
        <v>503</v>
      </c>
      <c r="D61" s="414">
        <v>90058</v>
      </c>
      <c r="E61" s="414" t="s">
        <v>504</v>
      </c>
      <c r="F61" s="414" t="s">
        <v>789</v>
      </c>
      <c r="G61" s="414" t="s">
        <v>505</v>
      </c>
      <c r="H61" s="414" t="s">
        <v>1119</v>
      </c>
      <c r="I61" s="414" t="s">
        <v>506</v>
      </c>
    </row>
    <row r="62" spans="1:9">
      <c r="A62" s="414" t="s">
        <v>926</v>
      </c>
      <c r="C62" s="414" t="s">
        <v>927</v>
      </c>
      <c r="E62" s="414" t="s">
        <v>928</v>
      </c>
      <c r="F62" s="414" t="s">
        <v>1017</v>
      </c>
      <c r="G62" s="414" t="s">
        <v>223</v>
      </c>
      <c r="H62" s="414" t="s">
        <v>1120</v>
      </c>
    </row>
    <row r="63" spans="1:9">
      <c r="A63" s="414">
        <v>7207</v>
      </c>
      <c r="C63" s="414" t="s">
        <v>688</v>
      </c>
      <c r="E63" s="414" t="s">
        <v>689</v>
      </c>
      <c r="F63" s="414" t="s">
        <v>445</v>
      </c>
      <c r="G63" s="414" t="s">
        <v>223</v>
      </c>
      <c r="H63" s="414" t="s">
        <v>1121</v>
      </c>
      <c r="I63" s="414" t="s">
        <v>690</v>
      </c>
    </row>
    <row r="64" spans="1:9">
      <c r="A64" s="414">
        <v>6210</v>
      </c>
      <c r="C64" s="414" t="s">
        <v>507</v>
      </c>
      <c r="E64" s="414" t="s">
        <v>508</v>
      </c>
      <c r="F64" s="414" t="s">
        <v>803</v>
      </c>
      <c r="G64" s="414" t="s">
        <v>223</v>
      </c>
      <c r="H64" s="414" t="s">
        <v>1122</v>
      </c>
      <c r="I64" s="414" t="s">
        <v>509</v>
      </c>
    </row>
    <row r="65" spans="1:9">
      <c r="A65" s="414" t="s">
        <v>923</v>
      </c>
      <c r="C65" s="414" t="s">
        <v>924</v>
      </c>
      <c r="D65" s="414">
        <v>90016</v>
      </c>
      <c r="E65" s="414" t="s">
        <v>925</v>
      </c>
      <c r="F65" s="414" t="s">
        <v>785</v>
      </c>
      <c r="G65" s="414" t="s">
        <v>414</v>
      </c>
      <c r="H65" s="414" t="s">
        <v>1123</v>
      </c>
    </row>
    <row r="66" spans="1:9">
      <c r="A66" s="414">
        <v>6215</v>
      </c>
      <c r="C66" s="414" t="s">
        <v>510</v>
      </c>
      <c r="D66" s="414">
        <v>90292</v>
      </c>
      <c r="E66" s="416" t="s">
        <v>780</v>
      </c>
      <c r="F66" s="416" t="s">
        <v>805</v>
      </c>
      <c r="G66" s="414" t="s">
        <v>414</v>
      </c>
    </row>
    <row r="67" spans="1:9">
      <c r="A67" s="414" t="s">
        <v>903</v>
      </c>
      <c r="C67" s="414" t="s">
        <v>904</v>
      </c>
      <c r="D67" s="414">
        <v>70000</v>
      </c>
      <c r="E67" s="414" t="s">
        <v>905</v>
      </c>
      <c r="F67" s="414" t="s">
        <v>1013</v>
      </c>
      <c r="G67" s="414" t="s">
        <v>802</v>
      </c>
      <c r="H67" s="414" t="s">
        <v>1124</v>
      </c>
    </row>
    <row r="68" spans="1:9">
      <c r="A68" s="414" t="s">
        <v>943</v>
      </c>
      <c r="C68" s="414" t="s">
        <v>944</v>
      </c>
      <c r="D68" s="414">
        <v>39000</v>
      </c>
      <c r="E68" s="414" t="s">
        <v>945</v>
      </c>
      <c r="F68" s="414" t="s">
        <v>1024</v>
      </c>
      <c r="G68" s="414" t="s">
        <v>802</v>
      </c>
      <c r="H68" s="414" t="s">
        <v>1068</v>
      </c>
    </row>
    <row r="69" spans="1:9">
      <c r="A69" s="414" t="s">
        <v>915</v>
      </c>
      <c r="C69" s="414" t="s">
        <v>916</v>
      </c>
      <c r="E69" s="414" t="s">
        <v>917</v>
      </c>
      <c r="F69" s="414" t="s">
        <v>918</v>
      </c>
      <c r="G69" s="414" t="s">
        <v>223</v>
      </c>
      <c r="H69" s="414" t="s">
        <v>1125</v>
      </c>
    </row>
    <row r="70" spans="1:9">
      <c r="A70" s="414" t="s">
        <v>973</v>
      </c>
      <c r="C70" s="414" t="s">
        <v>974</v>
      </c>
      <c r="D70" s="414">
        <v>92704</v>
      </c>
      <c r="E70" s="414" t="s">
        <v>975</v>
      </c>
      <c r="F70" s="414" t="s">
        <v>1030</v>
      </c>
      <c r="G70" s="414" t="s">
        <v>414</v>
      </c>
      <c r="H70" s="414" t="s">
        <v>1126</v>
      </c>
    </row>
    <row r="71" spans="1:9">
      <c r="A71" s="414">
        <v>6255</v>
      </c>
      <c r="C71" s="414" t="s">
        <v>511</v>
      </c>
      <c r="D71" s="414">
        <v>10016</v>
      </c>
      <c r="E71" s="414" t="s">
        <v>512</v>
      </c>
      <c r="F71" s="414" t="s">
        <v>787</v>
      </c>
      <c r="G71" s="414" t="s">
        <v>414</v>
      </c>
      <c r="H71" s="414" t="s">
        <v>1127</v>
      </c>
      <c r="I71" s="414" t="s">
        <v>513</v>
      </c>
    </row>
    <row r="72" spans="1:9">
      <c r="A72" s="414">
        <v>6256</v>
      </c>
      <c r="C72" s="414" t="s">
        <v>514</v>
      </c>
      <c r="D72" s="414">
        <v>523108</v>
      </c>
      <c r="E72" s="414" t="s">
        <v>807</v>
      </c>
      <c r="F72" s="414" t="s">
        <v>806</v>
      </c>
      <c r="G72" s="414" t="s">
        <v>223</v>
      </c>
      <c r="H72" s="414" t="s">
        <v>1128</v>
      </c>
    </row>
    <row r="73" spans="1:9">
      <c r="A73" s="414" t="s">
        <v>932</v>
      </c>
      <c r="C73" s="414" t="s">
        <v>933</v>
      </c>
      <c r="E73" s="414" t="s">
        <v>1020</v>
      </c>
      <c r="F73" s="414" t="s">
        <v>1021</v>
      </c>
      <c r="G73" s="414" t="s">
        <v>223</v>
      </c>
      <c r="H73" s="414" t="s">
        <v>1129</v>
      </c>
    </row>
    <row r="74" spans="1:9">
      <c r="A74" s="414">
        <v>7281</v>
      </c>
      <c r="C74" s="414" t="s">
        <v>691</v>
      </c>
      <c r="D74" s="414">
        <v>311200</v>
      </c>
      <c r="E74" s="414" t="s">
        <v>692</v>
      </c>
      <c r="F74" s="414" t="s">
        <v>857</v>
      </c>
      <c r="G74" s="414" t="s">
        <v>223</v>
      </c>
      <c r="H74" s="414" t="s">
        <v>1130</v>
      </c>
      <c r="I74" s="414" t="s">
        <v>693</v>
      </c>
    </row>
    <row r="75" spans="1:9">
      <c r="C75" s="414" t="s">
        <v>1166</v>
      </c>
      <c r="E75" s="414" t="s">
        <v>1167</v>
      </c>
      <c r="F75" s="414" t="s">
        <v>1168</v>
      </c>
      <c r="G75" s="414" t="s">
        <v>223</v>
      </c>
      <c r="H75" s="414" t="s">
        <v>1169</v>
      </c>
      <c r="I75" s="414" t="s">
        <v>1170</v>
      </c>
    </row>
    <row r="76" spans="1:9">
      <c r="A76" s="414">
        <v>6280</v>
      </c>
      <c r="C76" s="414" t="s">
        <v>515</v>
      </c>
      <c r="D76" s="414">
        <v>11206</v>
      </c>
      <c r="E76" s="414" t="s">
        <v>516</v>
      </c>
      <c r="F76" s="414" t="s">
        <v>808</v>
      </c>
      <c r="G76" s="414" t="s">
        <v>414</v>
      </c>
      <c r="I76" s="414" t="s">
        <v>517</v>
      </c>
    </row>
    <row r="77" spans="1:9">
      <c r="A77" s="414">
        <v>6281</v>
      </c>
      <c r="C77" s="414" t="s">
        <v>518</v>
      </c>
      <c r="D77" s="414">
        <v>10950</v>
      </c>
      <c r="E77" s="414" t="s">
        <v>519</v>
      </c>
      <c r="F77" s="414" t="s">
        <v>809</v>
      </c>
      <c r="G77" s="414" t="s">
        <v>414</v>
      </c>
      <c r="H77" s="414" t="s">
        <v>1092</v>
      </c>
      <c r="I77" s="414" t="s">
        <v>520</v>
      </c>
    </row>
    <row r="78" spans="1:9">
      <c r="A78" s="414">
        <v>6290</v>
      </c>
      <c r="C78" s="414" t="s">
        <v>521</v>
      </c>
      <c r="D78" s="414">
        <v>10012</v>
      </c>
      <c r="E78" s="414" t="s">
        <v>810</v>
      </c>
      <c r="F78" s="414" t="s">
        <v>786</v>
      </c>
      <c r="G78" s="414" t="s">
        <v>414</v>
      </c>
      <c r="H78" s="414" t="s">
        <v>1093</v>
      </c>
      <c r="I78" s="414" t="s">
        <v>522</v>
      </c>
    </row>
    <row r="79" spans="1:9">
      <c r="A79" s="414" t="s">
        <v>934</v>
      </c>
      <c r="C79" s="414" t="s">
        <v>935</v>
      </c>
      <c r="E79" s="414" t="s">
        <v>936</v>
      </c>
      <c r="F79" s="414" t="s">
        <v>1022</v>
      </c>
      <c r="G79" s="414" t="s">
        <v>223</v>
      </c>
      <c r="H79" s="414" t="s">
        <v>1067</v>
      </c>
    </row>
    <row r="80" spans="1:9">
      <c r="A80" s="414" t="s">
        <v>937</v>
      </c>
      <c r="C80" s="414" t="s">
        <v>938</v>
      </c>
      <c r="D80" s="414">
        <v>515041</v>
      </c>
      <c r="E80" s="414" t="s">
        <v>939</v>
      </c>
      <c r="F80" s="414" t="s">
        <v>1023</v>
      </c>
      <c r="G80" s="414" t="s">
        <v>223</v>
      </c>
      <c r="H80" s="414" t="s">
        <v>550</v>
      </c>
    </row>
    <row r="81" spans="1:9">
      <c r="A81" s="414" t="s">
        <v>940</v>
      </c>
      <c r="C81" s="414" t="s">
        <v>941</v>
      </c>
      <c r="D81" s="414">
        <v>10014</v>
      </c>
      <c r="E81" s="414" t="s">
        <v>942</v>
      </c>
      <c r="F81" s="414" t="s">
        <v>787</v>
      </c>
      <c r="G81" s="414" t="s">
        <v>414</v>
      </c>
      <c r="H81" s="414" t="s">
        <v>1131</v>
      </c>
    </row>
    <row r="82" spans="1:9">
      <c r="A82" s="414">
        <v>6291</v>
      </c>
      <c r="C82" s="414" t="s">
        <v>523</v>
      </c>
      <c r="D82" s="415" t="s">
        <v>813</v>
      </c>
      <c r="E82" s="414" t="s">
        <v>814</v>
      </c>
      <c r="F82" s="414" t="s">
        <v>815</v>
      </c>
      <c r="G82" s="414" t="s">
        <v>414</v>
      </c>
      <c r="I82" s="414" t="s">
        <v>524</v>
      </c>
    </row>
    <row r="83" spans="1:9">
      <c r="A83" s="414">
        <v>6292</v>
      </c>
      <c r="C83" s="414" t="s">
        <v>525</v>
      </c>
      <c r="D83" s="415" t="s">
        <v>811</v>
      </c>
      <c r="E83" s="414" t="s">
        <v>526</v>
      </c>
      <c r="F83" s="414" t="s">
        <v>527</v>
      </c>
      <c r="G83" s="414" t="s">
        <v>812</v>
      </c>
      <c r="H83" s="414" t="s">
        <v>528</v>
      </c>
    </row>
    <row r="84" spans="1:9">
      <c r="A84" s="414">
        <v>7301</v>
      </c>
      <c r="C84" s="414" t="s">
        <v>694</v>
      </c>
      <c r="E84" s="414" t="s">
        <v>695</v>
      </c>
      <c r="F84" s="416" t="s">
        <v>858</v>
      </c>
      <c r="G84" s="414" t="s">
        <v>223</v>
      </c>
      <c r="H84" s="414" t="s">
        <v>1132</v>
      </c>
      <c r="I84" s="414" t="s">
        <v>696</v>
      </c>
    </row>
    <row r="85" spans="1:9">
      <c r="A85" s="414">
        <v>6300</v>
      </c>
      <c r="C85" s="414" t="s">
        <v>529</v>
      </c>
      <c r="D85" s="414">
        <v>10012</v>
      </c>
      <c r="E85" s="414" t="s">
        <v>530</v>
      </c>
      <c r="F85" s="414" t="s">
        <v>787</v>
      </c>
      <c r="G85" s="414" t="s">
        <v>414</v>
      </c>
      <c r="H85" s="414" t="s">
        <v>1066</v>
      </c>
      <c r="I85" s="414" t="s">
        <v>531</v>
      </c>
    </row>
    <row r="86" spans="1:9">
      <c r="A86" s="414">
        <v>7324</v>
      </c>
      <c r="C86" s="414" t="s">
        <v>697</v>
      </c>
      <c r="D86" s="414">
        <v>314003</v>
      </c>
      <c r="E86" s="414" t="s">
        <v>698</v>
      </c>
      <c r="F86" s="414" t="s">
        <v>859</v>
      </c>
      <c r="G86" s="414" t="s">
        <v>223</v>
      </c>
    </row>
    <row r="87" spans="1:9">
      <c r="A87" s="414">
        <v>7331</v>
      </c>
      <c r="C87" s="414" t="s">
        <v>699</v>
      </c>
      <c r="D87" s="414">
        <v>49455</v>
      </c>
      <c r="E87" s="414" t="s">
        <v>700</v>
      </c>
      <c r="F87" s="414" t="s">
        <v>701</v>
      </c>
      <c r="G87" s="414" t="s">
        <v>853</v>
      </c>
      <c r="H87" s="414" t="s">
        <v>1133</v>
      </c>
      <c r="I87" s="414" t="s">
        <v>663</v>
      </c>
    </row>
    <row r="88" spans="1:9">
      <c r="A88" s="414" t="s">
        <v>946</v>
      </c>
      <c r="C88" s="414" t="s">
        <v>947</v>
      </c>
      <c r="D88" s="414">
        <v>11362</v>
      </c>
      <c r="E88" s="414" t="s">
        <v>948</v>
      </c>
      <c r="F88" s="414" t="s">
        <v>949</v>
      </c>
      <c r="G88" s="414" t="s">
        <v>414</v>
      </c>
      <c r="H88" s="414" t="s">
        <v>1070</v>
      </c>
    </row>
    <row r="89" spans="1:9">
      <c r="A89" s="414">
        <v>6360</v>
      </c>
      <c r="C89" s="414" t="s">
        <v>532</v>
      </c>
      <c r="D89" s="414">
        <v>11021</v>
      </c>
      <c r="E89" s="414" t="s">
        <v>533</v>
      </c>
      <c r="F89" s="414" t="s">
        <v>816</v>
      </c>
      <c r="G89" s="414" t="s">
        <v>414</v>
      </c>
      <c r="H89" s="414" t="s">
        <v>534</v>
      </c>
    </row>
    <row r="90" spans="1:9">
      <c r="A90" s="414">
        <v>6361</v>
      </c>
      <c r="C90" s="414" t="s">
        <v>535</v>
      </c>
      <c r="D90" s="414">
        <v>201108</v>
      </c>
      <c r="E90" s="414" t="s">
        <v>536</v>
      </c>
      <c r="F90" s="414" t="s">
        <v>817</v>
      </c>
      <c r="G90" s="414" t="s">
        <v>223</v>
      </c>
      <c r="H90" s="414" t="s">
        <v>1094</v>
      </c>
      <c r="I90" s="414" t="s">
        <v>537</v>
      </c>
    </row>
    <row r="91" spans="1:9">
      <c r="A91" s="414">
        <v>6365</v>
      </c>
      <c r="C91" s="414" t="s">
        <v>538</v>
      </c>
      <c r="D91" s="414">
        <v>10018</v>
      </c>
      <c r="E91" s="414" t="s">
        <v>539</v>
      </c>
      <c r="F91" s="414" t="s">
        <v>787</v>
      </c>
      <c r="G91" s="414" t="s">
        <v>414</v>
      </c>
      <c r="H91" s="414" t="s">
        <v>1095</v>
      </c>
    </row>
    <row r="92" spans="1:9">
      <c r="A92" s="414">
        <v>6390</v>
      </c>
      <c r="C92" s="414" t="s">
        <v>543</v>
      </c>
      <c r="D92" s="414">
        <v>90025</v>
      </c>
      <c r="E92" s="414" t="s">
        <v>544</v>
      </c>
      <c r="F92" s="414" t="s">
        <v>785</v>
      </c>
      <c r="G92" s="414" t="s">
        <v>414</v>
      </c>
      <c r="H92" s="414" t="s">
        <v>1129</v>
      </c>
      <c r="I92" s="414" t="s">
        <v>545</v>
      </c>
    </row>
    <row r="93" spans="1:9">
      <c r="A93" s="414" t="s">
        <v>912</v>
      </c>
      <c r="C93" s="414" t="s">
        <v>913</v>
      </c>
      <c r="D93" s="414">
        <v>90021</v>
      </c>
      <c r="E93" s="414" t="s">
        <v>914</v>
      </c>
      <c r="F93" s="414" t="s">
        <v>785</v>
      </c>
      <c r="G93" s="414" t="s">
        <v>414</v>
      </c>
      <c r="H93" s="414" t="s">
        <v>1061</v>
      </c>
    </row>
    <row r="94" spans="1:9">
      <c r="A94" s="414">
        <v>6380</v>
      </c>
      <c r="C94" s="414" t="s">
        <v>540</v>
      </c>
      <c r="D94" s="414">
        <v>90058</v>
      </c>
      <c r="E94" s="414" t="s">
        <v>541</v>
      </c>
      <c r="F94" s="414" t="s">
        <v>785</v>
      </c>
      <c r="G94" s="414" t="s">
        <v>505</v>
      </c>
      <c r="H94" s="414" t="s">
        <v>542</v>
      </c>
    </row>
    <row r="95" spans="1:9">
      <c r="C95" s="414" t="s">
        <v>1162</v>
      </c>
      <c r="D95" s="414">
        <v>90069</v>
      </c>
      <c r="E95" s="414" t="s">
        <v>1163</v>
      </c>
      <c r="F95" s="414" t="s">
        <v>1164</v>
      </c>
      <c r="G95" s="414" t="s">
        <v>414</v>
      </c>
      <c r="H95" s="414" t="s">
        <v>1165</v>
      </c>
    </row>
    <row r="96" spans="1:9">
      <c r="A96" s="414">
        <v>7381</v>
      </c>
      <c r="C96" s="414" t="s">
        <v>702</v>
      </c>
      <c r="D96" s="414">
        <v>310051</v>
      </c>
      <c r="E96" s="414" t="s">
        <v>703</v>
      </c>
      <c r="F96" s="414" t="s">
        <v>704</v>
      </c>
      <c r="G96" s="414" t="s">
        <v>223</v>
      </c>
      <c r="H96" s="414" t="s">
        <v>1134</v>
      </c>
      <c r="I96" s="414" t="s">
        <v>705</v>
      </c>
    </row>
    <row r="97" spans="1:9">
      <c r="A97" s="414">
        <v>6401</v>
      </c>
      <c r="C97" s="414" t="s">
        <v>546</v>
      </c>
      <c r="D97" s="414">
        <v>90023</v>
      </c>
      <c r="E97" s="414" t="s">
        <v>547</v>
      </c>
      <c r="F97" s="414" t="s">
        <v>785</v>
      </c>
      <c r="G97" s="414" t="s">
        <v>414</v>
      </c>
      <c r="H97" s="414" t="s">
        <v>1067</v>
      </c>
    </row>
    <row r="98" spans="1:9">
      <c r="A98" s="414" t="s">
        <v>953</v>
      </c>
      <c r="C98" s="414" t="s">
        <v>954</v>
      </c>
      <c r="D98" s="414">
        <v>90023</v>
      </c>
      <c r="E98" s="414" t="s">
        <v>1028</v>
      </c>
      <c r="F98" s="414" t="s">
        <v>785</v>
      </c>
      <c r="G98" s="414" t="s">
        <v>414</v>
      </c>
      <c r="H98" s="414" t="s">
        <v>1073</v>
      </c>
    </row>
    <row r="99" spans="1:9">
      <c r="A99" s="414">
        <v>6410</v>
      </c>
      <c r="C99" s="414" t="s">
        <v>548</v>
      </c>
      <c r="D99" s="414">
        <v>90048</v>
      </c>
      <c r="E99" s="414" t="s">
        <v>549</v>
      </c>
      <c r="F99" s="414" t="s">
        <v>785</v>
      </c>
      <c r="G99" s="414" t="s">
        <v>414</v>
      </c>
      <c r="H99" s="414" t="s">
        <v>550</v>
      </c>
    </row>
    <row r="100" spans="1:9">
      <c r="A100" s="414">
        <v>6425</v>
      </c>
      <c r="C100" s="414" t="s">
        <v>551</v>
      </c>
      <c r="D100" s="414">
        <v>91604</v>
      </c>
      <c r="E100" s="414" t="s">
        <v>552</v>
      </c>
      <c r="F100" s="414" t="s">
        <v>818</v>
      </c>
      <c r="G100" s="414" t="s">
        <v>414</v>
      </c>
      <c r="I100" s="414" t="s">
        <v>553</v>
      </c>
    </row>
    <row r="101" spans="1:9">
      <c r="A101" s="414" t="s">
        <v>885</v>
      </c>
      <c r="C101" s="414" t="s">
        <v>886</v>
      </c>
      <c r="D101" s="414">
        <v>26220</v>
      </c>
      <c r="E101" s="414" t="s">
        <v>887</v>
      </c>
      <c r="F101" s="414" t="s">
        <v>888</v>
      </c>
      <c r="G101" s="414" t="s">
        <v>1004</v>
      </c>
    </row>
    <row r="102" spans="1:9">
      <c r="A102" s="414">
        <v>6440</v>
      </c>
      <c r="C102" s="414" t="s">
        <v>554</v>
      </c>
      <c r="D102" s="414">
        <v>90040</v>
      </c>
      <c r="E102" s="414" t="s">
        <v>819</v>
      </c>
      <c r="F102" s="414" t="s">
        <v>820</v>
      </c>
      <c r="G102" s="414" t="s">
        <v>414</v>
      </c>
      <c r="H102" s="414" t="s">
        <v>1068</v>
      </c>
      <c r="I102" s="414" t="s">
        <v>555</v>
      </c>
    </row>
    <row r="103" spans="1:9">
      <c r="A103" s="414">
        <v>6445</v>
      </c>
      <c r="C103" s="414" t="s">
        <v>556</v>
      </c>
      <c r="D103" s="414">
        <v>90014</v>
      </c>
      <c r="E103" s="414" t="s">
        <v>557</v>
      </c>
      <c r="F103" s="414" t="s">
        <v>785</v>
      </c>
      <c r="G103" s="414" t="s">
        <v>414</v>
      </c>
      <c r="H103" s="414" t="s">
        <v>1069</v>
      </c>
      <c r="I103" s="414" t="s">
        <v>558</v>
      </c>
    </row>
    <row r="104" spans="1:9">
      <c r="A104" s="414">
        <v>7461</v>
      </c>
      <c r="C104" s="414" t="s">
        <v>706</v>
      </c>
      <c r="D104" s="414">
        <v>85600</v>
      </c>
      <c r="E104" s="414" t="s">
        <v>707</v>
      </c>
      <c r="F104" s="414" t="s">
        <v>868</v>
      </c>
      <c r="G104" s="414" t="s">
        <v>853</v>
      </c>
      <c r="H104" s="414" t="s">
        <v>1133</v>
      </c>
      <c r="I104" s="414" t="s">
        <v>663</v>
      </c>
    </row>
    <row r="105" spans="1:9">
      <c r="A105" s="414">
        <v>6470</v>
      </c>
      <c r="C105" s="414" t="s">
        <v>559</v>
      </c>
      <c r="D105" s="414">
        <v>90039</v>
      </c>
      <c r="E105" s="414" t="s">
        <v>821</v>
      </c>
      <c r="F105" s="414" t="s">
        <v>785</v>
      </c>
      <c r="G105" s="414" t="s">
        <v>414</v>
      </c>
      <c r="H105" s="414" t="s">
        <v>1070</v>
      </c>
    </row>
    <row r="106" spans="1:9">
      <c r="A106" s="414">
        <v>6477</v>
      </c>
      <c r="C106" s="414" t="s">
        <v>560</v>
      </c>
      <c r="D106" s="414">
        <v>90015</v>
      </c>
      <c r="E106" s="414" t="s">
        <v>822</v>
      </c>
      <c r="F106" s="414" t="s">
        <v>785</v>
      </c>
      <c r="G106" s="414" t="s">
        <v>414</v>
      </c>
      <c r="H106" s="414" t="s">
        <v>561</v>
      </c>
    </row>
    <row r="107" spans="1:9">
      <c r="A107" s="414">
        <v>6490</v>
      </c>
      <c r="C107" s="414" t="s">
        <v>566</v>
      </c>
      <c r="D107" s="414">
        <v>90011</v>
      </c>
      <c r="E107" s="414" t="s">
        <v>567</v>
      </c>
      <c r="G107" s="414" t="s">
        <v>414</v>
      </c>
      <c r="H107" s="414" t="s">
        <v>1071</v>
      </c>
      <c r="I107" s="414" t="s">
        <v>568</v>
      </c>
    </row>
    <row r="108" spans="1:9">
      <c r="A108" s="414">
        <v>7481</v>
      </c>
      <c r="C108" s="414" t="s">
        <v>708</v>
      </c>
      <c r="D108" s="414">
        <v>92614</v>
      </c>
      <c r="E108" s="414" t="s">
        <v>709</v>
      </c>
      <c r="F108" s="414" t="s">
        <v>710</v>
      </c>
      <c r="G108" s="414" t="s">
        <v>853</v>
      </c>
      <c r="H108" s="414" t="s">
        <v>1135</v>
      </c>
      <c r="I108" s="414" t="s">
        <v>711</v>
      </c>
    </row>
    <row r="109" spans="1:9">
      <c r="A109" s="414">
        <v>7482</v>
      </c>
      <c r="C109" s="414" t="s">
        <v>712</v>
      </c>
      <c r="D109" s="414">
        <v>75009</v>
      </c>
      <c r="E109" s="414" t="s">
        <v>713</v>
      </c>
      <c r="F109" s="414" t="s">
        <v>647</v>
      </c>
      <c r="G109" s="414" t="s">
        <v>853</v>
      </c>
      <c r="H109" s="414" t="s">
        <v>1136</v>
      </c>
      <c r="I109" s="414" t="s">
        <v>714</v>
      </c>
    </row>
    <row r="110" spans="1:9">
      <c r="A110" s="414">
        <v>7483</v>
      </c>
      <c r="C110" s="414" t="s">
        <v>715</v>
      </c>
      <c r="D110" s="414">
        <v>75007</v>
      </c>
      <c r="E110" s="414" t="s">
        <v>716</v>
      </c>
      <c r="F110" s="414" t="s">
        <v>647</v>
      </c>
      <c r="G110" s="414" t="s">
        <v>853</v>
      </c>
      <c r="H110" s="414" t="s">
        <v>1137</v>
      </c>
      <c r="I110" s="414" t="s">
        <v>717</v>
      </c>
    </row>
    <row r="111" spans="1:9">
      <c r="A111" s="414">
        <v>7484</v>
      </c>
      <c r="C111" s="414" t="s">
        <v>718</v>
      </c>
      <c r="D111" s="414">
        <v>75001</v>
      </c>
      <c r="E111" s="414" t="s">
        <v>719</v>
      </c>
      <c r="F111" s="414" t="s">
        <v>647</v>
      </c>
      <c r="G111" s="414" t="s">
        <v>853</v>
      </c>
      <c r="H111" s="414" t="s">
        <v>1138</v>
      </c>
      <c r="I111" s="414" t="s">
        <v>720</v>
      </c>
    </row>
    <row r="112" spans="1:9">
      <c r="A112" s="414">
        <v>6481</v>
      </c>
      <c r="C112" s="414" t="s">
        <v>562</v>
      </c>
      <c r="D112" s="414">
        <v>10011</v>
      </c>
      <c r="E112" s="414" t="s">
        <v>823</v>
      </c>
      <c r="F112" s="414" t="s">
        <v>787</v>
      </c>
      <c r="G112" s="414" t="s">
        <v>414</v>
      </c>
      <c r="H112" s="414" t="s">
        <v>1072</v>
      </c>
    </row>
    <row r="113" spans="1:9">
      <c r="A113" s="414">
        <v>7485</v>
      </c>
      <c r="C113" s="414" t="s">
        <v>721</v>
      </c>
      <c r="D113" s="414">
        <v>200001</v>
      </c>
      <c r="E113" s="414" t="s">
        <v>722</v>
      </c>
      <c r="F113" s="414" t="s">
        <v>867</v>
      </c>
      <c r="G113" s="414" t="s">
        <v>223</v>
      </c>
      <c r="H113" s="414" t="s">
        <v>1139</v>
      </c>
      <c r="I113" s="414" t="s">
        <v>723</v>
      </c>
    </row>
    <row r="114" spans="1:9">
      <c r="A114" s="414">
        <v>7486</v>
      </c>
      <c r="C114" s="414" t="s">
        <v>724</v>
      </c>
      <c r="D114" s="414">
        <v>75017</v>
      </c>
      <c r="E114" s="414" t="s">
        <v>683</v>
      </c>
      <c r="F114" s="414" t="s">
        <v>647</v>
      </c>
      <c r="G114" s="414" t="s">
        <v>853</v>
      </c>
      <c r="H114" s="414" t="s">
        <v>1115</v>
      </c>
      <c r="I114" s="414" t="s">
        <v>684</v>
      </c>
    </row>
    <row r="115" spans="1:9">
      <c r="A115" s="414">
        <v>6482</v>
      </c>
      <c r="C115" s="414" t="s">
        <v>563</v>
      </c>
      <c r="D115" s="414">
        <v>90292</v>
      </c>
      <c r="E115" s="414" t="s">
        <v>825</v>
      </c>
      <c r="F115" s="414" t="s">
        <v>824</v>
      </c>
      <c r="G115" s="414" t="s">
        <v>414</v>
      </c>
      <c r="H115" s="414" t="s">
        <v>1073</v>
      </c>
      <c r="I115" s="414" t="s">
        <v>563</v>
      </c>
    </row>
    <row r="116" spans="1:9">
      <c r="A116" s="414">
        <v>7489</v>
      </c>
      <c r="C116" s="414" t="s">
        <v>725</v>
      </c>
      <c r="D116" s="414">
        <v>11000</v>
      </c>
      <c r="E116" s="414" t="s">
        <v>726</v>
      </c>
      <c r="F116" s="414" t="s">
        <v>866</v>
      </c>
      <c r="G116" s="414" t="s">
        <v>832</v>
      </c>
      <c r="H116" s="414" t="s">
        <v>1140</v>
      </c>
      <c r="I116" s="414" t="s">
        <v>727</v>
      </c>
    </row>
    <row r="117" spans="1:9">
      <c r="A117" s="414" t="s">
        <v>883</v>
      </c>
      <c r="C117" s="414" t="s">
        <v>725</v>
      </c>
      <c r="D117" s="414">
        <v>11000</v>
      </c>
      <c r="E117" s="414" t="s">
        <v>884</v>
      </c>
      <c r="F117" s="414" t="s">
        <v>1003</v>
      </c>
      <c r="G117" s="414" t="s">
        <v>831</v>
      </c>
      <c r="H117" s="414" t="s">
        <v>1140</v>
      </c>
    </row>
    <row r="118" spans="1:9">
      <c r="A118" s="414" t="s">
        <v>969</v>
      </c>
      <c r="C118" s="414" t="s">
        <v>970</v>
      </c>
      <c r="D118" s="414">
        <v>523170</v>
      </c>
      <c r="E118" s="414" t="s">
        <v>971</v>
      </c>
      <c r="F118" s="414" t="s">
        <v>972</v>
      </c>
      <c r="G118" s="414" t="s">
        <v>223</v>
      </c>
      <c r="H118" s="414" t="s">
        <v>1141</v>
      </c>
    </row>
    <row r="119" spans="1:9">
      <c r="A119" s="414">
        <v>6489</v>
      </c>
      <c r="C119" s="414" t="s">
        <v>564</v>
      </c>
      <c r="D119" s="414">
        <v>92662</v>
      </c>
      <c r="E119" s="414" t="s">
        <v>565</v>
      </c>
      <c r="F119" s="414" t="s">
        <v>826</v>
      </c>
      <c r="G119" s="414" t="s">
        <v>414</v>
      </c>
    </row>
    <row r="120" spans="1:9">
      <c r="A120" s="414" t="s">
        <v>897</v>
      </c>
      <c r="C120" s="414" t="s">
        <v>898</v>
      </c>
      <c r="E120" s="414" t="s">
        <v>899</v>
      </c>
      <c r="F120" s="414" t="s">
        <v>1010</v>
      </c>
      <c r="G120" s="414" t="s">
        <v>1009</v>
      </c>
      <c r="H120" s="414" t="s">
        <v>1142</v>
      </c>
    </row>
    <row r="121" spans="1:9">
      <c r="A121" s="414">
        <v>6501</v>
      </c>
      <c r="C121" s="414" t="s">
        <v>569</v>
      </c>
      <c r="D121" s="415" t="s">
        <v>827</v>
      </c>
      <c r="E121" s="414" t="s">
        <v>570</v>
      </c>
      <c r="F121" s="414" t="s">
        <v>828</v>
      </c>
      <c r="G121" s="414" t="s">
        <v>414</v>
      </c>
    </row>
    <row r="122" spans="1:9">
      <c r="A122" s="414">
        <v>6502</v>
      </c>
      <c r="C122" s="414" t="s">
        <v>571</v>
      </c>
      <c r="D122" s="414">
        <v>90058</v>
      </c>
      <c r="E122" s="414" t="s">
        <v>572</v>
      </c>
      <c r="F122" s="414" t="s">
        <v>789</v>
      </c>
      <c r="G122" s="414" t="s">
        <v>414</v>
      </c>
      <c r="H122" s="414" t="s">
        <v>573</v>
      </c>
    </row>
    <row r="123" spans="1:9">
      <c r="A123" s="414">
        <v>6503</v>
      </c>
      <c r="C123" s="414" t="s">
        <v>574</v>
      </c>
      <c r="D123" s="414">
        <v>10012</v>
      </c>
      <c r="E123" s="414" t="s">
        <v>575</v>
      </c>
      <c r="F123" s="414" t="s">
        <v>787</v>
      </c>
      <c r="G123" s="414" t="s">
        <v>414</v>
      </c>
      <c r="H123" s="414" t="s">
        <v>1074</v>
      </c>
    </row>
    <row r="124" spans="1:9">
      <c r="A124" s="414">
        <v>6504</v>
      </c>
      <c r="C124" s="414" t="s">
        <v>577</v>
      </c>
      <c r="D124" s="414">
        <v>10012</v>
      </c>
      <c r="E124" s="414" t="s">
        <v>830</v>
      </c>
      <c r="F124" s="414" t="s">
        <v>787</v>
      </c>
      <c r="G124" s="414" t="s">
        <v>414</v>
      </c>
      <c r="H124" s="414" t="s">
        <v>578</v>
      </c>
      <c r="I124" s="414" t="s">
        <v>829</v>
      </c>
    </row>
    <row r="125" spans="1:9">
      <c r="A125" s="414">
        <v>6521</v>
      </c>
      <c r="C125" s="414" t="s">
        <v>579</v>
      </c>
      <c r="D125" s="414">
        <v>10200</v>
      </c>
      <c r="E125" s="414" t="s">
        <v>833</v>
      </c>
      <c r="F125" s="414" t="s">
        <v>834</v>
      </c>
      <c r="G125" s="414" t="s">
        <v>832</v>
      </c>
      <c r="H125" s="414" t="s">
        <v>580</v>
      </c>
    </row>
    <row r="126" spans="1:9">
      <c r="C126" s="414" t="s">
        <v>3530</v>
      </c>
      <c r="D126" s="414">
        <v>75008</v>
      </c>
      <c r="E126" s="414" t="s">
        <v>3532</v>
      </c>
      <c r="F126" s="414" t="s">
        <v>730</v>
      </c>
      <c r="G126" s="414" t="s">
        <v>853</v>
      </c>
      <c r="H126" s="414" t="s">
        <v>3533</v>
      </c>
      <c r="I126" s="414" t="s">
        <v>3531</v>
      </c>
    </row>
    <row r="127" spans="1:9">
      <c r="A127" s="414">
        <v>7568</v>
      </c>
      <c r="C127" s="414" t="s">
        <v>728</v>
      </c>
      <c r="D127" s="414">
        <v>75006</v>
      </c>
      <c r="E127" s="414" t="s">
        <v>729</v>
      </c>
      <c r="F127" s="414" t="s">
        <v>730</v>
      </c>
      <c r="G127" s="414" t="s">
        <v>853</v>
      </c>
      <c r="H127" s="414" t="s">
        <v>1143</v>
      </c>
      <c r="I127" s="414" t="s">
        <v>731</v>
      </c>
    </row>
    <row r="128" spans="1:9">
      <c r="A128" s="414" t="s">
        <v>878</v>
      </c>
      <c r="C128" s="414" t="s">
        <v>879</v>
      </c>
      <c r="E128" s="414" t="s">
        <v>880</v>
      </c>
      <c r="F128" s="414" t="s">
        <v>1000</v>
      </c>
      <c r="G128" s="414" t="s">
        <v>223</v>
      </c>
      <c r="H128" s="414" t="s">
        <v>1144</v>
      </c>
    </row>
    <row r="129" spans="1:9">
      <c r="A129" s="414">
        <v>6522</v>
      </c>
      <c r="C129" s="414" t="s">
        <v>581</v>
      </c>
      <c r="D129" s="414">
        <v>10018</v>
      </c>
      <c r="E129" s="414" t="s">
        <v>582</v>
      </c>
      <c r="F129" s="414" t="s">
        <v>787</v>
      </c>
      <c r="G129" s="414" t="s">
        <v>414</v>
      </c>
      <c r="H129" s="414" t="s">
        <v>583</v>
      </c>
    </row>
    <row r="130" spans="1:9">
      <c r="A130" s="414">
        <v>7601</v>
      </c>
      <c r="C130" s="414" t="s">
        <v>732</v>
      </c>
      <c r="D130" s="414">
        <v>75008</v>
      </c>
      <c r="E130" s="414" t="s">
        <v>733</v>
      </c>
      <c r="F130" s="414" t="s">
        <v>647</v>
      </c>
      <c r="G130" s="414" t="s">
        <v>853</v>
      </c>
      <c r="H130" s="414" t="s">
        <v>1145</v>
      </c>
    </row>
    <row r="131" spans="1:9">
      <c r="A131" s="414">
        <v>6523</v>
      </c>
      <c r="C131" s="414" t="s">
        <v>584</v>
      </c>
      <c r="D131" s="414">
        <v>90015</v>
      </c>
      <c r="E131" s="414" t="s">
        <v>585</v>
      </c>
      <c r="F131" s="414" t="s">
        <v>785</v>
      </c>
      <c r="G131" s="414" t="s">
        <v>414</v>
      </c>
      <c r="H131" s="414" t="s">
        <v>1075</v>
      </c>
      <c r="I131" s="414" t="s">
        <v>586</v>
      </c>
    </row>
    <row r="132" spans="1:9">
      <c r="A132" s="414">
        <v>7602</v>
      </c>
      <c r="C132" s="414" t="s">
        <v>734</v>
      </c>
      <c r="D132" s="414">
        <v>43122</v>
      </c>
      <c r="E132" s="414" t="s">
        <v>735</v>
      </c>
      <c r="F132" s="414" t="s">
        <v>736</v>
      </c>
      <c r="G132" s="414" t="s">
        <v>865</v>
      </c>
      <c r="H132" s="414" t="s">
        <v>1146</v>
      </c>
      <c r="I132" s="414" t="s">
        <v>737</v>
      </c>
    </row>
    <row r="133" spans="1:9">
      <c r="A133" s="414">
        <v>6528</v>
      </c>
      <c r="C133" s="414" t="s">
        <v>835</v>
      </c>
      <c r="E133" s="414" t="s">
        <v>836</v>
      </c>
      <c r="F133" s="414" t="s">
        <v>837</v>
      </c>
      <c r="G133" s="414" t="s">
        <v>839</v>
      </c>
      <c r="H133" s="414" t="s">
        <v>1076</v>
      </c>
      <c r="I133" s="414" t="s">
        <v>587</v>
      </c>
    </row>
    <row r="134" spans="1:9">
      <c r="A134" s="414">
        <v>7613</v>
      </c>
      <c r="C134" s="414" t="s">
        <v>738</v>
      </c>
      <c r="D134" s="414">
        <v>10146</v>
      </c>
      <c r="E134" s="414" t="s">
        <v>739</v>
      </c>
      <c r="F134" s="414" t="s">
        <v>863</v>
      </c>
      <c r="G134" s="414" t="s">
        <v>864</v>
      </c>
      <c r="H134" s="414" t="s">
        <v>1147</v>
      </c>
      <c r="I134" s="414" t="s">
        <v>738</v>
      </c>
    </row>
    <row r="135" spans="1:9">
      <c r="A135" s="414" t="s">
        <v>955</v>
      </c>
      <c r="C135" s="414" t="s">
        <v>956</v>
      </c>
      <c r="D135" s="414">
        <v>90014</v>
      </c>
      <c r="E135" s="414" t="s">
        <v>957</v>
      </c>
      <c r="F135" s="414" t="s">
        <v>785</v>
      </c>
      <c r="G135" s="414" t="s">
        <v>414</v>
      </c>
      <c r="H135" s="414" t="s">
        <v>1148</v>
      </c>
    </row>
    <row r="136" spans="1:9">
      <c r="A136" s="414">
        <v>7621</v>
      </c>
      <c r="C136" s="414" t="s">
        <v>740</v>
      </c>
      <c r="D136" s="414">
        <v>59142</v>
      </c>
      <c r="E136" s="414" t="s">
        <v>741</v>
      </c>
      <c r="F136" s="414" t="s">
        <v>742</v>
      </c>
      <c r="G136" s="414" t="s">
        <v>853</v>
      </c>
      <c r="H136" s="414" t="s">
        <v>1149</v>
      </c>
      <c r="I136" s="414" t="s">
        <v>743</v>
      </c>
    </row>
    <row r="137" spans="1:9">
      <c r="A137" s="414">
        <v>6545</v>
      </c>
      <c r="C137" s="414" t="s">
        <v>588</v>
      </c>
      <c r="D137" s="414">
        <v>75800</v>
      </c>
      <c r="E137" s="414" t="s">
        <v>589</v>
      </c>
      <c r="F137" s="414" t="s">
        <v>838</v>
      </c>
      <c r="G137" s="414" t="s">
        <v>590</v>
      </c>
      <c r="H137" s="414" t="s">
        <v>1150</v>
      </c>
      <c r="I137" s="414" t="s">
        <v>591</v>
      </c>
    </row>
    <row r="138" spans="1:9">
      <c r="A138" s="414">
        <v>7625</v>
      </c>
      <c r="C138" s="414" t="s">
        <v>744</v>
      </c>
      <c r="D138" s="414">
        <v>49450</v>
      </c>
      <c r="E138" s="414" t="s">
        <v>745</v>
      </c>
      <c r="F138" s="414" t="s">
        <v>862</v>
      </c>
      <c r="G138" s="414" t="s">
        <v>853</v>
      </c>
      <c r="H138" s="414" t="s">
        <v>1151</v>
      </c>
      <c r="I138" s="414" t="s">
        <v>746</v>
      </c>
    </row>
    <row r="139" spans="1:9">
      <c r="A139" s="414">
        <v>6548</v>
      </c>
      <c r="C139" s="414" t="s">
        <v>592</v>
      </c>
      <c r="D139" s="414">
        <v>10001</v>
      </c>
      <c r="E139" s="414" t="s">
        <v>593</v>
      </c>
      <c r="F139" s="414" t="s">
        <v>787</v>
      </c>
      <c r="G139" s="414" t="s">
        <v>414</v>
      </c>
      <c r="H139" s="414" t="s">
        <v>1077</v>
      </c>
      <c r="I139" s="414" t="s">
        <v>594</v>
      </c>
    </row>
    <row r="140" spans="1:9">
      <c r="A140" s="414">
        <v>6561</v>
      </c>
      <c r="C140" s="414" t="s">
        <v>595</v>
      </c>
      <c r="D140" s="414">
        <v>92780</v>
      </c>
      <c r="E140" s="414" t="s">
        <v>840</v>
      </c>
      <c r="F140" s="414" t="s">
        <v>841</v>
      </c>
      <c r="G140" s="414" t="s">
        <v>414</v>
      </c>
      <c r="H140" s="414" t="s">
        <v>1126</v>
      </c>
      <c r="I140" s="414" t="s">
        <v>1186</v>
      </c>
    </row>
    <row r="141" spans="1:9">
      <c r="A141" s="414" t="s">
        <v>979</v>
      </c>
      <c r="C141" s="414" t="s">
        <v>980</v>
      </c>
      <c r="D141" s="414">
        <v>92780</v>
      </c>
      <c r="E141" s="414" t="s">
        <v>1032</v>
      </c>
      <c r="F141" s="414" t="s">
        <v>841</v>
      </c>
      <c r="G141" s="414" t="s">
        <v>414</v>
      </c>
      <c r="H141" s="414" t="s">
        <v>630</v>
      </c>
    </row>
    <row r="142" spans="1:9">
      <c r="A142" s="414" t="s">
        <v>881</v>
      </c>
      <c r="C142" s="414" t="s">
        <v>882</v>
      </c>
      <c r="D142" s="414">
        <v>35603</v>
      </c>
      <c r="E142" s="414" t="s">
        <v>1001</v>
      </c>
      <c r="F142" s="414" t="s">
        <v>1002</v>
      </c>
      <c r="G142" s="414" t="s">
        <v>852</v>
      </c>
      <c r="H142" s="414" t="s">
        <v>1152</v>
      </c>
    </row>
    <row r="143" spans="1:9">
      <c r="A143" s="414">
        <v>7728</v>
      </c>
      <c r="C143" s="414" t="s">
        <v>747</v>
      </c>
      <c r="D143" s="414">
        <v>75006</v>
      </c>
      <c r="E143" s="414" t="s">
        <v>748</v>
      </c>
      <c r="F143" s="414" t="s">
        <v>647</v>
      </c>
      <c r="G143" s="414" t="s">
        <v>853</v>
      </c>
      <c r="H143" s="414" t="s">
        <v>1153</v>
      </c>
      <c r="I143" s="414" t="s">
        <v>749</v>
      </c>
    </row>
    <row r="144" spans="1:9">
      <c r="A144" s="414">
        <v>6568</v>
      </c>
      <c r="C144" s="414" t="s">
        <v>596</v>
      </c>
      <c r="D144" s="414">
        <v>10017</v>
      </c>
      <c r="E144" s="414" t="s">
        <v>597</v>
      </c>
      <c r="F144" s="414" t="s">
        <v>787</v>
      </c>
      <c r="G144" s="414" t="s">
        <v>414</v>
      </c>
      <c r="H144" s="414" t="s">
        <v>1078</v>
      </c>
      <c r="I144" s="414" t="s">
        <v>598</v>
      </c>
    </row>
    <row r="145" spans="1:9">
      <c r="A145" s="414">
        <v>7733</v>
      </c>
      <c r="C145" s="414" t="s">
        <v>750</v>
      </c>
      <c r="D145" s="414">
        <v>75002</v>
      </c>
      <c r="E145" s="414" t="s">
        <v>751</v>
      </c>
      <c r="F145" s="414" t="s">
        <v>647</v>
      </c>
      <c r="G145" s="414" t="s">
        <v>853</v>
      </c>
      <c r="H145" s="414" t="s">
        <v>1154</v>
      </c>
      <c r="I145" s="414" t="s">
        <v>750</v>
      </c>
    </row>
    <row r="146" spans="1:9">
      <c r="A146" s="414">
        <v>6581</v>
      </c>
      <c r="C146" s="414" t="s">
        <v>599</v>
      </c>
      <c r="D146" s="414">
        <v>91106</v>
      </c>
      <c r="E146" s="414" t="s">
        <v>600</v>
      </c>
      <c r="F146" s="414" t="s">
        <v>842</v>
      </c>
      <c r="G146" s="414" t="s">
        <v>414</v>
      </c>
    </row>
    <row r="147" spans="1:9">
      <c r="A147" s="414">
        <v>6582</v>
      </c>
      <c r="C147" s="414" t="s">
        <v>601</v>
      </c>
      <c r="E147" s="414" t="s">
        <v>602</v>
      </c>
      <c r="F147" s="414" t="s">
        <v>445</v>
      </c>
      <c r="G147" s="414" t="s">
        <v>223</v>
      </c>
      <c r="H147" s="414" t="s">
        <v>1079</v>
      </c>
      <c r="I147" s="414" t="s">
        <v>603</v>
      </c>
    </row>
    <row r="148" spans="1:9">
      <c r="A148" s="414">
        <v>6601</v>
      </c>
      <c r="C148" s="414" t="s">
        <v>604</v>
      </c>
      <c r="D148" s="414">
        <v>90502</v>
      </c>
      <c r="E148" s="414" t="s">
        <v>605</v>
      </c>
      <c r="F148" s="414" t="s">
        <v>844</v>
      </c>
      <c r="G148" s="414" t="s">
        <v>414</v>
      </c>
      <c r="H148" s="414" t="s">
        <v>1080</v>
      </c>
      <c r="I148" s="414" t="s">
        <v>606</v>
      </c>
    </row>
    <row r="149" spans="1:9">
      <c r="A149" s="414">
        <v>6602</v>
      </c>
      <c r="C149" s="414" t="s">
        <v>607</v>
      </c>
      <c r="D149" s="415" t="s">
        <v>843</v>
      </c>
      <c r="E149" s="414" t="s">
        <v>608</v>
      </c>
      <c r="F149" s="414" t="s">
        <v>845</v>
      </c>
      <c r="G149" s="414" t="s">
        <v>414</v>
      </c>
      <c r="H149" s="414" t="s">
        <v>1081</v>
      </c>
      <c r="I149" s="414" t="s">
        <v>609</v>
      </c>
    </row>
    <row r="150" spans="1:9">
      <c r="A150" s="414">
        <v>7764</v>
      </c>
      <c r="C150" s="414" t="s">
        <v>752</v>
      </c>
      <c r="D150" s="414">
        <v>62520</v>
      </c>
      <c r="E150" s="414" t="s">
        <v>753</v>
      </c>
      <c r="F150" s="414" t="s">
        <v>754</v>
      </c>
      <c r="G150" s="414" t="s">
        <v>861</v>
      </c>
    </row>
    <row r="151" spans="1:9">
      <c r="A151" s="414" t="s">
        <v>976</v>
      </c>
      <c r="C151" s="414" t="s">
        <v>977</v>
      </c>
      <c r="D151" s="414">
        <v>312400</v>
      </c>
      <c r="E151" s="414" t="s">
        <v>978</v>
      </c>
      <c r="F151" s="414" t="s">
        <v>1031</v>
      </c>
      <c r="G151" s="414" t="s">
        <v>223</v>
      </c>
      <c r="H151" s="414" t="s">
        <v>1079</v>
      </c>
    </row>
    <row r="152" spans="1:9">
      <c r="A152" s="414">
        <v>6610</v>
      </c>
      <c r="C152" s="414" t="s">
        <v>848</v>
      </c>
      <c r="D152" s="414">
        <v>518100</v>
      </c>
      <c r="E152" s="414" t="s">
        <v>847</v>
      </c>
      <c r="F152" s="414" t="s">
        <v>846</v>
      </c>
      <c r="G152" s="414" t="s">
        <v>223</v>
      </c>
      <c r="H152" s="414" t="s">
        <v>1082</v>
      </c>
    </row>
    <row r="153" spans="1:9">
      <c r="A153" s="414" t="s">
        <v>963</v>
      </c>
      <c r="C153" s="414" t="s">
        <v>964</v>
      </c>
      <c r="D153" s="414">
        <v>10018</v>
      </c>
      <c r="E153" s="414" t="s">
        <v>1027</v>
      </c>
      <c r="F153" s="414" t="s">
        <v>787</v>
      </c>
      <c r="G153" s="414" t="s">
        <v>414</v>
      </c>
      <c r="H153" s="414" t="s">
        <v>1155</v>
      </c>
    </row>
    <row r="154" spans="1:9">
      <c r="A154" s="414" t="s">
        <v>965</v>
      </c>
      <c r="C154" s="414" t="s">
        <v>966</v>
      </c>
      <c r="D154" s="414">
        <v>700046</v>
      </c>
      <c r="E154" s="414" t="s">
        <v>967</v>
      </c>
      <c r="F154" s="414" t="s">
        <v>1029</v>
      </c>
      <c r="G154" s="414" t="s">
        <v>968</v>
      </c>
      <c r="H154" s="414" t="s">
        <v>1141</v>
      </c>
    </row>
    <row r="155" spans="1:9">
      <c r="C155" s="414" t="s">
        <v>1183</v>
      </c>
      <c r="D155" s="414">
        <v>10018</v>
      </c>
      <c r="E155" s="414" t="s">
        <v>1184</v>
      </c>
      <c r="F155" s="414" t="s">
        <v>787</v>
      </c>
      <c r="G155" s="414" t="s">
        <v>414</v>
      </c>
      <c r="H155" s="414" t="s">
        <v>1185</v>
      </c>
      <c r="I155" s="414" t="s">
        <v>368</v>
      </c>
    </row>
    <row r="156" spans="1:9">
      <c r="A156" s="414">
        <v>6629</v>
      </c>
      <c r="C156" s="414" t="s">
        <v>610</v>
      </c>
      <c r="D156" s="414">
        <v>34406</v>
      </c>
      <c r="E156" s="414" t="s">
        <v>611</v>
      </c>
      <c r="F156" s="414" t="s">
        <v>849</v>
      </c>
      <c r="G156" s="414" t="s">
        <v>612</v>
      </c>
      <c r="H156" s="414" t="s">
        <v>1083</v>
      </c>
      <c r="I156" s="414" t="s">
        <v>613</v>
      </c>
    </row>
    <row r="157" spans="1:9">
      <c r="A157" s="414">
        <v>6631</v>
      </c>
      <c r="C157" s="414" t="s">
        <v>614</v>
      </c>
      <c r="D157" s="414">
        <v>90049</v>
      </c>
      <c r="E157" s="414" t="s">
        <v>615</v>
      </c>
      <c r="F157" s="414" t="s">
        <v>785</v>
      </c>
      <c r="G157" s="414" t="s">
        <v>414</v>
      </c>
      <c r="I157" s="414" t="s">
        <v>616</v>
      </c>
    </row>
    <row r="158" spans="1:9">
      <c r="A158" s="414">
        <v>7807</v>
      </c>
      <c r="C158" s="414" t="s">
        <v>877</v>
      </c>
      <c r="D158" s="414" t="s">
        <v>872</v>
      </c>
      <c r="E158" s="414" t="s">
        <v>869</v>
      </c>
      <c r="F158" s="414" t="s">
        <v>870</v>
      </c>
      <c r="G158" s="414" t="s">
        <v>1016</v>
      </c>
      <c r="H158" s="414" t="s">
        <v>1084</v>
      </c>
      <c r="I158" s="414" t="s">
        <v>873</v>
      </c>
    </row>
    <row r="159" spans="1:9">
      <c r="A159" s="414" t="s">
        <v>906</v>
      </c>
      <c r="C159" s="414" t="s">
        <v>907</v>
      </c>
      <c r="D159" s="414">
        <v>6560108</v>
      </c>
      <c r="E159" s="414" t="s">
        <v>908</v>
      </c>
      <c r="F159" s="414" t="s">
        <v>1014</v>
      </c>
      <c r="G159" s="414" t="s">
        <v>1015</v>
      </c>
      <c r="H159" s="414" t="s">
        <v>1058</v>
      </c>
    </row>
    <row r="160" spans="1:9">
      <c r="A160" s="414">
        <v>7808</v>
      </c>
      <c r="C160" s="414" t="s">
        <v>755</v>
      </c>
      <c r="D160" s="414">
        <v>2010</v>
      </c>
      <c r="E160" s="414" t="s">
        <v>875</v>
      </c>
      <c r="F160" s="414" t="s">
        <v>876</v>
      </c>
      <c r="G160" s="414" t="s">
        <v>874</v>
      </c>
      <c r="H160" s="414" t="s">
        <v>1156</v>
      </c>
      <c r="I160" s="414" t="s">
        <v>756</v>
      </c>
    </row>
    <row r="161" spans="1:9">
      <c r="A161" s="414">
        <v>6651</v>
      </c>
      <c r="C161" s="414" t="s">
        <v>617</v>
      </c>
      <c r="D161" s="414">
        <v>90021</v>
      </c>
      <c r="E161" s="414" t="s">
        <v>618</v>
      </c>
      <c r="F161" s="414" t="s">
        <v>785</v>
      </c>
      <c r="G161" s="414" t="s">
        <v>414</v>
      </c>
      <c r="H161" s="414" t="s">
        <v>1085</v>
      </c>
    </row>
    <row r="162" spans="1:9">
      <c r="A162" s="414">
        <v>7811</v>
      </c>
      <c r="C162" s="414" t="s">
        <v>757</v>
      </c>
      <c r="D162" s="414">
        <v>75017</v>
      </c>
      <c r="E162" s="414" t="s">
        <v>758</v>
      </c>
      <c r="F162" s="414" t="s">
        <v>647</v>
      </c>
      <c r="G162" s="414" t="s">
        <v>853</v>
      </c>
      <c r="H162" s="414" t="s">
        <v>1157</v>
      </c>
      <c r="I162" s="414" t="s">
        <v>759</v>
      </c>
    </row>
    <row r="163" spans="1:9">
      <c r="A163" s="414">
        <v>6652</v>
      </c>
      <c r="C163" s="414" t="s">
        <v>619</v>
      </c>
      <c r="D163" s="414">
        <v>10014</v>
      </c>
      <c r="E163" s="414" t="s">
        <v>620</v>
      </c>
      <c r="F163" s="414" t="s">
        <v>787</v>
      </c>
      <c r="G163" s="414" t="s">
        <v>414</v>
      </c>
      <c r="H163" s="414" t="s">
        <v>1086</v>
      </c>
      <c r="I163" s="414" t="s">
        <v>622</v>
      </c>
    </row>
    <row r="164" spans="1:9">
      <c r="A164" s="414">
        <v>6661</v>
      </c>
      <c r="C164" s="414" t="s">
        <v>623</v>
      </c>
      <c r="D164" s="414">
        <v>11201</v>
      </c>
      <c r="E164" s="414" t="s">
        <v>624</v>
      </c>
      <c r="F164" s="414" t="s">
        <v>808</v>
      </c>
      <c r="G164" s="414" t="s">
        <v>414</v>
      </c>
      <c r="H164" s="414" t="s">
        <v>1087</v>
      </c>
      <c r="I164" s="414" t="s">
        <v>623</v>
      </c>
    </row>
    <row r="165" spans="1:9">
      <c r="A165" s="414">
        <v>6662</v>
      </c>
      <c r="C165" s="414" t="s">
        <v>625</v>
      </c>
      <c r="D165" s="414">
        <v>10011</v>
      </c>
      <c r="E165" s="414" t="s">
        <v>626</v>
      </c>
      <c r="F165" s="414" t="s">
        <v>787</v>
      </c>
      <c r="G165" s="414" t="s">
        <v>414</v>
      </c>
      <c r="H165" s="414" t="s">
        <v>1088</v>
      </c>
      <c r="I165" s="414" t="s">
        <v>627</v>
      </c>
    </row>
    <row r="166" spans="1:9">
      <c r="A166" s="414">
        <v>6665</v>
      </c>
      <c r="C166" s="414" t="s">
        <v>628</v>
      </c>
      <c r="E166" s="414" t="s">
        <v>629</v>
      </c>
      <c r="F166" s="414" t="s">
        <v>850</v>
      </c>
      <c r="G166" s="414" t="s">
        <v>223</v>
      </c>
      <c r="H166" s="414" t="s">
        <v>630</v>
      </c>
    </row>
    <row r="167" spans="1:9">
      <c r="A167" s="414">
        <v>6666</v>
      </c>
      <c r="C167" s="414" t="s">
        <v>631</v>
      </c>
      <c r="D167" s="414">
        <v>10013</v>
      </c>
      <c r="E167" s="414" t="s">
        <v>632</v>
      </c>
      <c r="F167" s="414" t="s">
        <v>787</v>
      </c>
      <c r="G167" s="414" t="s">
        <v>414</v>
      </c>
    </row>
    <row r="168" spans="1:9">
      <c r="A168" s="414">
        <v>6695</v>
      </c>
      <c r="C168" s="414" t="s">
        <v>633</v>
      </c>
      <c r="D168" s="414">
        <v>10012</v>
      </c>
      <c r="E168" s="414" t="s">
        <v>634</v>
      </c>
      <c r="F168" s="414" t="s">
        <v>576</v>
      </c>
      <c r="G168" s="414" t="s">
        <v>414</v>
      </c>
      <c r="H168" s="414" t="s">
        <v>1089</v>
      </c>
      <c r="I168" s="414" t="s">
        <v>635</v>
      </c>
    </row>
    <row r="169" spans="1:9">
      <c r="A169" s="414">
        <v>6705</v>
      </c>
      <c r="C169" s="414" t="s">
        <v>636</v>
      </c>
      <c r="D169" s="414">
        <v>10014</v>
      </c>
      <c r="E169" s="414" t="s">
        <v>637</v>
      </c>
      <c r="F169" s="414" t="s">
        <v>621</v>
      </c>
      <c r="G169" s="414" t="s">
        <v>414</v>
      </c>
      <c r="H169" s="414" t="s">
        <v>1096</v>
      </c>
      <c r="I169" s="414" t="s">
        <v>638</v>
      </c>
    </row>
    <row r="170" spans="1:9">
      <c r="A170" s="414">
        <v>7841</v>
      </c>
      <c r="C170" s="414" t="s">
        <v>760</v>
      </c>
      <c r="D170" s="414">
        <v>75002</v>
      </c>
      <c r="E170" s="414" t="s">
        <v>761</v>
      </c>
      <c r="F170" s="414" t="s">
        <v>647</v>
      </c>
      <c r="G170" s="414" t="s">
        <v>853</v>
      </c>
      <c r="H170" s="414" t="s">
        <v>1158</v>
      </c>
      <c r="I170" s="414" t="s">
        <v>762</v>
      </c>
    </row>
    <row r="171" spans="1:9">
      <c r="A171" s="414">
        <v>6727</v>
      </c>
      <c r="C171" s="414" t="s">
        <v>639</v>
      </c>
      <c r="D171" s="414">
        <v>10010</v>
      </c>
      <c r="E171" s="414" t="s">
        <v>640</v>
      </c>
      <c r="F171" s="414" t="s">
        <v>641</v>
      </c>
      <c r="G171" s="414" t="s">
        <v>414</v>
      </c>
    </row>
    <row r="172" spans="1:9">
      <c r="A172" s="414" t="s">
        <v>996</v>
      </c>
      <c r="C172" s="414" t="s">
        <v>997</v>
      </c>
      <c r="D172" s="414">
        <v>33414</v>
      </c>
      <c r="E172" s="414" t="s">
        <v>998</v>
      </c>
      <c r="F172" s="414" t="s">
        <v>1036</v>
      </c>
      <c r="G172" s="414" t="s">
        <v>414</v>
      </c>
    </row>
    <row r="173" spans="1:9">
      <c r="A173" s="414">
        <v>7847</v>
      </c>
      <c r="C173" s="414" t="s">
        <v>763</v>
      </c>
      <c r="D173" s="414">
        <v>75012</v>
      </c>
      <c r="E173" s="414" t="s">
        <v>764</v>
      </c>
      <c r="F173" s="414" t="s">
        <v>860</v>
      </c>
      <c r="G173" s="414" t="s">
        <v>853</v>
      </c>
      <c r="H173" s="414" t="s">
        <v>1159</v>
      </c>
      <c r="I173" s="414" t="s">
        <v>765</v>
      </c>
    </row>
    <row r="174" spans="1:9">
      <c r="A174" s="414">
        <v>6733</v>
      </c>
      <c r="C174" s="414" t="s">
        <v>642</v>
      </c>
      <c r="E174" s="414" t="s">
        <v>643</v>
      </c>
      <c r="F174" s="414" t="s">
        <v>851</v>
      </c>
      <c r="G174" s="414" t="s">
        <v>223</v>
      </c>
      <c r="H174" s="414" t="s">
        <v>1090</v>
      </c>
      <c r="I174" s="414" t="s">
        <v>644</v>
      </c>
    </row>
    <row r="175" spans="1:9">
      <c r="A175" s="414" t="s">
        <v>889</v>
      </c>
      <c r="C175" s="414" t="s">
        <v>890</v>
      </c>
      <c r="E175" s="414" t="s">
        <v>891</v>
      </c>
      <c r="F175" s="414" t="s">
        <v>1005</v>
      </c>
      <c r="G175" s="414" t="s">
        <v>1006</v>
      </c>
    </row>
    <row r="176" spans="1:9">
      <c r="A176" s="414" t="s">
        <v>919</v>
      </c>
      <c r="C176" s="414" t="s">
        <v>920</v>
      </c>
      <c r="D176" s="414">
        <v>52100</v>
      </c>
      <c r="E176" s="414" t="s">
        <v>921</v>
      </c>
      <c r="F176" s="414" t="s">
        <v>922</v>
      </c>
      <c r="G176" s="414" t="s">
        <v>223</v>
      </c>
      <c r="H176" s="414" t="s">
        <v>1093</v>
      </c>
    </row>
    <row r="177" spans="1:9">
      <c r="A177" s="414" t="s">
        <v>958</v>
      </c>
      <c r="C177" s="414" t="s">
        <v>959</v>
      </c>
      <c r="D177" s="414">
        <v>3111108</v>
      </c>
      <c r="E177" s="414" t="s">
        <v>960</v>
      </c>
      <c r="F177" s="414" t="s">
        <v>1026</v>
      </c>
      <c r="G177" s="414" t="s">
        <v>223</v>
      </c>
      <c r="H177" s="414" t="s">
        <v>573</v>
      </c>
    </row>
    <row r="178" spans="1:9">
      <c r="A178" s="414">
        <v>7921</v>
      </c>
      <c r="C178" s="414" t="s">
        <v>766</v>
      </c>
      <c r="D178" s="414">
        <v>75010</v>
      </c>
      <c r="E178" s="414" t="s">
        <v>767</v>
      </c>
      <c r="F178" s="414" t="s">
        <v>647</v>
      </c>
      <c r="G178" s="414" t="s">
        <v>853</v>
      </c>
      <c r="H178" s="414" t="s">
        <v>1160</v>
      </c>
      <c r="I178" s="414" t="s">
        <v>768</v>
      </c>
    </row>
    <row r="179" spans="1:9">
      <c r="A179" s="414">
        <v>7961</v>
      </c>
      <c r="C179" s="414" t="s">
        <v>769</v>
      </c>
      <c r="D179" s="414">
        <v>75010</v>
      </c>
      <c r="E179" s="414" t="s">
        <v>770</v>
      </c>
      <c r="F179" s="414" t="s">
        <v>771</v>
      </c>
      <c r="G179" s="414" t="s">
        <v>853</v>
      </c>
      <c r="H179" s="414" t="s">
        <v>1161</v>
      </c>
      <c r="I179" s="414" t="s">
        <v>772</v>
      </c>
    </row>
  </sheetData>
  <autoFilter ref="A1:I1" xr:uid="{00000000-0009-0000-0000-000001000000}">
    <sortState xmlns:xlrd2="http://schemas.microsoft.com/office/spreadsheetml/2017/richdata2" ref="A2:I177">
      <sortCondition ref="C1"/>
    </sortState>
  </autoFilter>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CE719-EB6D-43A9-A2B3-8D661D02D0BE}">
  <sheetPr codeName="Sheet10"/>
  <dimension ref="A1:I138"/>
  <sheetViews>
    <sheetView topLeftCell="A31" workbookViewId="0">
      <selection activeCell="A139" sqref="A139"/>
    </sheetView>
  </sheetViews>
  <sheetFormatPr defaultColWidth="9" defaultRowHeight="15"/>
  <cols>
    <col min="1" max="1" width="13.125" style="412" customWidth="1"/>
    <col min="2" max="2" width="29" style="412" bestFit="1" customWidth="1"/>
    <col min="3" max="3" width="9" style="412"/>
    <col min="4" max="4" width="39.75" style="412" bestFit="1" customWidth="1"/>
    <col min="5" max="5" width="24.5" style="412" bestFit="1" customWidth="1"/>
    <col min="6" max="7" width="12.625" style="412" bestFit="1" customWidth="1"/>
    <col min="8" max="16384" width="9" style="412"/>
  </cols>
  <sheetData>
    <row r="1" spans="1:9" ht="18.75">
      <c r="A1" s="412" t="s">
        <v>1738</v>
      </c>
      <c r="B1" s="412" t="s">
        <v>1735</v>
      </c>
      <c r="C1" s="412" t="s">
        <v>1739</v>
      </c>
      <c r="D1" s="412" t="s">
        <v>1740</v>
      </c>
      <c r="E1" s="412" t="s">
        <v>1741</v>
      </c>
      <c r="F1" s="412" t="s">
        <v>1736</v>
      </c>
      <c r="G1" s="412" t="s">
        <v>1737</v>
      </c>
      <c r="H1" s="419" t="s">
        <v>1196</v>
      </c>
      <c r="I1" s="419" t="s">
        <v>1198</v>
      </c>
    </row>
    <row r="2" spans="1:9">
      <c r="A2" s="412">
        <v>13</v>
      </c>
      <c r="B2" s="412" t="s">
        <v>1496</v>
      </c>
      <c r="D2" s="412" t="s">
        <v>1497</v>
      </c>
    </row>
    <row r="3" spans="1:9">
      <c r="A3" s="412">
        <v>17</v>
      </c>
      <c r="B3" s="412" t="s">
        <v>1498</v>
      </c>
      <c r="C3" s="412" t="s">
        <v>1202</v>
      </c>
      <c r="D3" s="412" t="s">
        <v>1499</v>
      </c>
      <c r="F3" s="412" t="s">
        <v>1203</v>
      </c>
      <c r="G3" s="412" t="s">
        <v>1204</v>
      </c>
    </row>
    <row r="4" spans="1:9">
      <c r="A4" s="412">
        <v>18</v>
      </c>
      <c r="B4" s="412" t="s">
        <v>1500</v>
      </c>
      <c r="C4" s="412" t="s">
        <v>1205</v>
      </c>
      <c r="D4" s="412" t="s">
        <v>1501</v>
      </c>
      <c r="F4" s="412" t="s">
        <v>1206</v>
      </c>
      <c r="G4" s="412" t="s">
        <v>1207</v>
      </c>
    </row>
    <row r="5" spans="1:9">
      <c r="A5" s="412">
        <v>20</v>
      </c>
      <c r="B5" s="412" t="s">
        <v>1502</v>
      </c>
      <c r="C5" s="412" t="s">
        <v>1208</v>
      </c>
      <c r="D5" s="412" t="s">
        <v>1503</v>
      </c>
      <c r="F5" s="412" t="s">
        <v>1209</v>
      </c>
      <c r="G5" s="412" t="s">
        <v>1210</v>
      </c>
    </row>
    <row r="6" spans="1:9">
      <c r="A6" s="412">
        <v>30</v>
      </c>
      <c r="B6" s="412" t="s">
        <v>1504</v>
      </c>
      <c r="C6" s="412" t="s">
        <v>1211</v>
      </c>
      <c r="D6" s="412" t="s">
        <v>1505</v>
      </c>
      <c r="E6" s="412" t="s">
        <v>1212</v>
      </c>
      <c r="F6" s="412" t="s">
        <v>1213</v>
      </c>
      <c r="G6" s="412" t="s">
        <v>1214</v>
      </c>
    </row>
    <row r="7" spans="1:9">
      <c r="A7" s="412">
        <v>31</v>
      </c>
      <c r="B7" s="412" t="s">
        <v>1506</v>
      </c>
      <c r="C7" s="412" t="s">
        <v>1215</v>
      </c>
      <c r="D7" s="412" t="s">
        <v>1507</v>
      </c>
      <c r="F7" s="412" t="s">
        <v>1216</v>
      </c>
      <c r="G7" s="412" t="s">
        <v>1217</v>
      </c>
    </row>
    <row r="8" spans="1:9">
      <c r="A8" s="412">
        <v>35</v>
      </c>
      <c r="B8" s="412" t="s">
        <v>1508</v>
      </c>
      <c r="C8" s="412" t="s">
        <v>1218</v>
      </c>
      <c r="D8" s="412" t="s">
        <v>1509</v>
      </c>
      <c r="F8" s="412" t="s">
        <v>1219</v>
      </c>
      <c r="G8" s="412" t="s">
        <v>1220</v>
      </c>
    </row>
    <row r="9" spans="1:9">
      <c r="A9" s="412">
        <v>36</v>
      </c>
      <c r="B9" s="412" t="s">
        <v>1510</v>
      </c>
      <c r="C9" s="412" t="s">
        <v>1221</v>
      </c>
      <c r="D9" s="412" t="s">
        <v>1511</v>
      </c>
      <c r="F9" s="412" t="s">
        <v>1222</v>
      </c>
      <c r="G9" s="412" t="s">
        <v>1223</v>
      </c>
    </row>
    <row r="10" spans="1:9">
      <c r="A10" s="412">
        <v>37</v>
      </c>
      <c r="B10" s="412" t="s">
        <v>1512</v>
      </c>
      <c r="C10" s="412" t="s">
        <v>1221</v>
      </c>
      <c r="D10" s="412" t="s">
        <v>1513</v>
      </c>
      <c r="F10" s="412" t="s">
        <v>1224</v>
      </c>
      <c r="G10" s="412" t="s">
        <v>1225</v>
      </c>
    </row>
    <row r="11" spans="1:9">
      <c r="A11" s="412">
        <v>38</v>
      </c>
      <c r="B11" s="412" t="s">
        <v>1514</v>
      </c>
      <c r="C11" s="412" t="s">
        <v>1226</v>
      </c>
      <c r="D11" s="412" t="s">
        <v>1515</v>
      </c>
      <c r="F11" s="412" t="s">
        <v>1227</v>
      </c>
      <c r="G11" s="412" t="s">
        <v>1228</v>
      </c>
    </row>
    <row r="12" spans="1:9">
      <c r="A12" s="412">
        <v>40</v>
      </c>
      <c r="B12" s="412" t="s">
        <v>1229</v>
      </c>
      <c r="C12" s="412" t="s">
        <v>1230</v>
      </c>
      <c r="D12" s="412" t="s">
        <v>1516</v>
      </c>
      <c r="F12" s="412" t="s">
        <v>1231</v>
      </c>
      <c r="G12" s="412" t="s">
        <v>1232</v>
      </c>
    </row>
    <row r="13" spans="1:9">
      <c r="A13" s="412">
        <v>46</v>
      </c>
      <c r="B13" s="412" t="s">
        <v>1517</v>
      </c>
      <c r="C13" s="412" t="s">
        <v>1233</v>
      </c>
      <c r="D13" s="412" t="s">
        <v>1518</v>
      </c>
      <c r="F13" s="412" t="s">
        <v>1234</v>
      </c>
      <c r="G13" s="412" t="s">
        <v>1235</v>
      </c>
    </row>
    <row r="14" spans="1:9">
      <c r="A14" s="412">
        <v>47</v>
      </c>
      <c r="B14" s="412" t="s">
        <v>1519</v>
      </c>
      <c r="C14" s="412" t="s">
        <v>1236</v>
      </c>
      <c r="D14" s="1411" t="s">
        <v>4055</v>
      </c>
      <c r="F14" s="412" t="s">
        <v>1237</v>
      </c>
      <c r="G14" s="412" t="s">
        <v>1238</v>
      </c>
    </row>
    <row r="15" spans="1:9">
      <c r="A15" s="412">
        <v>51</v>
      </c>
      <c r="B15" s="412" t="s">
        <v>1520</v>
      </c>
    </row>
    <row r="16" spans="1:9">
      <c r="A16" s="412">
        <v>62</v>
      </c>
      <c r="B16" s="412" t="s">
        <v>1521</v>
      </c>
      <c r="C16" s="412" t="s">
        <v>1239</v>
      </c>
      <c r="D16" s="412" t="s">
        <v>1522</v>
      </c>
      <c r="F16" s="412" t="s">
        <v>1240</v>
      </c>
      <c r="G16" s="412" t="s">
        <v>1241</v>
      </c>
    </row>
    <row r="17" spans="1:7">
      <c r="A17" s="412">
        <v>64</v>
      </c>
      <c r="B17" s="412" t="s">
        <v>1523</v>
      </c>
      <c r="C17" s="412" t="s">
        <v>1242</v>
      </c>
      <c r="D17" s="412" t="s">
        <v>1524</v>
      </c>
      <c r="E17" s="412" t="s">
        <v>1525</v>
      </c>
      <c r="F17" s="412" t="s">
        <v>1243</v>
      </c>
      <c r="G17" s="412" t="s">
        <v>1244</v>
      </c>
    </row>
    <row r="18" spans="1:7">
      <c r="A18" s="412">
        <v>65</v>
      </c>
      <c r="B18" s="412" t="s">
        <v>1526</v>
      </c>
      <c r="C18" s="412" t="s">
        <v>1245</v>
      </c>
      <c r="D18" s="412" t="s">
        <v>1527</v>
      </c>
      <c r="F18" s="412" t="s">
        <v>1246</v>
      </c>
      <c r="G18" s="412" t="s">
        <v>1247</v>
      </c>
    </row>
    <row r="19" spans="1:7">
      <c r="A19" s="412">
        <v>69</v>
      </c>
      <c r="B19" s="412" t="s">
        <v>1528</v>
      </c>
      <c r="C19" s="412" t="s">
        <v>1248</v>
      </c>
      <c r="D19" s="412" t="s">
        <v>1529</v>
      </c>
      <c r="E19" s="412" t="s">
        <v>1212</v>
      </c>
      <c r="F19" s="412" t="s">
        <v>1249</v>
      </c>
      <c r="G19" s="412" t="s">
        <v>1250</v>
      </c>
    </row>
    <row r="20" spans="1:7">
      <c r="A20" s="412">
        <v>79</v>
      </c>
      <c r="B20" s="412" t="s">
        <v>1530</v>
      </c>
    </row>
    <row r="21" spans="1:7">
      <c r="A21" s="412">
        <v>81</v>
      </c>
      <c r="B21" s="412" t="s">
        <v>1531</v>
      </c>
      <c r="C21" s="412" t="s">
        <v>1251</v>
      </c>
      <c r="D21" s="412" t="s">
        <v>1532</v>
      </c>
      <c r="F21" s="412" t="s">
        <v>1252</v>
      </c>
      <c r="G21" s="412" t="s">
        <v>1253</v>
      </c>
    </row>
    <row r="22" spans="1:7">
      <c r="A22" s="412">
        <v>83</v>
      </c>
      <c r="B22" s="412" t="s">
        <v>1533</v>
      </c>
      <c r="C22" s="412" t="s">
        <v>1254</v>
      </c>
      <c r="D22" s="412" t="s">
        <v>1534</v>
      </c>
      <c r="F22" s="412" t="s">
        <v>1255</v>
      </c>
      <c r="G22" s="412" t="s">
        <v>1256</v>
      </c>
    </row>
    <row r="23" spans="1:7">
      <c r="A23" s="412">
        <v>91</v>
      </c>
      <c r="B23" s="412" t="s">
        <v>1535</v>
      </c>
      <c r="C23" s="412" t="s">
        <v>1257</v>
      </c>
      <c r="D23" s="412" t="s">
        <v>1536</v>
      </c>
      <c r="F23" s="412" t="s">
        <v>1258</v>
      </c>
      <c r="G23" s="412" t="s">
        <v>1259</v>
      </c>
    </row>
    <row r="24" spans="1:7">
      <c r="A24" s="412">
        <v>95</v>
      </c>
      <c r="B24" s="412" t="s">
        <v>1537</v>
      </c>
      <c r="C24" s="412" t="s">
        <v>1260</v>
      </c>
      <c r="D24" s="412" t="s">
        <v>1538</v>
      </c>
      <c r="F24" s="412" t="s">
        <v>1261</v>
      </c>
      <c r="G24" s="412" t="s">
        <v>1262</v>
      </c>
    </row>
    <row r="25" spans="1:7">
      <c r="A25" s="412">
        <v>97</v>
      </c>
      <c r="B25" s="412" t="s">
        <v>1539</v>
      </c>
      <c r="D25" s="412" t="s">
        <v>1540</v>
      </c>
    </row>
    <row r="26" spans="1:7">
      <c r="A26" s="412">
        <v>104</v>
      </c>
      <c r="B26" s="412" t="s">
        <v>1541</v>
      </c>
      <c r="C26" s="412" t="s">
        <v>1263</v>
      </c>
      <c r="D26" s="412" t="s">
        <v>1542</v>
      </c>
      <c r="F26" s="412" t="s">
        <v>1264</v>
      </c>
      <c r="G26" s="412" t="s">
        <v>1265</v>
      </c>
    </row>
    <row r="27" spans="1:7">
      <c r="A27" s="412">
        <v>114</v>
      </c>
      <c r="B27" s="412" t="s">
        <v>1543</v>
      </c>
      <c r="C27" s="412" t="s">
        <v>1266</v>
      </c>
      <c r="D27" s="412" t="s">
        <v>1544</v>
      </c>
      <c r="F27" s="412" t="s">
        <v>1267</v>
      </c>
      <c r="G27" s="412" t="s">
        <v>1268</v>
      </c>
    </row>
    <row r="28" spans="1:7">
      <c r="A28" s="412">
        <v>115</v>
      </c>
      <c r="B28" s="412" t="s">
        <v>1545</v>
      </c>
      <c r="C28" s="412" t="s">
        <v>1269</v>
      </c>
      <c r="D28" s="412" t="s">
        <v>1546</v>
      </c>
      <c r="F28" s="412" t="s">
        <v>1270</v>
      </c>
      <c r="G28" s="412" t="s">
        <v>1271</v>
      </c>
    </row>
    <row r="29" spans="1:7">
      <c r="A29" s="412">
        <v>116</v>
      </c>
      <c r="B29" s="412" t="s">
        <v>1547</v>
      </c>
      <c r="C29" s="412" t="s">
        <v>1272</v>
      </c>
      <c r="D29" s="412" t="s">
        <v>1548</v>
      </c>
      <c r="F29" s="412" t="s">
        <v>1273</v>
      </c>
      <c r="G29" s="412" t="s">
        <v>1274</v>
      </c>
    </row>
    <row r="30" spans="1:7">
      <c r="A30" s="412">
        <v>120</v>
      </c>
      <c r="B30" s="412" t="s">
        <v>1549</v>
      </c>
      <c r="D30" s="412" t="s">
        <v>1550</v>
      </c>
    </row>
    <row r="31" spans="1:7">
      <c r="A31" s="412">
        <v>122</v>
      </c>
      <c r="B31" s="412" t="s">
        <v>1551</v>
      </c>
      <c r="D31" s="412" t="s">
        <v>1550</v>
      </c>
    </row>
    <row r="32" spans="1:7">
      <c r="A32" s="412">
        <v>127</v>
      </c>
      <c r="B32" s="412" t="s">
        <v>1552</v>
      </c>
      <c r="D32" s="412" t="s">
        <v>1553</v>
      </c>
      <c r="F32" s="412" t="s">
        <v>1275</v>
      </c>
      <c r="G32" s="412" t="s">
        <v>1276</v>
      </c>
    </row>
    <row r="33" spans="1:7">
      <c r="A33" s="412">
        <v>128</v>
      </c>
      <c r="B33" s="412" t="s">
        <v>1554</v>
      </c>
      <c r="C33" s="412" t="s">
        <v>1277</v>
      </c>
      <c r="D33" s="412" t="s">
        <v>1553</v>
      </c>
      <c r="F33" s="412" t="s">
        <v>1275</v>
      </c>
      <c r="G33" s="412" t="s">
        <v>1278</v>
      </c>
    </row>
    <row r="34" spans="1:7">
      <c r="A34" s="412">
        <v>129</v>
      </c>
      <c r="B34" s="412" t="s">
        <v>1555</v>
      </c>
      <c r="C34" s="412" t="s">
        <v>1279</v>
      </c>
      <c r="D34" s="412" t="s">
        <v>1556</v>
      </c>
      <c r="F34" s="412" t="s">
        <v>1280</v>
      </c>
      <c r="G34" s="412" t="s">
        <v>1281</v>
      </c>
    </row>
    <row r="35" spans="1:7">
      <c r="A35" s="412">
        <v>146</v>
      </c>
      <c r="B35" s="412" t="s">
        <v>1557</v>
      </c>
      <c r="C35" s="412" t="s">
        <v>1282</v>
      </c>
      <c r="D35" s="412" t="s">
        <v>1558</v>
      </c>
      <c r="F35" s="412" t="s">
        <v>1283</v>
      </c>
      <c r="G35" s="412" t="s">
        <v>1284</v>
      </c>
    </row>
    <row r="36" spans="1:7" ht="18.75">
      <c r="A36" s="412">
        <v>148</v>
      </c>
      <c r="B36" s="412" t="s">
        <v>1559</v>
      </c>
      <c r="C36" s="412" t="s">
        <v>4651</v>
      </c>
      <c r="D36" s="1411" t="s">
        <v>4652</v>
      </c>
      <c r="F36" s="412" t="s">
        <v>1285</v>
      </c>
      <c r="G36" s="412" t="s">
        <v>1286</v>
      </c>
    </row>
    <row r="37" spans="1:7">
      <c r="A37" s="412">
        <v>151</v>
      </c>
      <c r="B37" s="412" t="s">
        <v>1560</v>
      </c>
      <c r="C37" s="412" t="s">
        <v>1287</v>
      </c>
      <c r="D37" s="412" t="s">
        <v>1561</v>
      </c>
      <c r="F37" s="412" t="s">
        <v>1288</v>
      </c>
      <c r="G37" s="412" t="s">
        <v>1289</v>
      </c>
    </row>
    <row r="38" spans="1:7">
      <c r="A38" s="412">
        <v>152</v>
      </c>
      <c r="B38" s="412" t="s">
        <v>1562</v>
      </c>
      <c r="C38" s="412" t="s">
        <v>1290</v>
      </c>
      <c r="D38" s="412" t="s">
        <v>1563</v>
      </c>
      <c r="F38" s="412" t="s">
        <v>1291</v>
      </c>
      <c r="G38" s="412" t="s">
        <v>1292</v>
      </c>
    </row>
    <row r="39" spans="1:7">
      <c r="A39" s="412">
        <v>157</v>
      </c>
      <c r="B39" s="412" t="s">
        <v>1564</v>
      </c>
      <c r="C39" s="412" t="s">
        <v>1260</v>
      </c>
      <c r="D39" s="412" t="s">
        <v>1565</v>
      </c>
      <c r="F39" s="412" t="s">
        <v>1293</v>
      </c>
      <c r="G39" s="412" t="s">
        <v>1294</v>
      </c>
    </row>
    <row r="40" spans="1:7">
      <c r="A40" s="412">
        <v>179</v>
      </c>
      <c r="B40" s="412" t="s">
        <v>1566</v>
      </c>
      <c r="D40" s="412" t="s">
        <v>1550</v>
      </c>
    </row>
    <row r="41" spans="1:7">
      <c r="A41" s="412">
        <v>180</v>
      </c>
      <c r="B41" s="412" t="s">
        <v>1567</v>
      </c>
      <c r="D41" s="412" t="s">
        <v>1568</v>
      </c>
      <c r="E41" s="412" t="s">
        <v>1569</v>
      </c>
    </row>
    <row r="42" spans="1:7">
      <c r="A42" s="412">
        <v>183</v>
      </c>
      <c r="B42" s="412" t="s">
        <v>1570</v>
      </c>
      <c r="C42" s="412" t="s">
        <v>1295</v>
      </c>
      <c r="D42" s="412" t="s">
        <v>1571</v>
      </c>
      <c r="F42" s="412" t="s">
        <v>1296</v>
      </c>
      <c r="G42" s="412" t="s">
        <v>1297</v>
      </c>
    </row>
    <row r="43" spans="1:7">
      <c r="A43" s="412">
        <v>188</v>
      </c>
      <c r="B43" s="412" t="s">
        <v>1572</v>
      </c>
      <c r="C43" s="412" t="s">
        <v>1298</v>
      </c>
      <c r="D43" s="412" t="s">
        <v>1573</v>
      </c>
      <c r="E43" s="412" t="s">
        <v>1574</v>
      </c>
      <c r="F43" s="412" t="s">
        <v>1299</v>
      </c>
      <c r="G43" s="412" t="s">
        <v>1300</v>
      </c>
    </row>
    <row r="44" spans="1:7">
      <c r="A44" s="412">
        <v>189</v>
      </c>
      <c r="B44" s="412" t="s">
        <v>1575</v>
      </c>
      <c r="D44" s="412" t="s">
        <v>1550</v>
      </c>
    </row>
    <row r="45" spans="1:7">
      <c r="A45" s="412">
        <v>197</v>
      </c>
      <c r="B45" s="412" t="s">
        <v>1576</v>
      </c>
      <c r="C45" s="412" t="s">
        <v>1301</v>
      </c>
      <c r="D45" s="412" t="s">
        <v>1577</v>
      </c>
      <c r="F45" s="412" t="s">
        <v>1302</v>
      </c>
      <c r="G45" s="412" t="s">
        <v>1303</v>
      </c>
    </row>
    <row r="46" spans="1:7">
      <c r="A46" s="412">
        <v>201</v>
      </c>
      <c r="B46" s="412" t="s">
        <v>1578</v>
      </c>
      <c r="C46" s="412" t="s">
        <v>1304</v>
      </c>
      <c r="D46" s="412" t="s">
        <v>1579</v>
      </c>
      <c r="F46" s="412" t="s">
        <v>1305</v>
      </c>
      <c r="G46" s="412" t="s">
        <v>1306</v>
      </c>
    </row>
    <row r="47" spans="1:7">
      <c r="A47" s="412">
        <v>202</v>
      </c>
      <c r="B47" s="412" t="s">
        <v>1578</v>
      </c>
      <c r="C47" s="412" t="s">
        <v>1304</v>
      </c>
      <c r="D47" s="412" t="s">
        <v>1579</v>
      </c>
      <c r="F47" s="412" t="s">
        <v>1305</v>
      </c>
      <c r="G47" s="412" t="s">
        <v>1306</v>
      </c>
    </row>
    <row r="48" spans="1:7">
      <c r="A48" s="412">
        <v>204</v>
      </c>
      <c r="B48" s="419" t="s">
        <v>3582</v>
      </c>
      <c r="C48" s="412" t="s">
        <v>1205</v>
      </c>
      <c r="D48" s="1411" t="s">
        <v>3581</v>
      </c>
      <c r="E48" s="412" t="s">
        <v>1580</v>
      </c>
      <c r="F48" s="412" t="s">
        <v>1307</v>
      </c>
      <c r="G48" s="412" t="s">
        <v>1308</v>
      </c>
    </row>
    <row r="49" spans="1:7">
      <c r="A49" s="412">
        <v>221</v>
      </c>
      <c r="B49" s="412" t="s">
        <v>1581</v>
      </c>
      <c r="C49" s="412" t="s">
        <v>1309</v>
      </c>
      <c r="D49" s="412" t="s">
        <v>1582</v>
      </c>
      <c r="F49" s="412" t="s">
        <v>1310</v>
      </c>
      <c r="G49" s="412" t="s">
        <v>1311</v>
      </c>
    </row>
    <row r="50" spans="1:7">
      <c r="A50" s="412">
        <v>234</v>
      </c>
      <c r="B50" s="412" t="s">
        <v>1583</v>
      </c>
      <c r="C50" s="412" t="s">
        <v>1312</v>
      </c>
      <c r="D50" s="412" t="s">
        <v>1584</v>
      </c>
      <c r="F50" s="412" t="s">
        <v>1313</v>
      </c>
      <c r="G50" s="412" t="s">
        <v>1314</v>
      </c>
    </row>
    <row r="51" spans="1:7">
      <c r="A51" s="412">
        <v>239</v>
      </c>
      <c r="B51" s="412" t="s">
        <v>1585</v>
      </c>
      <c r="C51" s="412" t="s">
        <v>1315</v>
      </c>
      <c r="D51" s="412" t="s">
        <v>1586</v>
      </c>
      <c r="F51" s="412" t="s">
        <v>1316</v>
      </c>
      <c r="G51" s="412" t="s">
        <v>1317</v>
      </c>
    </row>
    <row r="52" spans="1:7">
      <c r="A52" s="412">
        <v>241</v>
      </c>
      <c r="B52" s="412" t="s">
        <v>1587</v>
      </c>
      <c r="C52" s="412" t="s">
        <v>1318</v>
      </c>
      <c r="D52" s="412" t="s">
        <v>1588</v>
      </c>
      <c r="F52" s="412" t="s">
        <v>1319</v>
      </c>
      <c r="G52" s="412" t="s">
        <v>1320</v>
      </c>
    </row>
    <row r="53" spans="1:7">
      <c r="A53" s="412">
        <v>245</v>
      </c>
      <c r="B53" s="412" t="s">
        <v>1589</v>
      </c>
      <c r="C53" s="412" t="s">
        <v>1321</v>
      </c>
      <c r="D53" s="412" t="s">
        <v>1590</v>
      </c>
      <c r="F53" s="412" t="s">
        <v>1322</v>
      </c>
      <c r="G53" s="412" t="s">
        <v>1323</v>
      </c>
    </row>
    <row r="54" spans="1:7">
      <c r="A54" s="412">
        <v>259</v>
      </c>
      <c r="B54" s="412" t="s">
        <v>1591</v>
      </c>
      <c r="C54" s="412" t="s">
        <v>1324</v>
      </c>
      <c r="D54" s="412" t="s">
        <v>1592</v>
      </c>
      <c r="F54" s="412" t="s">
        <v>1325</v>
      </c>
      <c r="G54" s="412" t="s">
        <v>1326</v>
      </c>
    </row>
    <row r="55" spans="1:7">
      <c r="A55" s="412">
        <v>265</v>
      </c>
      <c r="B55" s="412" t="s">
        <v>1593</v>
      </c>
      <c r="C55" s="412" t="s">
        <v>1327</v>
      </c>
      <c r="D55" s="412" t="s">
        <v>1594</v>
      </c>
      <c r="F55" s="412" t="s">
        <v>1328</v>
      </c>
      <c r="G55" s="412" t="s">
        <v>1329</v>
      </c>
    </row>
    <row r="56" spans="1:7">
      <c r="A56" s="412">
        <v>291</v>
      </c>
      <c r="B56" s="412" t="s">
        <v>1595</v>
      </c>
      <c r="C56" s="412" t="s">
        <v>1330</v>
      </c>
      <c r="D56" s="412" t="s">
        <v>1596</v>
      </c>
      <c r="F56" s="412" t="s">
        <v>1331</v>
      </c>
      <c r="G56" s="412" t="s">
        <v>1332</v>
      </c>
    </row>
    <row r="57" spans="1:7">
      <c r="A57" s="412">
        <v>307</v>
      </c>
      <c r="B57" s="412" t="s">
        <v>1597</v>
      </c>
      <c r="C57" s="412" t="s">
        <v>1333</v>
      </c>
      <c r="D57" s="412" t="s">
        <v>1598</v>
      </c>
      <c r="F57" s="412" t="s">
        <v>1334</v>
      </c>
      <c r="G57" s="412" t="s">
        <v>1335</v>
      </c>
    </row>
    <row r="58" spans="1:7">
      <c r="A58" s="412">
        <v>308</v>
      </c>
      <c r="B58" s="412" t="s">
        <v>1599</v>
      </c>
      <c r="C58" s="412" t="s">
        <v>1333</v>
      </c>
      <c r="D58" s="412" t="s">
        <v>1598</v>
      </c>
      <c r="F58" s="412" t="s">
        <v>1334</v>
      </c>
      <c r="G58" s="412" t="s">
        <v>1335</v>
      </c>
    </row>
    <row r="59" spans="1:7">
      <c r="A59" s="412">
        <v>312</v>
      </c>
      <c r="B59" s="412" t="s">
        <v>1600</v>
      </c>
      <c r="C59" s="412" t="s">
        <v>1336</v>
      </c>
      <c r="D59" s="412" t="s">
        <v>1601</v>
      </c>
      <c r="F59" s="412" t="s">
        <v>1337</v>
      </c>
      <c r="G59" s="412" t="s">
        <v>1338</v>
      </c>
    </row>
    <row r="60" spans="1:7">
      <c r="A60" s="412">
        <v>321</v>
      </c>
      <c r="B60" s="412" t="s">
        <v>1602</v>
      </c>
      <c r="C60" s="412" t="s">
        <v>1339</v>
      </c>
      <c r="D60" s="412" t="s">
        <v>1603</v>
      </c>
      <c r="F60" s="412" t="s">
        <v>1340</v>
      </c>
      <c r="G60" s="412" t="s">
        <v>1341</v>
      </c>
    </row>
    <row r="61" spans="1:7">
      <c r="A61" s="412">
        <v>326</v>
      </c>
      <c r="B61" s="412" t="s">
        <v>1604</v>
      </c>
      <c r="C61" s="412" t="s">
        <v>1342</v>
      </c>
      <c r="D61" s="412" t="s">
        <v>1605</v>
      </c>
      <c r="F61" s="412" t="s">
        <v>1343</v>
      </c>
      <c r="G61" s="412" t="s">
        <v>1344</v>
      </c>
    </row>
    <row r="62" spans="1:7">
      <c r="A62" s="412">
        <v>329</v>
      </c>
      <c r="B62" s="412" t="s">
        <v>1606</v>
      </c>
      <c r="C62" s="412" t="s">
        <v>1345</v>
      </c>
      <c r="D62" s="412" t="s">
        <v>1607</v>
      </c>
      <c r="F62" s="412" t="s">
        <v>1346</v>
      </c>
      <c r="G62" s="412" t="s">
        <v>1347</v>
      </c>
    </row>
    <row r="63" spans="1:7">
      <c r="A63" s="412">
        <v>355</v>
      </c>
      <c r="B63" s="412" t="s">
        <v>1608</v>
      </c>
      <c r="D63" s="412" t="s">
        <v>1550</v>
      </c>
    </row>
    <row r="64" spans="1:7">
      <c r="A64" s="412">
        <v>357</v>
      </c>
      <c r="B64" s="412" t="s">
        <v>1609</v>
      </c>
      <c r="D64" s="412" t="s">
        <v>1550</v>
      </c>
    </row>
    <row r="65" spans="1:7">
      <c r="A65" s="412">
        <v>358</v>
      </c>
      <c r="B65" s="412" t="s">
        <v>1610</v>
      </c>
      <c r="D65" s="412" t="s">
        <v>1550</v>
      </c>
    </row>
    <row r="66" spans="1:7">
      <c r="A66" s="412">
        <v>361</v>
      </c>
      <c r="B66" s="412" t="s">
        <v>1611</v>
      </c>
      <c r="C66" s="412" t="s">
        <v>1348</v>
      </c>
      <c r="D66" s="412" t="s">
        <v>1612</v>
      </c>
      <c r="F66" s="412" t="s">
        <v>1349</v>
      </c>
      <c r="G66" s="412" t="s">
        <v>1350</v>
      </c>
    </row>
    <row r="67" spans="1:7">
      <c r="A67" s="412">
        <v>373</v>
      </c>
      <c r="B67" s="412" t="s">
        <v>1613</v>
      </c>
      <c r="D67" s="412" t="s">
        <v>1550</v>
      </c>
    </row>
    <row r="68" spans="1:7">
      <c r="A68" s="412">
        <v>379</v>
      </c>
      <c r="B68" s="412" t="s">
        <v>1614</v>
      </c>
      <c r="C68" s="412" t="s">
        <v>1205</v>
      </c>
      <c r="D68" s="412" t="s">
        <v>1615</v>
      </c>
      <c r="E68" s="412" t="s">
        <v>1616</v>
      </c>
      <c r="F68" s="412" t="s">
        <v>1351</v>
      </c>
      <c r="G68" s="412" t="s">
        <v>1352</v>
      </c>
    </row>
    <row r="69" spans="1:7">
      <c r="A69" s="412">
        <v>391</v>
      </c>
      <c r="B69" s="412" t="s">
        <v>1617</v>
      </c>
      <c r="C69" s="412" t="s">
        <v>1353</v>
      </c>
      <c r="D69" s="412" t="s">
        <v>1618</v>
      </c>
      <c r="F69" s="412" t="s">
        <v>1354</v>
      </c>
      <c r="G69" s="412" t="s">
        <v>1355</v>
      </c>
    </row>
    <row r="70" spans="1:7">
      <c r="A70" s="412">
        <v>392</v>
      </c>
      <c r="B70" s="412" t="s">
        <v>1619</v>
      </c>
      <c r="C70" s="412" t="s">
        <v>1356</v>
      </c>
      <c r="D70" s="412" t="s">
        <v>1620</v>
      </c>
      <c r="F70" s="412" t="s">
        <v>1357</v>
      </c>
      <c r="G70" s="412" t="s">
        <v>1358</v>
      </c>
    </row>
    <row r="71" spans="1:7">
      <c r="A71" s="412">
        <v>395</v>
      </c>
      <c r="B71" s="412" t="s">
        <v>1621</v>
      </c>
      <c r="C71" s="412" t="s">
        <v>1359</v>
      </c>
      <c r="D71" s="412" t="s">
        <v>1622</v>
      </c>
      <c r="F71" s="412" t="s">
        <v>1360</v>
      </c>
      <c r="G71" s="412" t="s">
        <v>1360</v>
      </c>
    </row>
    <row r="72" spans="1:7">
      <c r="A72" s="412">
        <v>397</v>
      </c>
      <c r="B72" s="412" t="s">
        <v>1623</v>
      </c>
      <c r="D72" s="412" t="s">
        <v>1550</v>
      </c>
    </row>
    <row r="73" spans="1:7">
      <c r="A73" s="412">
        <v>398</v>
      </c>
      <c r="B73" s="412" t="s">
        <v>1624</v>
      </c>
      <c r="C73" s="412" t="s">
        <v>1361</v>
      </c>
      <c r="D73" s="412" t="s">
        <v>1625</v>
      </c>
      <c r="F73" s="412" t="s">
        <v>1362</v>
      </c>
      <c r="G73" s="412" t="s">
        <v>1363</v>
      </c>
    </row>
    <row r="74" spans="1:7">
      <c r="A74" s="412">
        <v>401</v>
      </c>
      <c r="B74" s="412" t="s">
        <v>1626</v>
      </c>
      <c r="C74" s="412" t="s">
        <v>1364</v>
      </c>
      <c r="D74" s="412" t="s">
        <v>1627</v>
      </c>
      <c r="F74" s="412" t="s">
        <v>1365</v>
      </c>
      <c r="G74" s="412" t="s">
        <v>1366</v>
      </c>
    </row>
    <row r="75" spans="1:7">
      <c r="A75" s="412">
        <v>407</v>
      </c>
      <c r="B75" s="412" t="s">
        <v>1628</v>
      </c>
      <c r="C75" s="412" t="s">
        <v>1367</v>
      </c>
      <c r="D75" s="412" t="s">
        <v>1629</v>
      </c>
      <c r="F75" s="412" t="s">
        <v>1368</v>
      </c>
      <c r="G75" s="412" t="s">
        <v>1369</v>
      </c>
    </row>
    <row r="76" spans="1:7">
      <c r="A76" s="412">
        <v>408</v>
      </c>
      <c r="B76" s="412" t="s">
        <v>1630</v>
      </c>
      <c r="D76" s="412" t="s">
        <v>1550</v>
      </c>
    </row>
    <row r="77" spans="1:7">
      <c r="A77" s="412">
        <v>409</v>
      </c>
      <c r="B77" s="412" t="s">
        <v>1631</v>
      </c>
      <c r="C77" s="412" t="s">
        <v>1370</v>
      </c>
      <c r="D77" s="412" t="s">
        <v>1632</v>
      </c>
      <c r="F77" s="412" t="s">
        <v>1371</v>
      </c>
      <c r="G77" s="412" t="s">
        <v>1372</v>
      </c>
    </row>
    <row r="78" spans="1:7">
      <c r="A78" s="412">
        <v>410</v>
      </c>
      <c r="B78" s="412" t="s">
        <v>1633</v>
      </c>
      <c r="D78" s="412" t="s">
        <v>1550</v>
      </c>
    </row>
    <row r="79" spans="1:7">
      <c r="A79" s="412">
        <v>411</v>
      </c>
      <c r="B79" s="412" t="s">
        <v>1634</v>
      </c>
      <c r="C79" s="412" t="s">
        <v>1373</v>
      </c>
      <c r="D79" s="412" t="s">
        <v>1635</v>
      </c>
      <c r="F79" s="412" t="s">
        <v>1374</v>
      </c>
      <c r="G79" s="412" t="s">
        <v>1375</v>
      </c>
    </row>
    <row r="80" spans="1:7">
      <c r="A80" s="412">
        <v>419</v>
      </c>
      <c r="B80" s="412" t="s">
        <v>1636</v>
      </c>
      <c r="D80" s="412" t="s">
        <v>1550</v>
      </c>
    </row>
    <row r="81" spans="1:7">
      <c r="A81" s="412">
        <v>426</v>
      </c>
      <c r="B81" s="412" t="s">
        <v>1637</v>
      </c>
      <c r="C81" s="412" t="s">
        <v>1376</v>
      </c>
      <c r="D81" s="412" t="s">
        <v>1638</v>
      </c>
      <c r="F81" s="412" t="s">
        <v>1377</v>
      </c>
      <c r="G81" s="412" t="s">
        <v>1378</v>
      </c>
    </row>
    <row r="82" spans="1:7">
      <c r="A82" s="412">
        <v>427</v>
      </c>
      <c r="B82" s="412" t="s">
        <v>1639</v>
      </c>
      <c r="C82" s="412" t="s">
        <v>1379</v>
      </c>
      <c r="D82" s="412" t="s">
        <v>1640</v>
      </c>
      <c r="F82" s="412" t="s">
        <v>1380</v>
      </c>
      <c r="G82" s="412" t="s">
        <v>1381</v>
      </c>
    </row>
    <row r="83" spans="1:7">
      <c r="A83" s="412">
        <v>429</v>
      </c>
      <c r="B83" s="412" t="s">
        <v>1641</v>
      </c>
      <c r="C83" s="412" t="s">
        <v>1382</v>
      </c>
      <c r="D83" s="412" t="s">
        <v>1642</v>
      </c>
      <c r="F83" s="412" t="s">
        <v>1383</v>
      </c>
      <c r="G83" s="412" t="s">
        <v>1384</v>
      </c>
    </row>
    <row r="84" spans="1:7">
      <c r="A84" s="412">
        <v>431</v>
      </c>
      <c r="B84" s="412" t="s">
        <v>1643</v>
      </c>
      <c r="C84" s="412" t="s">
        <v>1385</v>
      </c>
      <c r="D84" s="412" t="s">
        <v>1644</v>
      </c>
      <c r="F84" s="412" t="s">
        <v>1386</v>
      </c>
      <c r="G84" s="412" t="s">
        <v>1387</v>
      </c>
    </row>
    <row r="85" spans="1:7">
      <c r="A85" s="412">
        <v>432</v>
      </c>
      <c r="B85" s="412" t="s">
        <v>1645</v>
      </c>
      <c r="D85" s="412" t="s">
        <v>1550</v>
      </c>
    </row>
    <row r="86" spans="1:7">
      <c r="A86" s="412">
        <v>433</v>
      </c>
      <c r="B86" s="412" t="s">
        <v>1645</v>
      </c>
      <c r="D86" s="412" t="s">
        <v>1550</v>
      </c>
    </row>
    <row r="87" spans="1:7">
      <c r="A87" s="412">
        <v>436</v>
      </c>
      <c r="B87" s="412" t="s">
        <v>1646</v>
      </c>
      <c r="C87" s="412" t="s">
        <v>1388</v>
      </c>
      <c r="D87" s="412" t="s">
        <v>1647</v>
      </c>
      <c r="F87" s="412" t="s">
        <v>1389</v>
      </c>
    </row>
    <row r="88" spans="1:7">
      <c r="A88" s="412">
        <v>504</v>
      </c>
      <c r="B88" s="412" t="s">
        <v>1648</v>
      </c>
      <c r="C88" s="412" t="s">
        <v>1390</v>
      </c>
      <c r="D88" s="412" t="s">
        <v>1649</v>
      </c>
      <c r="F88" s="412" t="s">
        <v>1391</v>
      </c>
      <c r="G88" s="412" t="s">
        <v>1392</v>
      </c>
    </row>
    <row r="89" spans="1:7">
      <c r="A89" s="412">
        <v>507</v>
      </c>
      <c r="B89" s="412" t="s">
        <v>1650</v>
      </c>
      <c r="C89" s="412" t="s">
        <v>1393</v>
      </c>
      <c r="D89" s="412" t="s">
        <v>1651</v>
      </c>
      <c r="F89" s="412" t="s">
        <v>1394</v>
      </c>
      <c r="G89" s="412" t="s">
        <v>1395</v>
      </c>
    </row>
    <row r="90" spans="1:7">
      <c r="A90" s="412">
        <v>513</v>
      </c>
      <c r="B90" s="412" t="s">
        <v>1652</v>
      </c>
      <c r="C90" s="412" t="s">
        <v>1396</v>
      </c>
      <c r="D90" s="412" t="s">
        <v>1653</v>
      </c>
      <c r="F90" s="412" t="s">
        <v>1397</v>
      </c>
      <c r="G90" s="412" t="s">
        <v>1398</v>
      </c>
    </row>
    <row r="91" spans="1:7">
      <c r="A91" s="412">
        <v>516</v>
      </c>
      <c r="B91" s="412" t="s">
        <v>1654</v>
      </c>
      <c r="D91" s="412" t="s">
        <v>1550</v>
      </c>
    </row>
    <row r="92" spans="1:7">
      <c r="A92" s="412">
        <v>517</v>
      </c>
      <c r="B92" s="412" t="s">
        <v>1655</v>
      </c>
      <c r="C92" s="412" t="s">
        <v>1399</v>
      </c>
      <c r="D92" s="412" t="s">
        <v>1656</v>
      </c>
      <c r="F92" s="412" t="s">
        <v>1400</v>
      </c>
      <c r="G92" s="412" t="s">
        <v>1401</v>
      </c>
    </row>
    <row r="93" spans="1:7">
      <c r="A93" s="412">
        <v>518</v>
      </c>
      <c r="B93" s="412" t="s">
        <v>1657</v>
      </c>
      <c r="D93" s="412" t="s">
        <v>1550</v>
      </c>
    </row>
    <row r="94" spans="1:7">
      <c r="A94" s="412">
        <v>525</v>
      </c>
      <c r="B94" s="412" t="s">
        <v>1658</v>
      </c>
      <c r="C94" s="412" t="s">
        <v>1402</v>
      </c>
      <c r="D94" s="412" t="s">
        <v>1659</v>
      </c>
      <c r="F94" s="412" t="s">
        <v>1403</v>
      </c>
      <c r="G94" s="412" t="s">
        <v>1404</v>
      </c>
    </row>
    <row r="95" spans="1:7">
      <c r="A95" s="412">
        <v>532</v>
      </c>
      <c r="B95" s="412" t="s">
        <v>1660</v>
      </c>
      <c r="C95" s="412" t="s">
        <v>1405</v>
      </c>
      <c r="D95" s="412" t="s">
        <v>1661</v>
      </c>
      <c r="F95" s="412" t="s">
        <v>1406</v>
      </c>
      <c r="G95" s="412" t="s">
        <v>1407</v>
      </c>
    </row>
    <row r="96" spans="1:7">
      <c r="A96" s="412">
        <v>536</v>
      </c>
      <c r="B96" s="412" t="s">
        <v>1662</v>
      </c>
      <c r="C96" s="412" t="s">
        <v>1408</v>
      </c>
      <c r="D96" s="412" t="s">
        <v>1663</v>
      </c>
      <c r="F96" s="412" t="s">
        <v>1409</v>
      </c>
      <c r="G96" s="412" t="s">
        <v>1410</v>
      </c>
    </row>
    <row r="97" spans="1:7">
      <c r="A97" s="412">
        <v>537</v>
      </c>
      <c r="B97" s="412" t="s">
        <v>1662</v>
      </c>
      <c r="D97" s="412" t="s">
        <v>1550</v>
      </c>
    </row>
    <row r="98" spans="1:7">
      <c r="A98" s="412">
        <v>538</v>
      </c>
      <c r="B98" s="412" t="s">
        <v>1664</v>
      </c>
      <c r="C98" s="412" t="s">
        <v>1411</v>
      </c>
      <c r="D98" s="412" t="s">
        <v>1665</v>
      </c>
      <c r="F98" s="412" t="s">
        <v>1412</v>
      </c>
      <c r="G98" s="412" t="s">
        <v>1413</v>
      </c>
    </row>
    <row r="99" spans="1:7">
      <c r="A99" s="412">
        <v>549</v>
      </c>
      <c r="B99" s="412" t="s">
        <v>1666</v>
      </c>
      <c r="D99" s="412" t="s">
        <v>1550</v>
      </c>
    </row>
    <row r="100" spans="1:7">
      <c r="A100" s="412">
        <v>551</v>
      </c>
      <c r="B100" s="412" t="s">
        <v>1667</v>
      </c>
      <c r="C100" s="412" t="s">
        <v>1414</v>
      </c>
      <c r="D100" s="412" t="s">
        <v>1668</v>
      </c>
      <c r="F100" s="412" t="s">
        <v>1415</v>
      </c>
      <c r="G100" s="412" t="s">
        <v>1416</v>
      </c>
    </row>
    <row r="101" spans="1:7">
      <c r="A101" s="412">
        <v>552</v>
      </c>
      <c r="B101" s="412" t="s">
        <v>1669</v>
      </c>
      <c r="D101" s="412" t="s">
        <v>1550</v>
      </c>
    </row>
    <row r="102" spans="1:7">
      <c r="A102" s="412">
        <v>553</v>
      </c>
      <c r="B102" s="412" t="s">
        <v>1670</v>
      </c>
      <c r="C102" s="412" t="s">
        <v>1345</v>
      </c>
      <c r="D102" s="412" t="s">
        <v>1671</v>
      </c>
      <c r="F102" s="412" t="s">
        <v>1417</v>
      </c>
      <c r="G102" s="412" t="s">
        <v>1418</v>
      </c>
    </row>
    <row r="103" spans="1:7">
      <c r="A103" s="412">
        <v>554</v>
      </c>
      <c r="B103" s="412" t="s">
        <v>1672</v>
      </c>
      <c r="C103" s="412" t="s">
        <v>1260</v>
      </c>
      <c r="D103" s="412" t="s">
        <v>1673</v>
      </c>
      <c r="F103" s="412" t="s">
        <v>1419</v>
      </c>
      <c r="G103" s="412" t="s">
        <v>1420</v>
      </c>
    </row>
    <row r="104" spans="1:7">
      <c r="A104" s="412">
        <v>555</v>
      </c>
      <c r="B104" s="412" t="s">
        <v>1674</v>
      </c>
      <c r="C104" s="412" t="s">
        <v>1370</v>
      </c>
      <c r="D104" s="412" t="s">
        <v>1675</v>
      </c>
      <c r="F104" s="412" t="s">
        <v>1421</v>
      </c>
      <c r="G104" s="412" t="s">
        <v>1422</v>
      </c>
    </row>
    <row r="105" spans="1:7">
      <c r="A105" s="412">
        <v>558</v>
      </c>
      <c r="B105" s="412" t="s">
        <v>1676</v>
      </c>
      <c r="C105" s="412" t="s">
        <v>1423</v>
      </c>
      <c r="D105" s="412" t="s">
        <v>1677</v>
      </c>
      <c r="E105" s="412" t="s">
        <v>1678</v>
      </c>
      <c r="F105" s="412" t="s">
        <v>1424</v>
      </c>
      <c r="G105" s="412" t="s">
        <v>1425</v>
      </c>
    </row>
    <row r="106" spans="1:7">
      <c r="A106" s="412">
        <v>593</v>
      </c>
      <c r="B106" s="412" t="s">
        <v>1679</v>
      </c>
      <c r="D106" s="412" t="s">
        <v>1550</v>
      </c>
    </row>
    <row r="107" spans="1:7">
      <c r="A107" s="412">
        <v>595</v>
      </c>
      <c r="B107" s="412" t="s">
        <v>1680</v>
      </c>
      <c r="C107" s="412" t="s">
        <v>1426</v>
      </c>
      <c r="D107" s="412" t="s">
        <v>1681</v>
      </c>
      <c r="F107" s="412" t="s">
        <v>1427</v>
      </c>
      <c r="G107" s="412" t="s">
        <v>1428</v>
      </c>
    </row>
    <row r="108" spans="1:7">
      <c r="A108" s="412">
        <v>603</v>
      </c>
      <c r="B108" s="412" t="s">
        <v>1229</v>
      </c>
      <c r="C108" s="412" t="s">
        <v>1230</v>
      </c>
      <c r="D108" s="412" t="s">
        <v>1516</v>
      </c>
      <c r="F108" s="412" t="s">
        <v>1231</v>
      </c>
      <c r="G108" s="412" t="s">
        <v>1232</v>
      </c>
    </row>
    <row r="109" spans="1:7">
      <c r="A109" s="412">
        <v>623</v>
      </c>
      <c r="B109" s="412" t="s">
        <v>1682</v>
      </c>
      <c r="C109" s="412" t="s">
        <v>1429</v>
      </c>
      <c r="D109" s="412" t="s">
        <v>1683</v>
      </c>
      <c r="F109" s="412" t="s">
        <v>1430</v>
      </c>
      <c r="G109" s="412" t="s">
        <v>1431</v>
      </c>
    </row>
    <row r="110" spans="1:7">
      <c r="A110" s="412">
        <v>625</v>
      </c>
      <c r="B110" s="412" t="s">
        <v>1684</v>
      </c>
      <c r="C110" s="412" t="s">
        <v>1432</v>
      </c>
      <c r="D110" s="412" t="s">
        <v>1685</v>
      </c>
      <c r="F110" s="412" t="s">
        <v>1433</v>
      </c>
      <c r="G110" s="412" t="s">
        <v>1434</v>
      </c>
    </row>
    <row r="111" spans="1:7">
      <c r="A111" s="412">
        <v>629</v>
      </c>
      <c r="B111" s="412" t="s">
        <v>1686</v>
      </c>
      <c r="C111" s="412" t="s">
        <v>1435</v>
      </c>
      <c r="D111" s="412" t="s">
        <v>1687</v>
      </c>
      <c r="F111" s="412" t="s">
        <v>1436</v>
      </c>
      <c r="G111" s="412" t="s">
        <v>1437</v>
      </c>
    </row>
    <row r="112" spans="1:7">
      <c r="A112" s="412">
        <v>643</v>
      </c>
      <c r="B112" s="412" t="s">
        <v>1688</v>
      </c>
      <c r="C112" s="412" t="s">
        <v>1438</v>
      </c>
      <c r="D112" s="412" t="s">
        <v>1689</v>
      </c>
      <c r="F112" s="412" t="s">
        <v>1439</v>
      </c>
      <c r="G112" s="412" t="s">
        <v>1440</v>
      </c>
    </row>
    <row r="113" spans="1:7">
      <c r="A113" s="412">
        <v>644</v>
      </c>
      <c r="B113" s="412" t="s">
        <v>1690</v>
      </c>
      <c r="C113" s="412" t="s">
        <v>1441</v>
      </c>
      <c r="D113" s="412" t="s">
        <v>1691</v>
      </c>
      <c r="F113" s="412" t="s">
        <v>1442</v>
      </c>
      <c r="G113" s="412" t="s">
        <v>1443</v>
      </c>
    </row>
    <row r="114" spans="1:7">
      <c r="A114" s="412">
        <v>645</v>
      </c>
      <c r="B114" s="412" t="s">
        <v>1692</v>
      </c>
      <c r="C114" s="412" t="s">
        <v>1444</v>
      </c>
      <c r="D114" s="412" t="s">
        <v>1693</v>
      </c>
      <c r="F114" s="412" t="s">
        <v>1445</v>
      </c>
      <c r="G114" s="412" t="s">
        <v>1446</v>
      </c>
    </row>
    <row r="115" spans="1:7">
      <c r="A115" s="412">
        <v>649</v>
      </c>
      <c r="B115" s="412" t="s">
        <v>1694</v>
      </c>
      <c r="C115" s="412" t="s">
        <v>1447</v>
      </c>
      <c r="D115" s="412" t="s">
        <v>1695</v>
      </c>
      <c r="F115" s="412" t="s">
        <v>1448</v>
      </c>
      <c r="G115" s="412" t="s">
        <v>1449</v>
      </c>
    </row>
    <row r="116" spans="1:7">
      <c r="A116" s="412">
        <v>672</v>
      </c>
      <c r="B116" s="412" t="s">
        <v>1696</v>
      </c>
      <c r="C116" s="412" t="s">
        <v>1450</v>
      </c>
      <c r="D116" s="412" t="s">
        <v>1697</v>
      </c>
      <c r="F116" s="412" t="s">
        <v>1451</v>
      </c>
      <c r="G116" s="412" t="s">
        <v>1452</v>
      </c>
    </row>
    <row r="117" spans="1:7">
      <c r="A117" s="412">
        <v>674</v>
      </c>
      <c r="B117" s="412" t="s">
        <v>1698</v>
      </c>
      <c r="C117" s="412" t="s">
        <v>1453</v>
      </c>
      <c r="D117" s="412" t="s">
        <v>1699</v>
      </c>
      <c r="F117" s="412" t="s">
        <v>1454</v>
      </c>
      <c r="G117" s="412" t="s">
        <v>1455</v>
      </c>
    </row>
    <row r="118" spans="1:7">
      <c r="A118" s="412">
        <v>681</v>
      </c>
      <c r="B118" s="412" t="s">
        <v>1700</v>
      </c>
      <c r="C118" s="412" t="s">
        <v>1456</v>
      </c>
      <c r="D118" s="412" t="s">
        <v>1701</v>
      </c>
      <c r="F118" s="412" t="s">
        <v>1457</v>
      </c>
      <c r="G118" s="412" t="s">
        <v>1458</v>
      </c>
    </row>
    <row r="119" spans="1:7">
      <c r="A119" s="412">
        <v>686</v>
      </c>
      <c r="B119" s="412" t="s">
        <v>1702</v>
      </c>
      <c r="C119" s="412" t="s">
        <v>1459</v>
      </c>
      <c r="D119" s="412" t="s">
        <v>1703</v>
      </c>
      <c r="F119" s="412" t="s">
        <v>1460</v>
      </c>
      <c r="G119" s="412" t="s">
        <v>1461</v>
      </c>
    </row>
    <row r="120" spans="1:7">
      <c r="A120" s="412">
        <v>703</v>
      </c>
      <c r="B120" s="412" t="s">
        <v>1704</v>
      </c>
      <c r="C120" s="412" t="s">
        <v>1462</v>
      </c>
      <c r="D120" s="412" t="s">
        <v>1705</v>
      </c>
    </row>
    <row r="121" spans="1:7">
      <c r="A121" s="412">
        <v>706</v>
      </c>
      <c r="B121" s="412" t="s">
        <v>1706</v>
      </c>
      <c r="C121" s="412" t="s">
        <v>1463</v>
      </c>
      <c r="D121" s="412" t="s">
        <v>1707</v>
      </c>
      <c r="F121" s="412" t="s">
        <v>1464</v>
      </c>
      <c r="G121" s="412" t="s">
        <v>1465</v>
      </c>
    </row>
    <row r="122" spans="1:7">
      <c r="A122" s="412">
        <v>707</v>
      </c>
      <c r="B122" s="412" t="s">
        <v>1708</v>
      </c>
      <c r="C122" s="412" t="s">
        <v>1466</v>
      </c>
      <c r="D122" s="412" t="s">
        <v>1709</v>
      </c>
      <c r="F122" s="412" t="s">
        <v>1467</v>
      </c>
      <c r="G122" s="412" t="s">
        <v>1468</v>
      </c>
    </row>
    <row r="123" spans="1:7">
      <c r="A123" s="412">
        <v>708</v>
      </c>
      <c r="B123" s="412" t="s">
        <v>1710</v>
      </c>
      <c r="D123" s="412" t="s">
        <v>1550</v>
      </c>
    </row>
    <row r="124" spans="1:7">
      <c r="A124" s="412">
        <v>709</v>
      </c>
      <c r="B124" s="412" t="s">
        <v>1711</v>
      </c>
      <c r="C124" s="412" t="s">
        <v>1469</v>
      </c>
      <c r="D124" s="412" t="s">
        <v>1712</v>
      </c>
      <c r="F124" s="412" t="s">
        <v>1470</v>
      </c>
      <c r="G124" s="412" t="s">
        <v>1471</v>
      </c>
    </row>
    <row r="125" spans="1:7">
      <c r="A125" s="412">
        <v>713</v>
      </c>
      <c r="B125" s="412" t="s">
        <v>1713</v>
      </c>
      <c r="D125" s="412" t="s">
        <v>1550</v>
      </c>
    </row>
    <row r="126" spans="1:7">
      <c r="A126" s="412">
        <v>715</v>
      </c>
      <c r="B126" s="412" t="s">
        <v>1714</v>
      </c>
      <c r="C126" s="412" t="s">
        <v>1472</v>
      </c>
      <c r="D126" s="412" t="s">
        <v>1715</v>
      </c>
      <c r="F126" s="412" t="s">
        <v>1473</v>
      </c>
      <c r="G126" s="412" t="s">
        <v>1474</v>
      </c>
    </row>
    <row r="127" spans="1:7">
      <c r="A127" s="412">
        <v>716</v>
      </c>
      <c r="B127" s="412" t="s">
        <v>1716</v>
      </c>
      <c r="C127" s="412" t="s">
        <v>1475</v>
      </c>
      <c r="D127" s="412" t="s">
        <v>1717</v>
      </c>
      <c r="F127" s="412" t="s">
        <v>1476</v>
      </c>
      <c r="G127" s="412" t="s">
        <v>1477</v>
      </c>
    </row>
    <row r="128" spans="1:7">
      <c r="A128" s="412">
        <v>719</v>
      </c>
      <c r="B128" s="412" t="s">
        <v>1718</v>
      </c>
      <c r="C128" s="412" t="s">
        <v>1478</v>
      </c>
      <c r="D128" s="412" t="s">
        <v>1719</v>
      </c>
      <c r="F128" s="412" t="s">
        <v>1479</v>
      </c>
      <c r="G128" s="412" t="s">
        <v>1480</v>
      </c>
    </row>
    <row r="129" spans="1:7">
      <c r="A129" s="412">
        <v>731</v>
      </c>
      <c r="B129" s="412" t="s">
        <v>1720</v>
      </c>
      <c r="D129" s="412" t="s">
        <v>1550</v>
      </c>
      <c r="G129" s="412" t="s">
        <v>1481</v>
      </c>
    </row>
    <row r="130" spans="1:7">
      <c r="A130" s="412">
        <v>745</v>
      </c>
      <c r="B130" s="412" t="s">
        <v>1721</v>
      </c>
      <c r="C130" s="412" t="s">
        <v>1482</v>
      </c>
      <c r="D130" s="412" t="s">
        <v>1722</v>
      </c>
      <c r="F130" s="412" t="s">
        <v>1483</v>
      </c>
      <c r="G130" s="412" t="s">
        <v>1484</v>
      </c>
    </row>
    <row r="131" spans="1:7">
      <c r="A131" s="412">
        <v>746</v>
      </c>
      <c r="B131" s="412" t="s">
        <v>1723</v>
      </c>
      <c r="C131" s="412" t="s">
        <v>1345</v>
      </c>
      <c r="D131" s="412" t="s">
        <v>1724</v>
      </c>
      <c r="F131" s="412" t="s">
        <v>1485</v>
      </c>
      <c r="G131" s="412" t="s">
        <v>1486</v>
      </c>
    </row>
    <row r="132" spans="1:7">
      <c r="A132" s="412">
        <v>802</v>
      </c>
      <c r="B132" s="412" t="s">
        <v>1725</v>
      </c>
      <c r="C132" s="412" t="s">
        <v>1487</v>
      </c>
      <c r="D132" s="412" t="s">
        <v>1726</v>
      </c>
      <c r="F132" s="412" t="s">
        <v>1488</v>
      </c>
      <c r="G132" s="412" t="s">
        <v>1489</v>
      </c>
    </row>
    <row r="133" spans="1:7">
      <c r="A133" s="412">
        <v>906</v>
      </c>
      <c r="B133" s="412" t="s">
        <v>1727</v>
      </c>
      <c r="C133" s="412" t="s">
        <v>1490</v>
      </c>
      <c r="D133" s="412" t="s">
        <v>1728</v>
      </c>
      <c r="F133" s="412" t="s">
        <v>1491</v>
      </c>
      <c r="G133" s="412" t="s">
        <v>1492</v>
      </c>
    </row>
    <row r="134" spans="1:7">
      <c r="A134" s="412">
        <v>908</v>
      </c>
      <c r="B134" s="412" t="s">
        <v>1729</v>
      </c>
      <c r="C134" s="412" t="s">
        <v>1493</v>
      </c>
      <c r="D134" s="412" t="s">
        <v>1730</v>
      </c>
      <c r="F134" s="412" t="s">
        <v>1494</v>
      </c>
      <c r="G134" s="412" t="s">
        <v>1495</v>
      </c>
    </row>
    <row r="135" spans="1:7">
      <c r="A135" s="412">
        <v>959</v>
      </c>
      <c r="B135" s="412" t="s">
        <v>1731</v>
      </c>
      <c r="D135" s="412" t="s">
        <v>1550</v>
      </c>
    </row>
    <row r="136" spans="1:7">
      <c r="A136" s="412">
        <v>990</v>
      </c>
      <c r="B136" s="412" t="s">
        <v>1732</v>
      </c>
      <c r="D136" s="412" t="s">
        <v>1550</v>
      </c>
    </row>
    <row r="137" spans="1:7">
      <c r="A137" s="412">
        <v>992</v>
      </c>
      <c r="B137" s="412" t="s">
        <v>1733</v>
      </c>
      <c r="D137" s="412" t="s">
        <v>1550</v>
      </c>
    </row>
    <row r="138" spans="1:7">
      <c r="A138" s="412">
        <v>993</v>
      </c>
      <c r="B138" s="412" t="s">
        <v>1734</v>
      </c>
      <c r="D138" s="412" t="s">
        <v>1550</v>
      </c>
    </row>
  </sheetData>
  <phoneticPr fontId="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pageSetUpPr fitToPage="1"/>
  </sheetPr>
  <dimension ref="A1:Q80"/>
  <sheetViews>
    <sheetView showGridLines="0" zoomScale="85" zoomScaleNormal="85" zoomScaleSheetLayoutView="85" workbookViewId="0">
      <selection activeCell="C36" sqref="C36:K38"/>
    </sheetView>
  </sheetViews>
  <sheetFormatPr defaultColWidth="9" defaultRowHeight="18.75" customHeight="1" outlineLevelRow="1"/>
  <cols>
    <col min="1" max="1" width="16.75" style="483" bestFit="1" customWidth="1"/>
    <col min="2" max="2" width="15" style="487" customWidth="1"/>
    <col min="3" max="3" width="22.5" style="487" customWidth="1"/>
    <col min="4" max="4" width="12.375" style="487" customWidth="1"/>
    <col min="5" max="5" width="25" style="488" customWidth="1"/>
    <col min="6" max="10" width="12.375" style="487" customWidth="1"/>
    <col min="11" max="11" width="12.5" style="487" customWidth="1"/>
    <col min="12" max="12" width="9" style="485" customWidth="1"/>
    <col min="13" max="13" width="9" style="487" customWidth="1"/>
    <col min="14" max="16384" width="9" style="487"/>
  </cols>
  <sheetData>
    <row r="1" spans="1:17" ht="17.25" customHeight="1" thickBot="1">
      <c r="A1" s="469"/>
      <c r="D1" s="485"/>
      <c r="E1" s="486"/>
      <c r="F1" s="547"/>
      <c r="G1" s="485"/>
      <c r="H1" s="472">
        <v>1</v>
      </c>
      <c r="M1" s="485"/>
      <c r="N1" s="485"/>
      <c r="O1" s="485"/>
      <c r="P1" s="485"/>
      <c r="Q1" s="485"/>
    </row>
    <row r="2" spans="1:17" ht="17.25" customHeight="1" thickBot="1">
      <c r="A2" s="1323" t="s">
        <v>3499</v>
      </c>
      <c r="B2" s="1390" t="s">
        <v>1041</v>
      </c>
      <c r="C2" s="1391">
        <v>7889</v>
      </c>
      <c r="F2" s="550" t="s">
        <v>3516</v>
      </c>
      <c r="J2" s="550" t="s">
        <v>3510</v>
      </c>
      <c r="M2" s="485"/>
      <c r="N2" s="485"/>
      <c r="O2" s="485"/>
      <c r="P2" s="485"/>
      <c r="Q2" s="485"/>
    </row>
    <row r="3" spans="1:17" ht="17.25" customHeight="1">
      <c r="A3" s="1323" t="s">
        <v>3500</v>
      </c>
      <c r="B3" s="1392" t="s">
        <v>1042</v>
      </c>
      <c r="C3" s="1393" t="s">
        <v>1044</v>
      </c>
      <c r="D3" s="2003" t="s">
        <v>3509</v>
      </c>
      <c r="E3" s="2004"/>
      <c r="H3" s="485"/>
      <c r="M3" s="485"/>
      <c r="N3" s="485"/>
      <c r="O3" s="485"/>
      <c r="P3" s="485"/>
      <c r="Q3" s="485"/>
    </row>
    <row r="4" spans="1:17" ht="17.25" customHeight="1">
      <c r="A4" s="1323" t="s">
        <v>3501</v>
      </c>
      <c r="B4" s="1392" t="s">
        <v>1043</v>
      </c>
      <c r="C4" s="1393" t="s">
        <v>1044</v>
      </c>
      <c r="D4" s="1329" t="s">
        <v>1201</v>
      </c>
      <c r="E4" s="1326">
        <v>7000688636</v>
      </c>
      <c r="H4" s="485"/>
    </row>
    <row r="5" spans="1:17" ht="17.25" customHeight="1">
      <c r="A5" s="1323" t="s">
        <v>3502</v>
      </c>
      <c r="B5" s="1392" t="s">
        <v>1746</v>
      </c>
      <c r="C5" s="1394">
        <v>2123</v>
      </c>
      <c r="D5" s="1325" t="s">
        <v>1201</v>
      </c>
      <c r="E5" s="1327">
        <f>MATCH(TEXT(E4,"@"),'EU BackOrder'!C:C,0)</f>
        <v>1315</v>
      </c>
      <c r="H5" s="485"/>
      <c r="J5" s="485"/>
      <c r="K5" s="485"/>
      <c r="M5" s="485"/>
      <c r="N5" s="485"/>
      <c r="O5" s="485"/>
      <c r="P5" s="485"/>
      <c r="Q5" s="485"/>
    </row>
    <row r="6" spans="1:17" ht="17.25" customHeight="1" thickBot="1">
      <c r="A6" s="1323" t="s">
        <v>3503</v>
      </c>
      <c r="B6" s="1392" t="s">
        <v>1747</v>
      </c>
      <c r="C6" s="1394">
        <v>2125</v>
      </c>
      <c r="D6" s="1330" t="s">
        <v>1179</v>
      </c>
      <c r="E6" s="1328">
        <f>E5+COUNTIF('EU BackOrder'!C:C,TEXT(E4,"@"))-2</f>
        <v>1318</v>
      </c>
      <c r="F6" s="1339"/>
      <c r="G6" s="552" t="s">
        <v>3515</v>
      </c>
      <c r="H6" s="485"/>
      <c r="J6" s="485"/>
      <c r="K6" s="485"/>
      <c r="M6" s="485"/>
      <c r="N6" s="485"/>
      <c r="O6" s="485"/>
      <c r="P6" s="485"/>
      <c r="Q6" s="485"/>
    </row>
    <row r="7" spans="1:17" ht="17.25" customHeight="1" thickBot="1">
      <c r="A7" s="1323" t="s">
        <v>3504</v>
      </c>
      <c r="B7" s="1395" t="s">
        <v>1785</v>
      </c>
      <c r="C7" s="1396">
        <v>36</v>
      </c>
      <c r="D7" s="1347"/>
      <c r="E7" s="1348"/>
      <c r="I7" s="485"/>
      <c r="J7" s="485"/>
      <c r="K7" s="485"/>
      <c r="M7" s="485"/>
      <c r="N7" s="485"/>
      <c r="O7" s="485"/>
      <c r="P7" s="485"/>
      <c r="Q7" s="485"/>
    </row>
    <row r="8" spans="1:17" ht="17.25" customHeight="1" outlineLevel="1">
      <c r="A8" s="2000" t="s">
        <v>3517</v>
      </c>
      <c r="B8" s="1334" t="s">
        <v>1748</v>
      </c>
      <c r="C8" s="1335">
        <f>C6-C5+C7</f>
        <v>38</v>
      </c>
      <c r="D8" s="1349" t="s">
        <v>1171</v>
      </c>
      <c r="E8" s="1350" t="str">
        <f>IF(H1=1,"Invoice "&amp;C2&amp;" (FRANCE)","Invoice "&amp;C2&amp;" (EU)")</f>
        <v>Invoice 7889 (FRANCE)</v>
      </c>
      <c r="G8" s="485"/>
    </row>
    <row r="9" spans="1:17" ht="17.25" customHeight="1" outlineLevel="1">
      <c r="A9" s="2001"/>
      <c r="B9" s="1336" t="s">
        <v>1786</v>
      </c>
      <c r="C9" s="1337">
        <v>36</v>
      </c>
      <c r="D9" s="1331" t="s">
        <v>3490</v>
      </c>
      <c r="E9" s="1332" t="str">
        <f t="array" aca="1" ref="E9" ca="1">RIGHT(CELL("filename",A1),LEN(CELL("filename",A1))-FIND("]",CELL("filename",A1)))</f>
        <v>Invoice(EU)</v>
      </c>
      <c r="F9" s="485"/>
      <c r="G9" s="485"/>
      <c r="H9" s="485"/>
    </row>
    <row r="10" spans="1:17" ht="17.25" customHeight="1" outlineLevel="1">
      <c r="A10" s="2001"/>
      <c r="B10" s="1336" t="s">
        <v>1787</v>
      </c>
      <c r="C10" s="1337">
        <f>C11-1</f>
        <v>68</v>
      </c>
      <c r="D10" s="1331" t="s">
        <v>3491</v>
      </c>
      <c r="E10" s="1333" t="str">
        <f t="array" aca="1" ref="E10" ca="1">RIGHT(CELL("filename",'Invoice(SF大阪)'!A1),LEN(CELL("filename",'Invoice(SF大阪)'!A1))-FIND("]",CELL("filename",'Invoice(SF大阪)'!A1)))</f>
        <v>Invoice(SF大阪)</v>
      </c>
      <c r="F10" s="485"/>
      <c r="G10" s="485"/>
      <c r="H10" s="485"/>
      <c r="I10" s="485"/>
      <c r="J10" s="485"/>
      <c r="K10" s="485"/>
      <c r="M10" s="485"/>
      <c r="N10" s="485"/>
      <c r="O10" s="485"/>
      <c r="P10" s="485"/>
      <c r="Q10" s="485"/>
    </row>
    <row r="11" spans="1:17" ht="17.25" customHeight="1" outlineLevel="1">
      <c r="A11" s="2001"/>
      <c r="B11" s="1343" t="s">
        <v>3507</v>
      </c>
      <c r="C11" s="1344">
        <f>ROW(A69)</f>
        <v>69</v>
      </c>
      <c r="D11" s="1340" t="s">
        <v>3492</v>
      </c>
      <c r="E11" s="1333" t="str">
        <f t="array" aca="1" ref="E11" ca="1">RIGHT(CELL("filename",'EU BackOrder'!A1),LEN(CELL("filename",'EU BackOrder'!A1))-FIND("]",CELL("filename",'EU BackOrder'!A1)))</f>
        <v>EU BackOrder</v>
      </c>
      <c r="F11" s="485"/>
      <c r="G11" s="485"/>
      <c r="H11" s="485"/>
      <c r="I11" s="485"/>
      <c r="J11" s="485"/>
      <c r="K11" s="485"/>
      <c r="M11" s="485"/>
      <c r="N11" s="485"/>
      <c r="O11" s="485"/>
      <c r="P11" s="485"/>
      <c r="Q11" s="485"/>
    </row>
    <row r="12" spans="1:17" ht="17.25" customHeight="1" outlineLevel="1" thickBot="1">
      <c r="A12" s="2002"/>
      <c r="B12" s="1345" t="s">
        <v>3508</v>
      </c>
      <c r="C12" s="1346" t="str">
        <f t="array" aca="1" ref="C12" ca="1">LEFT(MID(CELL("filename",A2),10,99),FIND("B",MID(CELL("filename",A2),10,99))-2)</f>
        <v>chiba</v>
      </c>
      <c r="D12" s="1342" t="s">
        <v>3514</v>
      </c>
      <c r="E12" s="1341" t="str">
        <f>IF(H1=1,"EU","EU")</f>
        <v>EU</v>
      </c>
      <c r="F12" s="547"/>
      <c r="G12" s="485"/>
      <c r="H12" s="485"/>
      <c r="I12" s="485"/>
      <c r="J12" s="485"/>
      <c r="K12" s="485"/>
      <c r="M12" s="485"/>
      <c r="N12" s="485"/>
      <c r="O12" s="485"/>
      <c r="P12" s="485"/>
      <c r="Q12" s="485"/>
    </row>
    <row r="13" spans="1:17" ht="17.25" customHeight="1">
      <c r="A13" s="546"/>
      <c r="D13" s="485"/>
      <c r="E13" s="486"/>
      <c r="F13" s="547"/>
      <c r="G13" s="485"/>
      <c r="H13" s="485"/>
      <c r="I13" s="485"/>
      <c r="J13" s="485"/>
      <c r="K13" s="485"/>
      <c r="M13" s="485"/>
      <c r="N13" s="485"/>
      <c r="O13" s="485"/>
      <c r="P13" s="485"/>
      <c r="Q13" s="485"/>
    </row>
    <row r="14" spans="1:17" ht="18.75" customHeight="1">
      <c r="B14" s="2015" t="s">
        <v>3525</v>
      </c>
      <c r="C14" s="2016"/>
      <c r="D14" s="2016"/>
      <c r="E14" s="2016"/>
      <c r="F14" s="2018" t="s">
        <v>399</v>
      </c>
      <c r="G14" s="2018"/>
      <c r="H14" s="2018"/>
      <c r="I14" s="2018"/>
      <c r="J14" s="2018"/>
      <c r="K14" s="2018"/>
    </row>
    <row r="15" spans="1:17" ht="18.75" customHeight="1">
      <c r="B15" s="2016"/>
      <c r="C15" s="2016"/>
      <c r="D15" s="2016"/>
      <c r="E15" s="2016"/>
      <c r="F15" s="2018"/>
      <c r="G15" s="2018"/>
      <c r="H15" s="2018"/>
      <c r="I15" s="2018"/>
      <c r="J15" s="2018"/>
      <c r="K15" s="2018"/>
    </row>
    <row r="16" spans="1:17" ht="18.75" customHeight="1">
      <c r="B16" s="2016"/>
      <c r="C16" s="2016"/>
      <c r="D16" s="2016"/>
      <c r="E16" s="2016"/>
      <c r="F16" s="554" t="s">
        <v>396</v>
      </c>
      <c r="G16" s="2019">
        <f>C2</f>
        <v>7889</v>
      </c>
      <c r="H16" s="2019"/>
      <c r="I16" s="2019"/>
      <c r="J16" s="2019"/>
      <c r="K16" s="2019"/>
    </row>
    <row r="17" spans="2:12" ht="18.75" customHeight="1">
      <c r="B17" s="2017"/>
      <c r="C17" s="2017"/>
      <c r="D17" s="2017"/>
      <c r="E17" s="2017"/>
      <c r="F17" s="555" t="s">
        <v>397</v>
      </c>
      <c r="G17" s="541" t="s">
        <v>3494</v>
      </c>
      <c r="H17" s="541" t="s">
        <v>3495</v>
      </c>
      <c r="I17" s="555" t="s">
        <v>398</v>
      </c>
      <c r="J17" s="2020">
        <f ca="1">TODAY()</f>
        <v>46111</v>
      </c>
      <c r="K17" s="2020"/>
      <c r="L17" s="547" t="s">
        <v>3511</v>
      </c>
    </row>
    <row r="18" spans="2:12" ht="18.75" customHeight="1">
      <c r="B18" s="556" t="s">
        <v>384</v>
      </c>
      <c r="C18" s="557" t="str">
        <f>C3</f>
        <v>(SELECT) - 顧客名</v>
      </c>
      <c r="D18" s="558"/>
      <c r="E18" s="559"/>
      <c r="F18" s="560" t="s">
        <v>390</v>
      </c>
      <c r="G18" s="561"/>
      <c r="H18" s="562"/>
      <c r="I18" s="560" t="s">
        <v>393</v>
      </c>
      <c r="J18" s="561"/>
      <c r="K18" s="562"/>
    </row>
    <row r="19" spans="2:12" ht="18.75" customHeight="1">
      <c r="B19" s="538"/>
      <c r="C19" s="563" t="str">
        <f>IFERROR(VLOOKUP(C3,取引先マスタ!C:E,3,FALSE),"")</f>
        <v>ADDRESS 1</v>
      </c>
      <c r="D19" s="493"/>
      <c r="E19" s="494"/>
      <c r="F19" s="489"/>
      <c r="G19" s="490"/>
      <c r="H19" s="491"/>
      <c r="I19" s="489"/>
      <c r="J19" s="490"/>
      <c r="K19" s="491"/>
    </row>
    <row r="20" spans="2:12" ht="18.75" customHeight="1">
      <c r="B20" s="538"/>
      <c r="C20" s="563" t="str">
        <f>IFERROR(VLOOKUP(C3,取引先マスタ!C:F,4,FALSE),"")</f>
        <v>ADDRESS 2</v>
      </c>
      <c r="D20" s="493"/>
      <c r="E20" s="494"/>
      <c r="F20" s="560" t="s">
        <v>391</v>
      </c>
      <c r="G20" s="561"/>
      <c r="H20" s="562"/>
      <c r="I20" s="560" t="s">
        <v>392</v>
      </c>
      <c r="J20" s="561"/>
      <c r="K20" s="562"/>
    </row>
    <row r="21" spans="2:12" ht="18.75" customHeight="1">
      <c r="B21" s="538"/>
      <c r="C21" s="564" t="str">
        <f>IFERROR(IF(VLOOKUP(C3,取引先マスタ!C:G,5,FALSE)=0,"Country: ","Country: "&amp;VLOOKUP(C3,取引先マスタ!C:G,5,FALSE)),"")</f>
        <v>Country: COUNTRY</v>
      </c>
      <c r="D21" s="493" t="str">
        <f>IFERROR(IF(VLOOKUP(C3,取引先マスタ!C:D,2,FALSE)=0,"Zip Code: ","Zip Code: "&amp;VLOOKUP(C3,取引先マスタ!C:D,2,FALSE)),"")</f>
        <v>Zip Code: ZIP CODE</v>
      </c>
      <c r="E21" s="494"/>
      <c r="F21" s="1324"/>
      <c r="G21" s="490"/>
      <c r="H21" s="491"/>
      <c r="I21" s="489"/>
      <c r="J21" s="490"/>
      <c r="K21" s="491"/>
    </row>
    <row r="22" spans="2:12" ht="18.75" customHeight="1">
      <c r="B22" s="538"/>
      <c r="C22" s="564" t="str">
        <f>IFERROR(IF(VLOOKUP(C3,取引先マスタ!C:H,6,FALSE)=0,"Tel: ",VLOOKUP(C3,取引先マスタ!C:H,6,FALSE)),"")</f>
        <v>TEL</v>
      </c>
      <c r="D22" s="493" t="str">
        <f>IFERROR(IF(VLOOKUP(C3,取引先マスタ!C:I,7,FALSE)=0,"Attn: ","Attn: "&amp;VLOOKUP(C3,取引先マスタ!C:I,7,FALSE)),"")</f>
        <v>Attn: ATTENTION</v>
      </c>
      <c r="E22" s="494"/>
      <c r="F22" s="560" t="s">
        <v>386</v>
      </c>
      <c r="G22" s="606"/>
      <c r="H22" s="606"/>
      <c r="I22" s="606"/>
      <c r="J22" s="606"/>
      <c r="K22" s="562"/>
    </row>
    <row r="23" spans="2:12" ht="18.75" customHeight="1">
      <c r="B23" s="540"/>
      <c r="C23" s="544"/>
      <c r="D23" s="490"/>
      <c r="E23" s="491"/>
      <c r="F23" s="565" t="s">
        <v>387</v>
      </c>
      <c r="G23" s="492" t="s">
        <v>1188</v>
      </c>
      <c r="H23" s="493"/>
      <c r="I23" s="493"/>
      <c r="J23" s="493"/>
      <c r="K23" s="494"/>
    </row>
    <row r="24" spans="2:12" ht="18.75" customHeight="1">
      <c r="B24" s="556" t="s">
        <v>383</v>
      </c>
      <c r="C24" s="557" t="str">
        <f>C4</f>
        <v>(SELECT) - 顧客名</v>
      </c>
      <c r="D24" s="558"/>
      <c r="E24" s="559"/>
      <c r="F24" s="565" t="s">
        <v>388</v>
      </c>
      <c r="G24" s="492" t="s">
        <v>1189</v>
      </c>
      <c r="H24" s="493"/>
      <c r="I24" s="493"/>
      <c r="J24" s="493"/>
      <c r="K24" s="494"/>
    </row>
    <row r="25" spans="2:12" ht="18.75" customHeight="1">
      <c r="B25" s="538"/>
      <c r="C25" s="563" t="str">
        <f>IFERROR(VLOOKUP(C4,取引先マスタ!C:E,3,FALSE),"")</f>
        <v>ADDRESS 1</v>
      </c>
      <c r="D25" s="493"/>
      <c r="E25" s="494"/>
      <c r="F25" s="565" t="s">
        <v>345</v>
      </c>
      <c r="G25" s="492" t="s">
        <v>1190</v>
      </c>
      <c r="H25" s="493"/>
      <c r="I25" s="493"/>
      <c r="J25" s="493"/>
      <c r="K25" s="494"/>
    </row>
    <row r="26" spans="2:12" ht="18.75" customHeight="1">
      <c r="B26" s="538"/>
      <c r="C26" s="563" t="str">
        <f>IFERROR(VLOOKUP(C4,取引先マスタ!C:F,4,FALSE),"")</f>
        <v>ADDRESS 2</v>
      </c>
      <c r="D26" s="493"/>
      <c r="E26" s="494"/>
      <c r="F26" s="565" t="s">
        <v>389</v>
      </c>
      <c r="G26" s="492" t="s">
        <v>1191</v>
      </c>
      <c r="H26" s="493"/>
      <c r="I26" s="493"/>
      <c r="J26" s="493"/>
      <c r="K26" s="494"/>
    </row>
    <row r="27" spans="2:12" ht="18.75" customHeight="1">
      <c r="B27" s="538"/>
      <c r="C27" s="564" t="str">
        <f>IFERROR(IF(VLOOKUP(C4,取引先マスタ!C:G,5,FALSE)=0,"Country: ","Country: "&amp;VLOOKUP(C4,取引先マスタ!C:G,5,FALSE)),"")</f>
        <v>Country: COUNTRY</v>
      </c>
      <c r="D27" s="493" t="str">
        <f>IFERROR(IF(VLOOKUP(C4,取引先マスタ!C:D,2,FALSE)=0,"Zip Code: ","Zip Code: "&amp;VLOOKUP(C4,取引先マスタ!C:D,2,FALSE)),"")</f>
        <v>Zip Code: ZIP CODE</v>
      </c>
      <c r="E27" s="494"/>
      <c r="F27" s="489" t="s">
        <v>395</v>
      </c>
      <c r="G27" s="495" t="s">
        <v>1192</v>
      </c>
      <c r="H27" s="490"/>
      <c r="I27" s="496" t="s">
        <v>394</v>
      </c>
      <c r="J27" s="496" t="s">
        <v>1193</v>
      </c>
      <c r="K27" s="491"/>
    </row>
    <row r="28" spans="2:12" ht="18.75" customHeight="1">
      <c r="B28" s="538"/>
      <c r="C28" s="564" t="str">
        <f>IFERROR(IF(VLOOKUP(C4,取引先マスタ!C:H,6,FALSE)=0,"Tel: ",VLOOKUP(C4,取引先マスタ!C:H,6,FALSE)),"")</f>
        <v>TEL</v>
      </c>
      <c r="D28" s="493" t="str">
        <f>IFERROR(IF(VLOOKUP(C4,取引先マスタ!C:I,7,FALSE)=0,"Attn: ","Attn: "&amp;VLOOKUP(C4,取引先マスタ!C:I,7,FALSE)),"")</f>
        <v>Attn: ATTENTION</v>
      </c>
      <c r="E28" s="494"/>
      <c r="F28" s="560" t="s">
        <v>385</v>
      </c>
      <c r="G28" s="561"/>
      <c r="H28" s="561"/>
      <c r="I28" s="561"/>
      <c r="J28" s="560" t="s">
        <v>3498</v>
      </c>
      <c r="K28" s="562"/>
    </row>
    <row r="29" spans="2:12" ht="18.75" customHeight="1">
      <c r="B29" s="538"/>
      <c r="C29" s="544"/>
      <c r="D29" s="490"/>
      <c r="E29" s="491"/>
      <c r="F29" s="1992" t="s">
        <v>3534</v>
      </c>
      <c r="G29" s="1993"/>
      <c r="H29" s="490" t="s">
        <v>400</v>
      </c>
      <c r="I29" s="490"/>
      <c r="J29" s="1320">
        <f ca="1">J17+30</f>
        <v>46141</v>
      </c>
      <c r="K29" s="1322"/>
    </row>
    <row r="30" spans="2:12" ht="18.75" customHeight="1">
      <c r="B30" s="560" t="s">
        <v>376</v>
      </c>
      <c r="C30" s="566"/>
      <c r="D30" s="560" t="s">
        <v>377</v>
      </c>
      <c r="E30" s="567"/>
      <c r="F30" s="560" t="s">
        <v>379</v>
      </c>
      <c r="G30" s="568"/>
      <c r="H30" s="566"/>
      <c r="I30" s="560" t="s">
        <v>381</v>
      </c>
      <c r="J30" s="569"/>
      <c r="K30" s="570"/>
    </row>
    <row r="31" spans="2:12" ht="18.75" customHeight="1">
      <c r="B31" s="1319" t="s">
        <v>4928</v>
      </c>
      <c r="C31" s="491"/>
      <c r="D31" s="2014" t="s">
        <v>3496</v>
      </c>
      <c r="E31" s="2013"/>
      <c r="F31" s="2011">
        <f ca="1">J17</f>
        <v>46111</v>
      </c>
      <c r="G31" s="2012"/>
      <c r="H31" s="2013"/>
      <c r="I31" s="571" t="s">
        <v>401</v>
      </c>
      <c r="J31" s="572"/>
      <c r="K31" s="573"/>
      <c r="L31" s="547" t="s">
        <v>3512</v>
      </c>
    </row>
    <row r="32" spans="2:12" ht="18.75" customHeight="1">
      <c r="B32" s="560" t="s">
        <v>375</v>
      </c>
      <c r="C32" s="566"/>
      <c r="D32" s="560" t="s">
        <v>378</v>
      </c>
      <c r="E32" s="567"/>
      <c r="F32" s="560" t="s">
        <v>380</v>
      </c>
      <c r="G32" s="568"/>
      <c r="H32" s="566"/>
      <c r="I32" s="540" t="str">
        <f>IFERROR(IF(VLOOKUP(C18,取引先マスタ!C:J,8,FALSE)=0,"",VLOOKUP(C18,取引先マスタ!C:J,8,FALSE)),"")</f>
        <v>Courier Account#</v>
      </c>
      <c r="J32" s="574" t="s">
        <v>3557</v>
      </c>
      <c r="K32" s="543"/>
      <c r="L32" s="547" t="s">
        <v>3513</v>
      </c>
    </row>
    <row r="33" spans="2:16" ht="18.75" customHeight="1" thickBot="1">
      <c r="B33" s="1998" t="s">
        <v>3554</v>
      </c>
      <c r="C33" s="1999"/>
      <c r="D33" s="1998" t="s">
        <v>3553</v>
      </c>
      <c r="E33" s="1999"/>
      <c r="F33" s="2023" t="s">
        <v>3506</v>
      </c>
      <c r="G33" s="2024"/>
      <c r="H33" s="2025"/>
      <c r="I33" s="575" t="s">
        <v>382</v>
      </c>
      <c r="J33" s="2021" t="s">
        <v>164</v>
      </c>
      <c r="K33" s="2022"/>
    </row>
    <row r="34" spans="2:16" ht="18.75" customHeight="1" thickTop="1">
      <c r="B34" s="1990" t="s">
        <v>369</v>
      </c>
      <c r="C34" s="1994" t="s">
        <v>402</v>
      </c>
      <c r="D34" s="1994"/>
      <c r="E34" s="1994"/>
      <c r="F34" s="1995" t="s">
        <v>403</v>
      </c>
      <c r="G34" s="1996"/>
      <c r="H34" s="1997"/>
      <c r="I34" s="2009" t="s">
        <v>373</v>
      </c>
      <c r="J34" s="2007" t="s">
        <v>374</v>
      </c>
      <c r="K34" s="2005" t="s">
        <v>222</v>
      </c>
    </row>
    <row r="35" spans="2:16" ht="18.75" customHeight="1" thickBot="1">
      <c r="B35" s="1991"/>
      <c r="C35" s="576" t="s">
        <v>225</v>
      </c>
      <c r="D35" s="576" t="s">
        <v>16</v>
      </c>
      <c r="E35" s="577" t="s">
        <v>17</v>
      </c>
      <c r="F35" s="576" t="s">
        <v>370</v>
      </c>
      <c r="G35" s="576" t="s">
        <v>371</v>
      </c>
      <c r="H35" s="576" t="s">
        <v>372</v>
      </c>
      <c r="I35" s="2010"/>
      <c r="J35" s="2008"/>
      <c r="K35" s="2006"/>
    </row>
    <row r="36" spans="2:16" ht="18.75" customHeight="1" thickTop="1">
      <c r="B36" s="498" t="s">
        <v>5193</v>
      </c>
      <c r="C36" s="499" t="s">
        <v>5194</v>
      </c>
      <c r="D36" s="500"/>
      <c r="E36" s="501"/>
      <c r="F36" s="502"/>
      <c r="G36" s="503"/>
      <c r="H36" s="502"/>
      <c r="I36" s="501"/>
      <c r="J36" s="504"/>
      <c r="K36" s="504"/>
      <c r="L36" s="1338"/>
      <c r="M36" s="578"/>
      <c r="N36" s="579"/>
      <c r="O36" s="580"/>
      <c r="P36" s="580"/>
    </row>
    <row r="37" spans="2:16" ht="18.75" customHeight="1">
      <c r="B37" s="505" t="s">
        <v>5193</v>
      </c>
      <c r="C37" s="506" t="s">
        <v>5189</v>
      </c>
      <c r="D37" s="508"/>
      <c r="E37" s="508" t="s">
        <v>5188</v>
      </c>
      <c r="F37" s="519"/>
      <c r="G37" s="518"/>
      <c r="H37" s="512">
        <v>100</v>
      </c>
      <c r="I37" s="1903">
        <v>2.46</v>
      </c>
      <c r="J37" s="605">
        <v>246</v>
      </c>
      <c r="K37" s="511" t="s">
        <v>275</v>
      </c>
      <c r="L37" s="1338"/>
      <c r="M37" s="578"/>
      <c r="N37" s="581"/>
      <c r="O37" s="581"/>
      <c r="P37" s="581"/>
    </row>
    <row r="38" spans="2:16" ht="18.75" customHeight="1">
      <c r="B38" s="505" t="s">
        <v>5193</v>
      </c>
      <c r="C38" s="506"/>
      <c r="D38" s="515"/>
      <c r="E38" s="515" t="s">
        <v>5056</v>
      </c>
      <c r="F38" s="516"/>
      <c r="G38" s="518"/>
      <c r="H38" s="516">
        <v>1</v>
      </c>
      <c r="I38" s="1903">
        <v>15</v>
      </c>
      <c r="J38" s="605">
        <v>15</v>
      </c>
      <c r="K38" s="605"/>
      <c r="L38" s="1338"/>
      <c r="M38" s="578"/>
      <c r="N38" s="581"/>
      <c r="O38" s="581"/>
      <c r="P38" s="581"/>
    </row>
    <row r="39" spans="2:16" ht="18.75" customHeight="1">
      <c r="B39" s="505"/>
      <c r="C39" s="506"/>
      <c r="D39" s="514"/>
      <c r="E39" s="515"/>
      <c r="F39" s="512"/>
      <c r="G39" s="510"/>
      <c r="H39" s="516"/>
      <c r="I39" s="605"/>
      <c r="J39" s="1903"/>
      <c r="K39" s="511"/>
      <c r="L39" s="1338"/>
      <c r="M39" s="578"/>
      <c r="N39" s="581"/>
      <c r="O39" s="581"/>
      <c r="P39" s="581"/>
    </row>
    <row r="40" spans="2:16" ht="18.75" customHeight="1">
      <c r="B40" s="505"/>
      <c r="C40" s="506"/>
      <c r="D40" s="514"/>
      <c r="E40" s="515"/>
      <c r="F40" s="512"/>
      <c r="G40" s="510"/>
      <c r="H40" s="516"/>
      <c r="I40" s="604"/>
      <c r="J40" s="605"/>
      <c r="K40" s="511"/>
      <c r="L40" s="1338"/>
      <c r="M40" s="578"/>
      <c r="N40" s="581"/>
      <c r="O40" s="581"/>
      <c r="P40" s="581"/>
    </row>
    <row r="41" spans="2:16" ht="18.75" customHeight="1">
      <c r="B41" s="505"/>
      <c r="C41" s="506"/>
      <c r="D41" s="514"/>
      <c r="E41" s="515"/>
      <c r="F41" s="512"/>
      <c r="G41" s="510"/>
      <c r="H41" s="516"/>
      <c r="I41" s="604"/>
      <c r="J41" s="605"/>
      <c r="K41" s="511"/>
      <c r="L41" s="1338"/>
      <c r="M41" s="578"/>
      <c r="N41" s="579"/>
      <c r="O41" s="581"/>
      <c r="P41" s="581"/>
    </row>
    <row r="42" spans="2:16" ht="18.75" customHeight="1">
      <c r="B42" s="505"/>
      <c r="C42" s="506"/>
      <c r="D42" s="514"/>
      <c r="E42" s="515"/>
      <c r="F42" s="512"/>
      <c r="G42" s="510"/>
      <c r="H42" s="516"/>
      <c r="I42" s="604"/>
      <c r="J42" s="605"/>
      <c r="K42" s="511"/>
    </row>
    <row r="43" spans="2:16" ht="18.75" customHeight="1">
      <c r="B43" s="505"/>
      <c r="C43" s="506"/>
      <c r="D43" s="507"/>
      <c r="E43" s="508"/>
      <c r="F43" s="519"/>
      <c r="G43" s="518"/>
      <c r="H43" s="512"/>
      <c r="I43" s="604"/>
      <c r="J43" s="605"/>
      <c r="K43" s="511"/>
    </row>
    <row r="44" spans="2:16" ht="18.75" customHeight="1">
      <c r="B44" s="505"/>
      <c r="C44" s="506"/>
      <c r="D44" s="507"/>
      <c r="E44" s="508"/>
      <c r="F44" s="519"/>
      <c r="G44" s="518"/>
      <c r="H44" s="512"/>
      <c r="I44" s="604"/>
      <c r="J44" s="605"/>
      <c r="K44" s="511"/>
    </row>
    <row r="45" spans="2:16" ht="18.75" customHeight="1">
      <c r="B45" s="505"/>
      <c r="C45" s="506"/>
      <c r="D45" s="507"/>
      <c r="E45" s="508"/>
      <c r="F45" s="519"/>
      <c r="G45" s="518"/>
      <c r="H45" s="512"/>
      <c r="I45" s="604"/>
      <c r="J45" s="605"/>
      <c r="K45" s="511"/>
    </row>
    <row r="46" spans="2:16" ht="18.75" customHeight="1">
      <c r="B46" s="505"/>
      <c r="C46" s="506"/>
      <c r="D46" s="507"/>
      <c r="E46" s="508"/>
      <c r="F46" s="519"/>
      <c r="G46" s="518"/>
      <c r="H46" s="512"/>
      <c r="I46" s="604"/>
      <c r="J46" s="605"/>
      <c r="K46" s="511"/>
    </row>
    <row r="47" spans="2:16" ht="18.75" customHeight="1">
      <c r="B47" s="505"/>
      <c r="C47" s="506"/>
      <c r="D47" s="507"/>
      <c r="E47" s="508"/>
      <c r="F47" s="519"/>
      <c r="G47" s="518"/>
      <c r="H47" s="512"/>
      <c r="I47" s="604"/>
      <c r="J47" s="605"/>
      <c r="K47" s="511"/>
    </row>
    <row r="48" spans="2:16" ht="18.75" customHeight="1">
      <c r="B48" s="505"/>
      <c r="C48" s="506"/>
      <c r="D48" s="507"/>
      <c r="E48" s="508"/>
      <c r="F48" s="519"/>
      <c r="G48" s="518"/>
      <c r="H48" s="512"/>
      <c r="I48" s="604"/>
      <c r="J48" s="605"/>
      <c r="K48" s="511"/>
    </row>
    <row r="49" spans="2:11" ht="18.75" customHeight="1">
      <c r="B49" s="505"/>
      <c r="C49" s="506"/>
      <c r="D49" s="507"/>
      <c r="E49" s="508"/>
      <c r="F49" s="519"/>
      <c r="G49" s="518"/>
      <c r="H49" s="512"/>
      <c r="I49" s="604"/>
      <c r="J49" s="605"/>
      <c r="K49" s="511"/>
    </row>
    <row r="50" spans="2:11" ht="18.75" customHeight="1">
      <c r="B50" s="505"/>
      <c r="C50" s="506"/>
      <c r="D50" s="507"/>
      <c r="E50" s="508"/>
      <c r="F50" s="519"/>
      <c r="G50" s="518"/>
      <c r="H50" s="512"/>
      <c r="I50" s="604"/>
      <c r="J50" s="605"/>
      <c r="K50" s="511"/>
    </row>
    <row r="51" spans="2:11" ht="18.75" customHeight="1">
      <c r="B51" s="505"/>
      <c r="C51" s="506"/>
      <c r="D51" s="507"/>
      <c r="E51" s="508"/>
      <c r="F51" s="519"/>
      <c r="G51" s="518"/>
      <c r="H51" s="512"/>
      <c r="I51" s="604"/>
      <c r="J51" s="605"/>
      <c r="K51" s="511"/>
    </row>
    <row r="52" spans="2:11" ht="18.75" customHeight="1">
      <c r="B52" s="505"/>
      <c r="C52" s="506"/>
      <c r="D52" s="507"/>
      <c r="E52" s="508"/>
      <c r="F52" s="519"/>
      <c r="G52" s="518"/>
      <c r="H52" s="512"/>
      <c r="I52" s="604"/>
      <c r="J52" s="605"/>
      <c r="K52" s="511"/>
    </row>
    <row r="53" spans="2:11" ht="18.75" customHeight="1">
      <c r="B53" s="505"/>
      <c r="C53" s="506"/>
      <c r="D53" s="507"/>
      <c r="E53" s="508"/>
      <c r="F53" s="519"/>
      <c r="G53" s="518"/>
      <c r="H53" s="512"/>
      <c r="I53" s="604"/>
      <c r="J53" s="605"/>
      <c r="K53" s="511"/>
    </row>
    <row r="54" spans="2:11" ht="18.75" customHeight="1">
      <c r="B54" s="505"/>
      <c r="C54" s="506"/>
      <c r="D54" s="507"/>
      <c r="E54" s="508"/>
      <c r="F54" s="519"/>
      <c r="G54" s="518"/>
      <c r="H54" s="512"/>
      <c r="I54" s="604"/>
      <c r="J54" s="605"/>
      <c r="K54" s="511"/>
    </row>
    <row r="55" spans="2:11" ht="18.75" customHeight="1">
      <c r="B55" s="505"/>
      <c r="C55" s="506"/>
      <c r="D55" s="507"/>
      <c r="E55" s="508"/>
      <c r="F55" s="519"/>
      <c r="G55" s="518"/>
      <c r="H55" s="512"/>
      <c r="I55" s="604"/>
      <c r="J55" s="605"/>
      <c r="K55" s="511"/>
    </row>
    <row r="56" spans="2:11" ht="18.75" customHeight="1">
      <c r="B56" s="505"/>
      <c r="C56" s="506"/>
      <c r="D56" s="507"/>
      <c r="E56" s="508"/>
      <c r="F56" s="519"/>
      <c r="G56" s="518"/>
      <c r="H56" s="512"/>
      <c r="I56" s="604"/>
      <c r="J56" s="605"/>
      <c r="K56" s="511"/>
    </row>
    <row r="57" spans="2:11" ht="18.75" customHeight="1">
      <c r="B57" s="505"/>
      <c r="C57" s="506"/>
      <c r="D57" s="514"/>
      <c r="E57" s="508"/>
      <c r="F57" s="512"/>
      <c r="G57" s="510"/>
      <c r="H57" s="518"/>
      <c r="I57" s="511"/>
      <c r="J57" s="511"/>
      <c r="K57" s="511"/>
    </row>
    <row r="58" spans="2:11" ht="18.75" customHeight="1">
      <c r="B58" s="505"/>
      <c r="C58" s="506"/>
      <c r="D58" s="507"/>
      <c r="E58" s="508"/>
      <c r="F58" s="512"/>
      <c r="G58" s="510"/>
      <c r="H58" s="512"/>
      <c r="I58" s="511"/>
      <c r="J58" s="511"/>
      <c r="K58" s="511"/>
    </row>
    <row r="59" spans="2:11" ht="18.75" customHeight="1">
      <c r="B59" s="505"/>
      <c r="C59" s="506"/>
      <c r="D59" s="507"/>
      <c r="E59" s="508"/>
      <c r="F59" s="512"/>
      <c r="G59" s="510"/>
      <c r="H59" s="512"/>
      <c r="I59" s="511"/>
      <c r="J59" s="511"/>
      <c r="K59" s="511"/>
    </row>
    <row r="60" spans="2:11" ht="18.75" customHeight="1">
      <c r="B60" s="505"/>
      <c r="C60" s="506"/>
      <c r="D60" s="507"/>
      <c r="E60" s="508"/>
      <c r="F60" s="512"/>
      <c r="G60" s="510"/>
      <c r="H60" s="512"/>
      <c r="I60" s="511"/>
      <c r="J60" s="511"/>
      <c r="K60" s="511"/>
    </row>
    <row r="61" spans="2:11" ht="18.75" customHeight="1">
      <c r="B61" s="505"/>
      <c r="C61" s="506"/>
      <c r="D61" s="507"/>
      <c r="E61" s="508"/>
      <c r="F61" s="512"/>
      <c r="G61" s="510"/>
      <c r="H61" s="512"/>
      <c r="I61" s="511"/>
      <c r="J61" s="511"/>
      <c r="K61" s="511"/>
    </row>
    <row r="62" spans="2:11" ht="18.75" customHeight="1">
      <c r="B62" s="505"/>
      <c r="C62" s="506"/>
      <c r="D62" s="507"/>
      <c r="E62" s="508"/>
      <c r="F62" s="512"/>
      <c r="G62" s="510"/>
      <c r="H62" s="512"/>
      <c r="I62" s="511"/>
      <c r="J62" s="511"/>
      <c r="K62" s="511"/>
    </row>
    <row r="63" spans="2:11" ht="18.75" customHeight="1">
      <c r="B63" s="505"/>
      <c r="C63" s="506"/>
      <c r="D63" s="507"/>
      <c r="E63" s="508"/>
      <c r="F63" s="512"/>
      <c r="G63" s="510"/>
      <c r="H63" s="512"/>
      <c r="I63" s="511"/>
      <c r="J63" s="511"/>
      <c r="K63" s="511"/>
    </row>
    <row r="64" spans="2:11" ht="18.75" customHeight="1">
      <c r="B64" s="505"/>
      <c r="C64" s="506"/>
      <c r="D64" s="507"/>
      <c r="E64" s="508"/>
      <c r="F64" s="512"/>
      <c r="G64" s="510"/>
      <c r="H64" s="512"/>
      <c r="I64" s="511"/>
      <c r="J64" s="511"/>
      <c r="K64" s="511"/>
    </row>
    <row r="65" spans="1:11" ht="18.75" customHeight="1">
      <c r="B65" s="505"/>
      <c r="C65" s="506"/>
      <c r="D65" s="507"/>
      <c r="E65" s="508"/>
      <c r="F65" s="512"/>
      <c r="G65" s="510"/>
      <c r="H65" s="512"/>
      <c r="I65" s="511"/>
      <c r="J65" s="511"/>
      <c r="K65" s="511"/>
    </row>
    <row r="66" spans="1:11" ht="18.75" customHeight="1">
      <c r="B66" s="505"/>
      <c r="C66" s="506"/>
      <c r="D66" s="507"/>
      <c r="E66" s="508"/>
      <c r="F66" s="512"/>
      <c r="G66" s="510"/>
      <c r="H66" s="512"/>
      <c r="I66" s="511"/>
      <c r="J66" s="511"/>
      <c r="K66" s="511"/>
    </row>
    <row r="67" spans="1:11" ht="18.75" customHeight="1">
      <c r="B67" s="505"/>
      <c r="C67" s="506"/>
      <c r="D67" s="507"/>
      <c r="E67" s="508"/>
      <c r="F67" s="512"/>
      <c r="G67" s="510"/>
      <c r="H67" s="512"/>
      <c r="I67" s="511"/>
      <c r="J67" s="511"/>
      <c r="K67" s="511"/>
    </row>
    <row r="68" spans="1:11" ht="18.75" customHeight="1">
      <c r="B68" s="524"/>
      <c r="C68" s="525"/>
      <c r="D68" s="526"/>
      <c r="E68" s="526"/>
      <c r="F68" s="526"/>
      <c r="G68" s="526"/>
      <c r="H68" s="526"/>
      <c r="I68" s="527"/>
      <c r="J68" s="527"/>
      <c r="K68" s="526"/>
    </row>
    <row r="69" spans="1:11" ht="18.75" customHeight="1">
      <c r="A69" s="1399" t="s">
        <v>3526</v>
      </c>
      <c r="G69" s="582"/>
      <c r="H69" s="528" t="s">
        <v>1178</v>
      </c>
      <c r="I69" s="529" t="s">
        <v>1177</v>
      </c>
      <c r="J69" s="1321">
        <f>IFERROR(SUMIF(K36:K68,I69,J36:J68),"")</f>
        <v>246</v>
      </c>
    </row>
    <row r="70" spans="1:11" ht="18.75" customHeight="1">
      <c r="B70" s="583" t="s">
        <v>359</v>
      </c>
      <c r="D70" s="555" t="s">
        <v>405</v>
      </c>
      <c r="G70" s="582"/>
      <c r="H70" s="531" t="str">
        <f t="array" ref="H70">IF(OR(SUMPRODUCT((K36:K68&lt;&gt;"")/COUNTIF(K36:K68,K36:K68&amp;""))=1,SUMPRODUCT((K36:K68&lt;&gt;"")/COUNTIF(K36:K68,K36:K68&amp;""))=0),"","Made In")</f>
        <v/>
      </c>
      <c r="I70" s="494"/>
      <c r="J70" s="523" t="str">
        <f>IFERROR(IF(I70="","",SUMIF(K36:K68,I70,J36:J68)),"")</f>
        <v/>
      </c>
    </row>
    <row r="71" spans="1:11" ht="18.75" customHeight="1">
      <c r="B71" s="584" t="s">
        <v>360</v>
      </c>
      <c r="D71" s="582" t="s">
        <v>3670</v>
      </c>
      <c r="E71" s="488" t="s">
        <v>3671</v>
      </c>
      <c r="G71" s="582"/>
      <c r="H71" s="532" t="str">
        <f t="array" ref="H71">IF(SUMPRODUCT((K36:K68&lt;&gt;"")/COUNTIF(K36:K68,K36:K68&amp;""))&lt;&gt;3,"","Made In")</f>
        <v/>
      </c>
      <c r="I71" s="491"/>
      <c r="J71" s="527" t="str">
        <f>IFERROR(IF(I71="","",SUMIF(K37:K69,I71,J37:J69)),"")</f>
        <v/>
      </c>
    </row>
    <row r="72" spans="1:11" ht="18.75" customHeight="1" thickBot="1">
      <c r="B72" s="584" t="s">
        <v>361</v>
      </c>
      <c r="D72" s="585" t="s">
        <v>408</v>
      </c>
      <c r="H72" s="1989" t="s">
        <v>1172</v>
      </c>
      <c r="I72" s="1989"/>
      <c r="J72" s="533"/>
    </row>
    <row r="73" spans="1:11" ht="18.75" customHeight="1" thickBot="1">
      <c r="B73" s="584" t="s">
        <v>362</v>
      </c>
      <c r="D73" s="582" t="s">
        <v>406</v>
      </c>
      <c r="E73" s="488" t="s">
        <v>3672</v>
      </c>
      <c r="H73" s="1987" t="s">
        <v>404</v>
      </c>
      <c r="I73" s="1988"/>
      <c r="J73" s="1398">
        <f>SUM(J37:J68,J72)</f>
        <v>261</v>
      </c>
    </row>
    <row r="74" spans="1:11" ht="18.75" customHeight="1">
      <c r="B74" s="584" t="s">
        <v>363</v>
      </c>
      <c r="D74" s="582" t="s">
        <v>1045</v>
      </c>
      <c r="E74" s="488" t="s">
        <v>3673</v>
      </c>
    </row>
    <row r="76" spans="1:11" ht="18.75" customHeight="1">
      <c r="B76" s="584" t="s">
        <v>1046</v>
      </c>
      <c r="H76" s="583" t="s">
        <v>1190</v>
      </c>
    </row>
    <row r="77" spans="1:11" ht="18.75" customHeight="1">
      <c r="B77" s="534"/>
      <c r="C77" s="535"/>
      <c r="D77" s="535"/>
      <c r="E77" s="536"/>
      <c r="F77" s="537"/>
    </row>
    <row r="78" spans="1:11" ht="18.75" customHeight="1">
      <c r="B78" s="538"/>
      <c r="F78" s="539"/>
    </row>
    <row r="79" spans="1:11" ht="18.75" customHeight="1">
      <c r="B79" s="538"/>
      <c r="F79" s="539"/>
    </row>
    <row r="80" spans="1:11" ht="18.75" customHeight="1">
      <c r="B80" s="540"/>
      <c r="C80" s="541"/>
      <c r="D80" s="541"/>
      <c r="E80" s="542"/>
      <c r="F80" s="543"/>
      <c r="H80" s="541"/>
      <c r="I80" s="541"/>
      <c r="J80" s="541"/>
      <c r="K80" s="541"/>
    </row>
  </sheetData>
  <mergeCells count="21">
    <mergeCell ref="A8:A12"/>
    <mergeCell ref="D3:E3"/>
    <mergeCell ref="K34:K35"/>
    <mergeCell ref="J34:J35"/>
    <mergeCell ref="I34:I35"/>
    <mergeCell ref="F31:H31"/>
    <mergeCell ref="D31:E31"/>
    <mergeCell ref="D33:E33"/>
    <mergeCell ref="B14:E17"/>
    <mergeCell ref="F14:K15"/>
    <mergeCell ref="G16:K16"/>
    <mergeCell ref="J17:K17"/>
    <mergeCell ref="J33:K33"/>
    <mergeCell ref="F33:H33"/>
    <mergeCell ref="H73:I73"/>
    <mergeCell ref="H72:I72"/>
    <mergeCell ref="B34:B35"/>
    <mergeCell ref="F29:G29"/>
    <mergeCell ref="C34:E34"/>
    <mergeCell ref="F34:H34"/>
    <mergeCell ref="B33:C33"/>
  </mergeCells>
  <phoneticPr fontId="4"/>
  <conditionalFormatting sqref="B31">
    <cfRule type="expression" dxfId="58" priority="11" stopIfTrue="1">
      <formula>$B$31="(SELECT)"</formula>
    </cfRule>
  </conditionalFormatting>
  <conditionalFormatting sqref="F33:H33 F31:H31 C34 F34">
    <cfRule type="containsBlanks" dxfId="57" priority="14" stopIfTrue="1">
      <formula>LEN(TRIM(C31))=0</formula>
    </cfRule>
  </conditionalFormatting>
  <conditionalFormatting sqref="F29">
    <cfRule type="expression" dxfId="56" priority="10" stopIfTrue="1">
      <formula>$F$29="(SELECT)"</formula>
    </cfRule>
  </conditionalFormatting>
  <conditionalFormatting sqref="C18:C20 C24:C26 C21:D22 C27:D28">
    <cfRule type="containsBlanks" dxfId="55" priority="12" stopIfTrue="1">
      <formula>LEN(TRIM(C18))=0</formula>
    </cfRule>
  </conditionalFormatting>
  <conditionalFormatting sqref="C31">
    <cfRule type="expression" dxfId="54" priority="7" stopIfTrue="1">
      <formula>$B$31="Vessel"</formula>
    </cfRule>
    <cfRule type="expression" dxfId="53" priority="8" stopIfTrue="1">
      <formula>$B$31="AIR"</formula>
    </cfRule>
    <cfRule type="expression" dxfId="52" priority="9" stopIfTrue="1">
      <formula>$B$31="Other"</formula>
    </cfRule>
  </conditionalFormatting>
  <conditionalFormatting sqref="J17:K17">
    <cfRule type="containsBlanks" dxfId="51" priority="5" stopIfTrue="1">
      <formula>LEN(TRIM(J17))=0</formula>
    </cfRule>
  </conditionalFormatting>
  <conditionalFormatting sqref="C36:K68">
    <cfRule type="expression" dxfId="50" priority="4" stopIfTrue="1">
      <formula>COUNTIF($I36,"*per*")</formula>
    </cfRule>
  </conditionalFormatting>
  <dataValidations count="2">
    <dataValidation type="list" allowBlank="1" showInputMessage="1" showErrorMessage="1" sqref="B31" xr:uid="{00000000-0002-0000-0200-000000000000}">
      <formula1>"(SELECT),FedEx,UPS,DHL,Other,Vessel,AIR"</formula1>
    </dataValidation>
    <dataValidation type="list" allowBlank="1" showInputMessage="1" showErrorMessage="1" sqref="F29:G29" xr:uid="{5C0A3626-5B10-4FE7-ACD1-A05D9D48494A}">
      <formula1>"(SELECT),　,Advanced Payment,NET 30days,NET 60days"</formula1>
    </dataValidation>
  </dataValidations>
  <printOptions horizontalCentered="1"/>
  <pageMargins left="0.19685039370078741" right="0.19685039370078741" top="0.39370078740157483" bottom="0.39370078740157483" header="0.31496062992125984" footer="0.19685039370078741"/>
  <pageSetup paperSize="9" scale="68" fitToHeight="0" orientation="portrait" r:id="rId1"/>
  <headerFooter>
    <oddFooter>&amp;RPage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2" r:id="rId4" name="Option Button 4">
              <controlPr defaultSize="0" autoFill="0" autoLine="0" autoPict="0">
                <anchor moveWithCells="1">
                  <from>
                    <xdr:col>6</xdr:col>
                    <xdr:colOff>28575</xdr:colOff>
                    <xdr:row>15</xdr:row>
                    <xdr:rowOff>228600</xdr:rowOff>
                  </from>
                  <to>
                    <xdr:col>6</xdr:col>
                    <xdr:colOff>333375</xdr:colOff>
                    <xdr:row>17</xdr:row>
                    <xdr:rowOff>0</xdr:rowOff>
                  </to>
                </anchor>
              </controlPr>
            </control>
          </mc:Choice>
        </mc:AlternateContent>
        <mc:AlternateContent xmlns:mc="http://schemas.openxmlformats.org/markup-compatibility/2006">
          <mc:Choice Requires="x14">
            <control shapeId="17413" r:id="rId5" name="Option Button 5">
              <controlPr defaultSize="0" autoFill="0" autoLine="0" autoPict="0">
                <anchor moveWithCells="1">
                  <from>
                    <xdr:col>7</xdr:col>
                    <xdr:colOff>9525</xdr:colOff>
                    <xdr:row>15</xdr:row>
                    <xdr:rowOff>228600</xdr:rowOff>
                  </from>
                  <to>
                    <xdr:col>7</xdr:col>
                    <xdr:colOff>314325</xdr:colOff>
                    <xdr:row>17</xdr:row>
                    <xdr:rowOff>0</xdr:rowOff>
                  </to>
                </anchor>
              </controlPr>
            </control>
          </mc:Choice>
        </mc:AlternateContent>
        <mc:AlternateContent xmlns:mc="http://schemas.openxmlformats.org/markup-compatibility/2006">
          <mc:Choice Requires="x14">
            <control shapeId="17417" r:id="rId6" name="Button 9">
              <controlPr defaultSize="0" print="0" autoFill="0" autoPict="0" macro="[0]!DataCopy_Invoice_SFAmerica">
                <anchor moveWithCells="1" sizeWithCells="1">
                  <from>
                    <xdr:col>5</xdr:col>
                    <xdr:colOff>66675</xdr:colOff>
                    <xdr:row>2</xdr:row>
                    <xdr:rowOff>19050</xdr:rowOff>
                  </from>
                  <to>
                    <xdr:col>5</xdr:col>
                    <xdr:colOff>914400</xdr:colOff>
                    <xdr:row>4</xdr:row>
                    <xdr:rowOff>133350</xdr:rowOff>
                  </to>
                </anchor>
              </controlPr>
            </control>
          </mc:Choice>
        </mc:AlternateContent>
        <mc:AlternateContent xmlns:mc="http://schemas.openxmlformats.org/markup-compatibility/2006">
          <mc:Choice Requires="x14">
            <control shapeId="17422" r:id="rId7" name="Button 14">
              <controlPr defaultSize="0" print="0" autoFill="0" autoPict="0" macro="[0]!INVOICE明細クリア">
                <anchor moveWithCells="1" sizeWithCells="1">
                  <from>
                    <xdr:col>6</xdr:col>
                    <xdr:colOff>47625</xdr:colOff>
                    <xdr:row>2</xdr:row>
                    <xdr:rowOff>19050</xdr:rowOff>
                  </from>
                  <to>
                    <xdr:col>6</xdr:col>
                    <xdr:colOff>895350</xdr:colOff>
                    <xdr:row>4</xdr:row>
                    <xdr:rowOff>133350</xdr:rowOff>
                  </to>
                </anchor>
              </controlPr>
            </control>
          </mc:Choice>
        </mc:AlternateContent>
        <mc:AlternateContent xmlns:mc="http://schemas.openxmlformats.org/markup-compatibility/2006">
          <mc:Choice Requires="x14">
            <control shapeId="17424" r:id="rId8" name="Button 16">
              <controlPr defaultSize="0" print="0" autoFill="0" autoPict="0" macro="[0]!改行設定">
                <anchor moveWithCells="1" sizeWithCells="1">
                  <from>
                    <xdr:col>7</xdr:col>
                    <xdr:colOff>28575</xdr:colOff>
                    <xdr:row>2</xdr:row>
                    <xdr:rowOff>19050</xdr:rowOff>
                  </from>
                  <to>
                    <xdr:col>7</xdr:col>
                    <xdr:colOff>876300</xdr:colOff>
                    <xdr:row>4</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2000000}">
          <x14:formula1>
            <xm:f>取引先マスタ!$C:$C</xm:f>
          </x14:formula1>
          <xm:sqref>C3:C4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fitToPage="1"/>
  </sheetPr>
  <dimension ref="A1:L83"/>
  <sheetViews>
    <sheetView showGridLines="0" zoomScale="85" zoomScaleNormal="85" zoomScaleSheetLayoutView="85" workbookViewId="0">
      <selection activeCell="F23" sqref="F23:K27"/>
    </sheetView>
  </sheetViews>
  <sheetFormatPr defaultColWidth="9" defaultRowHeight="18.75" customHeight="1"/>
  <cols>
    <col min="1" max="1" width="16.75" style="553" bestFit="1" customWidth="1"/>
    <col min="2" max="2" width="15" style="487" customWidth="1"/>
    <col min="3" max="3" width="22.5" style="487" customWidth="1"/>
    <col min="4" max="4" width="12.375" style="487" customWidth="1"/>
    <col min="5" max="5" width="25" style="488" customWidth="1"/>
    <col min="6" max="10" width="12.375" style="487" customWidth="1"/>
    <col min="11" max="11" width="12.5" style="487" customWidth="1"/>
    <col min="12" max="16384" width="9" style="487"/>
  </cols>
  <sheetData>
    <row r="1" spans="1:12" s="485" customFormat="1" ht="17.25" customHeight="1">
      <c r="A1" s="469" t="s">
        <v>1181</v>
      </c>
      <c r="B1" s="422" t="s">
        <v>1743</v>
      </c>
      <c r="C1" s="423" t="str">
        <f t="array" aca="1" ref="C1" ca="1">LEFT(MID(CELL("filename",A2),10,99),FIND("B",MID(CELL("filename",A2),10,99))-2)</f>
        <v>chiba</v>
      </c>
      <c r="D1" s="421"/>
      <c r="E1" s="426"/>
      <c r="F1" s="425"/>
      <c r="G1" s="421"/>
      <c r="H1" s="421"/>
      <c r="I1" s="422" t="s">
        <v>1171</v>
      </c>
      <c r="J1" s="473" t="str">
        <f>"Invoice "&amp;C2&amp;" (OSAKA)"</f>
        <v>Invoice 7889 (OSAKA)</v>
      </c>
      <c r="K1" s="424"/>
      <c r="L1" s="485" t="s">
        <v>1794</v>
      </c>
    </row>
    <row r="2" spans="1:12" s="485" customFormat="1" ht="17.25" customHeight="1">
      <c r="A2" s="469" t="s">
        <v>1795</v>
      </c>
      <c r="B2" s="422" t="s">
        <v>1041</v>
      </c>
      <c r="C2" s="427">
        <f>'Invoice(EU)'!C2</f>
        <v>7889</v>
      </c>
      <c r="D2" s="484" t="s">
        <v>1201</v>
      </c>
      <c r="E2" s="1291">
        <f>'Invoice(EU)'!E4</f>
        <v>7000688636</v>
      </c>
      <c r="F2" s="546" t="s">
        <v>1180</v>
      </c>
      <c r="G2" s="421"/>
      <c r="H2" s="472" t="str">
        <f>'Invoice(EU)'!E12</f>
        <v>EU</v>
      </c>
      <c r="I2" s="484" t="s">
        <v>3490</v>
      </c>
      <c r="J2" s="1292" t="str">
        <f ca="1">'Invoice(EU)'!E9</f>
        <v>Invoice(EU)</v>
      </c>
      <c r="K2" s="1293"/>
      <c r="L2" s="485" t="s">
        <v>1794</v>
      </c>
    </row>
    <row r="3" spans="1:12" s="485" customFormat="1" ht="17.25" customHeight="1">
      <c r="A3" s="469" t="s">
        <v>1795</v>
      </c>
      <c r="B3" s="422" t="s">
        <v>1042</v>
      </c>
      <c r="C3" s="2026" t="str">
        <f>'Invoice(EU)'!C3</f>
        <v>(SELECT) - 顧客名</v>
      </c>
      <c r="D3" s="2026"/>
      <c r="E3" s="2026"/>
      <c r="F3" s="548" t="s">
        <v>1201</v>
      </c>
      <c r="G3" s="421"/>
      <c r="H3" s="421"/>
      <c r="I3" s="484" t="s">
        <v>3491</v>
      </c>
      <c r="J3" s="1294" t="str">
        <f ca="1">'Invoice(EU)'!E10</f>
        <v>Invoice(SF大阪)</v>
      </c>
      <c r="K3" s="1295"/>
      <c r="L3" s="485" t="s">
        <v>1794</v>
      </c>
    </row>
    <row r="4" spans="1:12" s="485" customFormat="1" ht="17.25" customHeight="1">
      <c r="A4" s="469" t="s">
        <v>1187</v>
      </c>
      <c r="B4" s="422" t="s">
        <v>1043</v>
      </c>
      <c r="C4" s="2026" t="s">
        <v>1182</v>
      </c>
      <c r="D4" s="2026"/>
      <c r="E4" s="2026"/>
      <c r="F4" s="549" t="s">
        <v>1179</v>
      </c>
      <c r="G4" s="421"/>
      <c r="H4" s="421"/>
      <c r="I4" s="1296" t="s">
        <v>3492</v>
      </c>
      <c r="J4" s="1297" t="str">
        <f ca="1">'Invoice(EU)'!E11</f>
        <v>EU BackOrder</v>
      </c>
      <c r="K4" s="1293"/>
      <c r="L4" s="485" t="s">
        <v>1794</v>
      </c>
    </row>
    <row r="5" spans="1:12" s="485" customFormat="1" ht="17.25" customHeight="1">
      <c r="A5" s="469" t="s">
        <v>1795</v>
      </c>
      <c r="B5" s="422" t="s">
        <v>1746</v>
      </c>
      <c r="C5" s="427">
        <f>'Invoice(EU)'!C5</f>
        <v>2123</v>
      </c>
      <c r="D5" s="421"/>
      <c r="E5" s="426"/>
      <c r="F5" s="551">
        <f>MATCH(TEXT(E2,"@"),'EU BackOrder'!C:C,0)</f>
        <v>1315</v>
      </c>
      <c r="G5" s="421"/>
      <c r="H5" s="421"/>
      <c r="I5" s="421"/>
      <c r="J5" s="421"/>
      <c r="K5" s="421"/>
    </row>
    <row r="6" spans="1:12" s="485" customFormat="1" ht="17.25" customHeight="1">
      <c r="A6" s="469" t="s">
        <v>1795</v>
      </c>
      <c r="B6" s="422" t="s">
        <v>1747</v>
      </c>
      <c r="C6" s="427">
        <f>'Invoice(EU)'!C6</f>
        <v>2125</v>
      </c>
      <c r="D6" s="421"/>
      <c r="E6" s="426"/>
      <c r="F6" s="551">
        <f>F5+COUNTIF('EU BackOrder'!C:C,TEXT(E2,"@"))-2</f>
        <v>1318</v>
      </c>
      <c r="G6" s="421"/>
      <c r="H6" s="421"/>
      <c r="I6" s="421"/>
      <c r="J6" s="421"/>
      <c r="K6" s="421"/>
    </row>
    <row r="7" spans="1:12" s="485" customFormat="1" ht="17.25" customHeight="1">
      <c r="A7" s="469" t="s">
        <v>1795</v>
      </c>
      <c r="B7" s="422" t="s">
        <v>1785</v>
      </c>
      <c r="C7" s="427">
        <f>'Invoice(EU)'!C7</f>
        <v>36</v>
      </c>
      <c r="D7" s="421"/>
      <c r="E7" s="426"/>
      <c r="F7" s="425"/>
      <c r="G7" s="421"/>
      <c r="H7" s="421"/>
      <c r="I7" s="421"/>
      <c r="J7" s="421"/>
      <c r="K7" s="421"/>
    </row>
    <row r="8" spans="1:12" s="485" customFormat="1" ht="17.25" customHeight="1">
      <c r="A8" s="469" t="s">
        <v>1181</v>
      </c>
      <c r="B8" s="422" t="s">
        <v>1748</v>
      </c>
      <c r="C8" s="427">
        <f>C6-C5+C7</f>
        <v>38</v>
      </c>
      <c r="D8" s="421"/>
      <c r="E8" s="426"/>
      <c r="F8" s="425"/>
      <c r="G8" s="421"/>
      <c r="H8" s="421"/>
      <c r="I8" s="421"/>
      <c r="J8" s="421"/>
      <c r="K8" s="421"/>
    </row>
    <row r="9" spans="1:12" s="485" customFormat="1" ht="17.25" customHeight="1">
      <c r="A9" s="469" t="s">
        <v>1794</v>
      </c>
      <c r="B9" s="422" t="s">
        <v>1786</v>
      </c>
      <c r="C9" s="427">
        <v>36</v>
      </c>
      <c r="D9" s="421"/>
      <c r="E9" s="426"/>
      <c r="F9" s="425"/>
      <c r="G9" s="421"/>
      <c r="H9" s="421"/>
      <c r="I9" s="421"/>
      <c r="J9" s="421"/>
      <c r="K9" s="421"/>
    </row>
    <row r="10" spans="1:12" s="485" customFormat="1" ht="17.25" customHeight="1">
      <c r="A10" s="469" t="s">
        <v>1794</v>
      </c>
      <c r="B10" s="422" t="s">
        <v>1787</v>
      </c>
      <c r="C10" s="427">
        <v>71</v>
      </c>
      <c r="D10" s="421"/>
      <c r="E10" s="426"/>
      <c r="F10" s="425"/>
      <c r="G10" s="421"/>
      <c r="H10" s="421"/>
      <c r="I10" s="421"/>
      <c r="J10" s="421"/>
      <c r="K10" s="421"/>
    </row>
    <row r="11" spans="1:12" s="485" customFormat="1" ht="17.25" customHeight="1">
      <c r="A11" s="546"/>
      <c r="B11" s="546"/>
      <c r="C11" s="552"/>
      <c r="E11" s="486"/>
      <c r="F11" s="547"/>
    </row>
    <row r="12" spans="1:12" s="485" customFormat="1" ht="17.25" customHeight="1">
      <c r="A12" s="546"/>
      <c r="B12" s="546"/>
      <c r="C12" s="552"/>
      <c r="E12" s="486"/>
      <c r="F12" s="547"/>
    </row>
    <row r="13" spans="1:12" s="485" customFormat="1" ht="17.25" customHeight="1">
      <c r="A13" s="546"/>
      <c r="B13" s="546"/>
      <c r="C13" s="552"/>
      <c r="E13" s="486"/>
      <c r="F13" s="547"/>
    </row>
    <row r="14" spans="1:12" ht="18.75" customHeight="1">
      <c r="B14" s="2015" t="s">
        <v>1173</v>
      </c>
      <c r="C14" s="2016"/>
      <c r="D14" s="2016"/>
      <c r="E14" s="2016"/>
      <c r="F14" s="2018" t="s">
        <v>1174</v>
      </c>
      <c r="G14" s="2018"/>
      <c r="H14" s="2018"/>
      <c r="I14" s="2018"/>
      <c r="J14" s="2018"/>
      <c r="K14" s="2018"/>
    </row>
    <row r="15" spans="1:12" ht="18.75" customHeight="1">
      <c r="B15" s="2016"/>
      <c r="C15" s="2016"/>
      <c r="D15" s="2016"/>
      <c r="E15" s="2016"/>
      <c r="F15" s="2018"/>
      <c r="G15" s="2018"/>
      <c r="H15" s="2018"/>
      <c r="I15" s="2018"/>
      <c r="J15" s="2018"/>
      <c r="K15" s="2018"/>
    </row>
    <row r="16" spans="1:12" ht="18.75" customHeight="1">
      <c r="B16" s="2016"/>
      <c r="C16" s="2016"/>
      <c r="D16" s="2016"/>
      <c r="E16" s="2016"/>
      <c r="F16" s="554" t="s">
        <v>396</v>
      </c>
      <c r="G16" s="2019">
        <f>C2</f>
        <v>7889</v>
      </c>
      <c r="H16" s="2019"/>
      <c r="I16" s="2019"/>
      <c r="J16" s="2019"/>
      <c r="K16" s="2019"/>
    </row>
    <row r="17" spans="2:11" ht="18.75" customHeight="1">
      <c r="B17" s="2017"/>
      <c r="C17" s="2017"/>
      <c r="D17" s="2017"/>
      <c r="E17" s="2017"/>
      <c r="F17" s="555" t="s">
        <v>397</v>
      </c>
      <c r="G17" s="541" t="s">
        <v>407</v>
      </c>
      <c r="H17" s="541" t="s">
        <v>1175</v>
      </c>
      <c r="I17" s="555" t="s">
        <v>398</v>
      </c>
      <c r="J17" s="2020">
        <f ca="1">IF('Invoice(EU)'!J17="","",'Invoice(EU)'!J17)</f>
        <v>46111</v>
      </c>
      <c r="K17" s="2020"/>
    </row>
    <row r="18" spans="2:11" ht="18.75" customHeight="1">
      <c r="B18" s="556" t="s">
        <v>384</v>
      </c>
      <c r="C18" s="557" t="str">
        <f>C3</f>
        <v>(SELECT) - 顧客名</v>
      </c>
      <c r="D18" s="558"/>
      <c r="E18" s="559"/>
      <c r="F18" s="560" t="s">
        <v>390</v>
      </c>
      <c r="G18" s="561"/>
      <c r="H18" s="562"/>
      <c r="I18" s="560" t="s">
        <v>393</v>
      </c>
      <c r="J18" s="561"/>
      <c r="K18" s="562"/>
    </row>
    <row r="19" spans="2:11" ht="18.75" customHeight="1">
      <c r="B19" s="538"/>
      <c r="C19" s="563" t="str">
        <f>IFERROR(VLOOKUP(C3,取引先マスタ!C:E,3,FALSE),"")</f>
        <v>ADDRESS 1</v>
      </c>
      <c r="D19" s="493"/>
      <c r="E19" s="494"/>
      <c r="F19" s="489"/>
      <c r="G19" s="490"/>
      <c r="H19" s="491"/>
      <c r="I19" s="489"/>
      <c r="J19" s="490"/>
      <c r="K19" s="491"/>
    </row>
    <row r="20" spans="2:11" ht="18.75" customHeight="1">
      <c r="B20" s="538"/>
      <c r="C20" s="563" t="str">
        <f>IFERROR(VLOOKUP(C3,取引先マスタ!C:F,4,FALSE),"")</f>
        <v>ADDRESS 2</v>
      </c>
      <c r="D20" s="493"/>
      <c r="E20" s="494"/>
      <c r="F20" s="560" t="s">
        <v>391</v>
      </c>
      <c r="G20" s="561"/>
      <c r="H20" s="562"/>
      <c r="I20" s="560" t="s">
        <v>392</v>
      </c>
      <c r="J20" s="561"/>
      <c r="K20" s="562"/>
    </row>
    <row r="21" spans="2:11" ht="18.75" customHeight="1">
      <c r="B21" s="538"/>
      <c r="C21" s="564" t="str">
        <f>IFERROR(IF(VLOOKUP(C3,取引先マスタ!C:G,5,FALSE)=0,"Country: ","Country: "&amp;VLOOKUP(C3,取引先マスタ!C:G,5,FALSE)),"")</f>
        <v>Country: COUNTRY</v>
      </c>
      <c r="D21" s="493" t="str">
        <f>IFERROR(IF(VLOOKUP(C3,取引先マスタ!C:D,2,FALSE)=0,"Zip Code: ","Zip Code: "&amp;VLOOKUP(C3,取引先マスタ!C:D,2,FALSE)),"")</f>
        <v>Zip Code: ZIP CODE</v>
      </c>
      <c r="E21" s="494"/>
      <c r="F21" s="489"/>
      <c r="G21" s="490"/>
      <c r="H21" s="491"/>
      <c r="I21" s="489"/>
      <c r="J21" s="490"/>
      <c r="K21" s="491"/>
    </row>
    <row r="22" spans="2:11" ht="18.75" customHeight="1">
      <c r="B22" s="538"/>
      <c r="C22" s="564" t="str">
        <f>IFERROR(IF(VLOOKUP(C3,取引先マスタ!C:H,6,FALSE)=0,"Tel: ",VLOOKUP(C3,取引先マスタ!C:H,6,FALSE)),"")</f>
        <v>TEL</v>
      </c>
      <c r="D22" s="493" t="str">
        <f>IFERROR(IF(VLOOKUP(C3,取引先マスタ!C:I,7,FALSE)=0,"Attn: ","Attn: "&amp;VLOOKUP(C3,取引先マスタ!C:I,7,FALSE)),"")</f>
        <v>Attn: ATTENTION</v>
      </c>
      <c r="E22" s="494"/>
      <c r="F22" s="560" t="s">
        <v>386</v>
      </c>
      <c r="G22" s="561"/>
      <c r="H22" s="561"/>
      <c r="I22" s="561"/>
      <c r="J22" s="561"/>
      <c r="K22" s="562"/>
    </row>
    <row r="23" spans="2:11" ht="18.75" customHeight="1">
      <c r="B23" s="540"/>
      <c r="C23" s="544"/>
      <c r="D23" s="490"/>
      <c r="E23" s="491"/>
      <c r="F23" s="565" t="s">
        <v>387</v>
      </c>
      <c r="G23" s="492" t="s">
        <v>1188</v>
      </c>
      <c r="H23" s="493"/>
      <c r="I23" s="493"/>
      <c r="J23" s="493"/>
      <c r="K23" s="494"/>
    </row>
    <row r="24" spans="2:11" ht="18.75" customHeight="1">
      <c r="B24" s="556" t="s">
        <v>383</v>
      </c>
      <c r="C24" s="557" t="str">
        <f>C4</f>
        <v>SUN FASHION AMERICA, INC.</v>
      </c>
      <c r="D24" s="558"/>
      <c r="E24" s="559"/>
      <c r="F24" s="565" t="s">
        <v>388</v>
      </c>
      <c r="G24" s="492" t="s">
        <v>1189</v>
      </c>
      <c r="H24" s="493"/>
      <c r="I24" s="493"/>
      <c r="J24" s="493"/>
      <c r="K24" s="494"/>
    </row>
    <row r="25" spans="2:11" ht="18.75" customHeight="1">
      <c r="B25" s="538"/>
      <c r="C25" s="563" t="str">
        <f>IFERROR(VLOOKUP(C4,取引先マスタ!C:E,3,FALSE),"")</f>
        <v>265 West 37th Street 7th Floor</v>
      </c>
      <c r="D25" s="493"/>
      <c r="E25" s="494"/>
      <c r="F25" s="565" t="s">
        <v>345</v>
      </c>
      <c r="G25" s="492" t="s">
        <v>1190</v>
      </c>
      <c r="H25" s="493"/>
      <c r="I25" s="493"/>
      <c r="J25" s="493"/>
      <c r="K25" s="494"/>
    </row>
    <row r="26" spans="2:11" ht="18.75" customHeight="1">
      <c r="B26" s="538"/>
      <c r="C26" s="563" t="str">
        <f>IFERROR(VLOOKUP(C4,取引先マスタ!C:F,4,FALSE),"")</f>
        <v>New York, NY</v>
      </c>
      <c r="D26" s="493"/>
      <c r="E26" s="494"/>
      <c r="F26" s="565" t="s">
        <v>389</v>
      </c>
      <c r="G26" s="492" t="s">
        <v>1191</v>
      </c>
      <c r="H26" s="493"/>
      <c r="I26" s="493"/>
      <c r="J26" s="493"/>
      <c r="K26" s="494"/>
    </row>
    <row r="27" spans="2:11" ht="18.75" customHeight="1">
      <c r="B27" s="538"/>
      <c r="C27" s="564" t="str">
        <f>IFERROR(IF(VLOOKUP(C4,取引先マスタ!C:G,5,FALSE)=0,"Country: ","Country: "&amp;VLOOKUP(C4,取引先マスタ!C:G,5,FALSE)),"")</f>
        <v>Country: U.S.A.</v>
      </c>
      <c r="D27" s="493" t="str">
        <f>IFERROR(IF(VLOOKUP(C4,取引先マスタ!C:D,2,FALSE)=0,"Zip Code: ","Zip Code: "&amp;VLOOKUP(C4,取引先マスタ!C:D,2,FALSE)),"")</f>
        <v>Zip Code: 10018</v>
      </c>
      <c r="E27" s="494"/>
      <c r="F27" s="489" t="s">
        <v>395</v>
      </c>
      <c r="G27" s="495" t="s">
        <v>1192</v>
      </c>
      <c r="H27" s="490"/>
      <c r="I27" s="496" t="s">
        <v>394</v>
      </c>
      <c r="J27" s="496" t="s">
        <v>1193</v>
      </c>
      <c r="K27" s="491"/>
    </row>
    <row r="28" spans="2:11" ht="18.75" customHeight="1">
      <c r="B28" s="538"/>
      <c r="C28" s="564" t="str">
        <f>IFERROR(IF(VLOOKUP(C4,取引先マスタ!C:H,6,FALSE)=0,"Tel: ",VLOOKUP(C4,取引先マスタ!C:H,6,FALSE)),"")</f>
        <v>Tel: 1-845-633-2131</v>
      </c>
      <c r="D28" s="493" t="str">
        <f>IFERROR(IF(VLOOKUP(C4,取引先マスタ!C:I,7,FALSE)=0,"Attn: ","Attn: "&amp;VLOOKUP(C4,取引先マスタ!C:I,7,FALSE)),"")</f>
        <v>Attn: Mie Kobayashi</v>
      </c>
      <c r="E28" s="494"/>
      <c r="F28" s="560" t="s">
        <v>385</v>
      </c>
      <c r="G28" s="561"/>
      <c r="H28" s="561"/>
      <c r="I28" s="561"/>
      <c r="J28" s="561"/>
      <c r="K28" s="562"/>
    </row>
    <row r="29" spans="2:11" ht="18.75" customHeight="1">
      <c r="B29" s="538"/>
      <c r="C29" s="544"/>
      <c r="D29" s="490"/>
      <c r="E29" s="491"/>
      <c r="F29" s="2034" t="s">
        <v>1194</v>
      </c>
      <c r="G29" s="2035"/>
      <c r="H29" s="587"/>
      <c r="I29" s="587"/>
      <c r="J29" s="587"/>
      <c r="K29" s="573"/>
    </row>
    <row r="30" spans="2:11" ht="18.75" customHeight="1">
      <c r="B30" s="560" t="s">
        <v>376</v>
      </c>
      <c r="C30" s="566"/>
      <c r="D30" s="560" t="s">
        <v>377</v>
      </c>
      <c r="E30" s="567"/>
      <c r="F30" s="560" t="s">
        <v>379</v>
      </c>
      <c r="G30" s="568"/>
      <c r="H30" s="566"/>
      <c r="I30" s="560" t="s">
        <v>381</v>
      </c>
      <c r="J30" s="569"/>
      <c r="K30" s="570"/>
    </row>
    <row r="31" spans="2:11" ht="18.75" customHeight="1">
      <c r="B31" s="497" t="str">
        <f>'Invoice(EU)'!B31</f>
        <v>UPS</v>
      </c>
      <c r="C31" s="491"/>
      <c r="D31" s="2037" t="str">
        <f>IF('Invoice(EU)'!D31="","",'Invoice(EU)'!D31)</f>
        <v>Osaka, Japan</v>
      </c>
      <c r="E31" s="2038"/>
      <c r="F31" s="2037">
        <f ca="1">IF('Invoice(EU)'!F31="","",'Invoice(EU)'!F31)</f>
        <v>46111</v>
      </c>
      <c r="G31" s="2039"/>
      <c r="H31" s="2038"/>
      <c r="I31" s="571" t="s">
        <v>401</v>
      </c>
      <c r="J31" s="572" t="str">
        <f>IF('Invoice(EU)'!J31="","",'Invoice(EU)'!J31)</f>
        <v/>
      </c>
      <c r="K31" s="573"/>
    </row>
    <row r="32" spans="2:11" ht="18.75" customHeight="1">
      <c r="B32" s="560" t="s">
        <v>375</v>
      </c>
      <c r="C32" s="566"/>
      <c r="D32" s="560" t="s">
        <v>378</v>
      </c>
      <c r="E32" s="567"/>
      <c r="F32" s="560" t="s">
        <v>380</v>
      </c>
      <c r="G32" s="568"/>
      <c r="H32" s="566"/>
      <c r="I32" s="540"/>
      <c r="J32" s="574" t="str">
        <f>IF('Invoice(EU)'!J32="","",'Invoice(EU)'!J32)</f>
        <v>SHIP VIA DHL A/C : 955665439</v>
      </c>
      <c r="K32" s="543"/>
    </row>
    <row r="33" spans="2:11" ht="18.75" customHeight="1" thickBot="1">
      <c r="B33" s="2023" t="str">
        <f>IF('Invoice(EU)'!B33="","",'Invoice(EU)'!B33)</f>
        <v>Avon, France</v>
      </c>
      <c r="C33" s="2025"/>
      <c r="D33" s="2023" t="str">
        <f>IF('Invoice(EU)'!D33="","",'Invoice(EU)'!D33)</f>
        <v>Avon, France</v>
      </c>
      <c r="E33" s="2025"/>
      <c r="F33" s="2023" t="str">
        <f>IF('Invoice(EU)'!F33="","",'Invoice(EU)'!F33)</f>
        <v>-</v>
      </c>
      <c r="G33" s="2024"/>
      <c r="H33" s="2025"/>
      <c r="I33" s="575" t="s">
        <v>382</v>
      </c>
      <c r="J33" s="2027" t="s">
        <v>1195</v>
      </c>
      <c r="K33" s="2028"/>
    </row>
    <row r="34" spans="2:11" ht="18.75" customHeight="1" thickTop="1">
      <c r="B34" s="2029" t="s">
        <v>369</v>
      </c>
      <c r="C34" s="1994" t="s">
        <v>402</v>
      </c>
      <c r="D34" s="1994"/>
      <c r="E34" s="1994"/>
      <c r="F34" s="1995" t="s">
        <v>403</v>
      </c>
      <c r="G34" s="1996"/>
      <c r="H34" s="1997"/>
      <c r="I34" s="2030" t="s">
        <v>373</v>
      </c>
      <c r="J34" s="2031" t="s">
        <v>374</v>
      </c>
      <c r="K34" s="2036" t="s">
        <v>222</v>
      </c>
    </row>
    <row r="35" spans="2:11" ht="18.75" customHeight="1" thickBot="1">
      <c r="B35" s="1991"/>
      <c r="C35" s="576" t="s">
        <v>225</v>
      </c>
      <c r="D35" s="576" t="s">
        <v>16</v>
      </c>
      <c r="E35" s="577" t="s">
        <v>17</v>
      </c>
      <c r="F35" s="576" t="s">
        <v>370</v>
      </c>
      <c r="G35" s="576" t="s">
        <v>371</v>
      </c>
      <c r="H35" s="576" t="s">
        <v>372</v>
      </c>
      <c r="I35" s="2010"/>
      <c r="J35" s="2008"/>
      <c r="K35" s="2006"/>
    </row>
    <row r="36" spans="2:11" ht="18.75" customHeight="1" thickTop="1">
      <c r="B36" s="498"/>
      <c r="C36" s="499"/>
      <c r="D36" s="500"/>
      <c r="E36" s="501"/>
      <c r="F36" s="502"/>
      <c r="G36" s="503"/>
      <c r="H36" s="502"/>
      <c r="I36" s="588"/>
      <c r="J36" s="501"/>
      <c r="K36" s="504"/>
    </row>
    <row r="37" spans="2:11" ht="18.75" customHeight="1">
      <c r="B37" s="505"/>
      <c r="C37" s="506"/>
      <c r="D37" s="507"/>
      <c r="E37" s="508"/>
      <c r="F37" s="509"/>
      <c r="G37" s="510"/>
      <c r="H37" s="509"/>
      <c r="I37" s="511"/>
      <c r="J37" s="589"/>
      <c r="K37" s="511"/>
    </row>
    <row r="38" spans="2:11" ht="18.75" customHeight="1">
      <c r="B38" s="505"/>
      <c r="C38" s="506"/>
      <c r="D38" s="507"/>
      <c r="E38" s="508"/>
      <c r="F38" s="512"/>
      <c r="G38" s="510"/>
      <c r="H38" s="512"/>
      <c r="I38" s="590"/>
      <c r="J38" s="508"/>
      <c r="K38" s="513"/>
    </row>
    <row r="39" spans="2:11" ht="18.75" customHeight="1">
      <c r="B39" s="505"/>
      <c r="C39" s="506"/>
      <c r="D39" s="507"/>
      <c r="E39" s="508"/>
      <c r="F39" s="512"/>
      <c r="G39" s="510"/>
      <c r="H39" s="512"/>
      <c r="I39" s="511"/>
      <c r="J39" s="589"/>
      <c r="K39" s="511"/>
    </row>
    <row r="40" spans="2:11" ht="18.75" customHeight="1">
      <c r="B40" s="505"/>
      <c r="C40" s="506"/>
      <c r="D40" s="507"/>
      <c r="E40" s="508"/>
      <c r="F40" s="512"/>
      <c r="G40" s="510"/>
      <c r="H40" s="512"/>
      <c r="I40" s="511"/>
      <c r="J40" s="589"/>
      <c r="K40" s="511"/>
    </row>
    <row r="41" spans="2:11" ht="18.75" customHeight="1">
      <c r="B41" s="505"/>
      <c r="C41" s="506"/>
      <c r="D41" s="507"/>
      <c r="E41" s="508"/>
      <c r="F41" s="512"/>
      <c r="G41" s="510"/>
      <c r="H41" s="512"/>
      <c r="I41" s="511"/>
      <c r="J41" s="589"/>
      <c r="K41" s="511"/>
    </row>
    <row r="42" spans="2:11" ht="18.75" customHeight="1">
      <c r="B42" s="505"/>
      <c r="C42" s="506"/>
      <c r="D42" s="514"/>
      <c r="E42" s="515"/>
      <c r="F42" s="512"/>
      <c r="G42" s="510"/>
      <c r="H42" s="516"/>
      <c r="I42" s="511"/>
      <c r="J42" s="589"/>
      <c r="K42" s="513"/>
    </row>
    <row r="43" spans="2:11" ht="18.75" customHeight="1">
      <c r="B43" s="505"/>
      <c r="C43" s="506"/>
      <c r="D43" s="517"/>
      <c r="E43" s="508"/>
      <c r="F43" s="512"/>
      <c r="G43" s="510"/>
      <c r="H43" s="512"/>
      <c r="I43" s="511"/>
      <c r="J43" s="589"/>
      <c r="K43" s="511"/>
    </row>
    <row r="44" spans="2:11" ht="18.75" customHeight="1">
      <c r="B44" s="505"/>
      <c r="C44" s="506"/>
      <c r="D44" s="507"/>
      <c r="E44" s="508"/>
      <c r="F44" s="512"/>
      <c r="G44" s="510"/>
      <c r="H44" s="512"/>
      <c r="I44" s="590"/>
      <c r="J44" s="508"/>
      <c r="K44" s="513"/>
    </row>
    <row r="45" spans="2:11" ht="18.75" customHeight="1">
      <c r="B45" s="505"/>
      <c r="C45" s="506"/>
      <c r="D45" s="507"/>
      <c r="E45" s="508"/>
      <c r="F45" s="509"/>
      <c r="G45" s="510"/>
      <c r="H45" s="509"/>
      <c r="I45" s="511"/>
      <c r="J45" s="589"/>
      <c r="K45" s="511"/>
    </row>
    <row r="46" spans="2:11" ht="18.75" customHeight="1">
      <c r="B46" s="505"/>
      <c r="C46" s="506"/>
      <c r="D46" s="507"/>
      <c r="E46" s="508"/>
      <c r="F46" s="512"/>
      <c r="G46" s="510"/>
      <c r="H46" s="512"/>
      <c r="I46" s="590"/>
      <c r="J46" s="508"/>
      <c r="K46" s="513"/>
    </row>
    <row r="47" spans="2:11" ht="18.75" customHeight="1">
      <c r="B47" s="505"/>
      <c r="C47" s="506"/>
      <c r="D47" s="507"/>
      <c r="E47" s="508"/>
      <c r="F47" s="512"/>
      <c r="G47" s="510"/>
      <c r="H47" s="512"/>
      <c r="I47" s="511"/>
      <c r="J47" s="589"/>
      <c r="K47" s="511"/>
    </row>
    <row r="48" spans="2:11" ht="18.75" customHeight="1">
      <c r="B48" s="505"/>
      <c r="C48" s="506"/>
      <c r="D48" s="507"/>
      <c r="E48" s="508"/>
      <c r="F48" s="512"/>
      <c r="G48" s="510"/>
      <c r="H48" s="512"/>
      <c r="I48" s="511"/>
      <c r="J48" s="589"/>
      <c r="K48" s="511"/>
    </row>
    <row r="49" spans="2:11" ht="18.75" customHeight="1">
      <c r="B49" s="505"/>
      <c r="C49" s="506"/>
      <c r="D49" s="507"/>
      <c r="E49" s="508"/>
      <c r="F49" s="512"/>
      <c r="G49" s="510"/>
      <c r="H49" s="512"/>
      <c r="I49" s="511"/>
      <c r="J49" s="589"/>
      <c r="K49" s="511"/>
    </row>
    <row r="50" spans="2:11" ht="18.75" customHeight="1">
      <c r="B50" s="505"/>
      <c r="C50" s="506"/>
      <c r="D50" s="514"/>
      <c r="E50" s="515"/>
      <c r="F50" s="512"/>
      <c r="G50" s="510"/>
      <c r="H50" s="516"/>
      <c r="I50" s="511"/>
      <c r="J50" s="589"/>
      <c r="K50" s="513"/>
    </row>
    <row r="51" spans="2:11" ht="18.75" customHeight="1">
      <c r="B51" s="505"/>
      <c r="C51" s="506"/>
      <c r="D51" s="508"/>
      <c r="E51" s="515"/>
      <c r="F51" s="519"/>
      <c r="G51" s="519"/>
      <c r="H51" s="519"/>
      <c r="I51" s="511"/>
      <c r="J51" s="508"/>
      <c r="K51" s="513"/>
    </row>
    <row r="52" spans="2:11" ht="18.75" customHeight="1">
      <c r="B52" s="505"/>
      <c r="C52" s="506"/>
      <c r="D52" s="515"/>
      <c r="E52" s="515"/>
      <c r="F52" s="512"/>
      <c r="G52" s="510"/>
      <c r="H52" s="512"/>
      <c r="I52" s="511"/>
      <c r="J52" s="589"/>
      <c r="K52" s="511"/>
    </row>
    <row r="53" spans="2:11" ht="18.75" customHeight="1">
      <c r="B53" s="505"/>
      <c r="C53" s="506"/>
      <c r="D53" s="514"/>
      <c r="E53" s="515"/>
      <c r="F53" s="512"/>
      <c r="G53" s="510"/>
      <c r="H53" s="516"/>
      <c r="I53" s="511"/>
      <c r="J53" s="589"/>
      <c r="K53" s="511"/>
    </row>
    <row r="54" spans="2:11" ht="18.75" customHeight="1">
      <c r="B54" s="505"/>
      <c r="C54" s="506"/>
      <c r="D54" s="515"/>
      <c r="E54" s="515"/>
      <c r="F54" s="516"/>
      <c r="G54" s="518"/>
      <c r="H54" s="519"/>
      <c r="I54" s="511"/>
      <c r="J54" s="508"/>
      <c r="K54" s="513"/>
    </row>
    <row r="55" spans="2:11" ht="18.75" customHeight="1">
      <c r="B55" s="505"/>
      <c r="C55" s="506"/>
      <c r="D55" s="515"/>
      <c r="E55" s="515"/>
      <c r="F55" s="519"/>
      <c r="G55" s="519"/>
      <c r="H55" s="519"/>
      <c r="I55" s="511"/>
      <c r="J55" s="508"/>
      <c r="K55" s="513"/>
    </row>
    <row r="56" spans="2:11" ht="18.75" customHeight="1">
      <c r="B56" s="505"/>
      <c r="C56" s="506"/>
      <c r="D56" s="515"/>
      <c r="E56" s="515"/>
      <c r="F56" s="520"/>
      <c r="G56" s="520"/>
      <c r="H56" s="521"/>
      <c r="I56" s="511"/>
      <c r="J56" s="589"/>
      <c r="K56" s="511"/>
    </row>
    <row r="57" spans="2:11" ht="18.75" customHeight="1">
      <c r="B57" s="522"/>
      <c r="C57" s="506"/>
      <c r="D57" s="508"/>
      <c r="E57" s="508"/>
      <c r="F57" s="508"/>
      <c r="G57" s="508"/>
      <c r="H57" s="508"/>
      <c r="I57" s="523"/>
      <c r="J57" s="523"/>
      <c r="K57" s="508"/>
    </row>
    <row r="58" spans="2:11" ht="18.75" customHeight="1">
      <c r="B58" s="522"/>
      <c r="C58" s="506"/>
      <c r="D58" s="508"/>
      <c r="E58" s="508"/>
      <c r="F58" s="508"/>
      <c r="G58" s="508"/>
      <c r="H58" s="508"/>
      <c r="I58" s="523"/>
      <c r="J58" s="523"/>
      <c r="K58" s="508"/>
    </row>
    <row r="59" spans="2:11" ht="18.75" customHeight="1">
      <c r="B59" s="522"/>
      <c r="C59" s="506"/>
      <c r="D59" s="508"/>
      <c r="E59" s="508"/>
      <c r="F59" s="508"/>
      <c r="G59" s="508"/>
      <c r="H59" s="508"/>
      <c r="I59" s="523"/>
      <c r="J59" s="523"/>
      <c r="K59" s="508"/>
    </row>
    <row r="60" spans="2:11" ht="18.75" customHeight="1">
      <c r="B60" s="522"/>
      <c r="C60" s="506"/>
      <c r="D60" s="508"/>
      <c r="E60" s="508"/>
      <c r="F60" s="508"/>
      <c r="G60" s="508"/>
      <c r="H60" s="508"/>
      <c r="I60" s="523"/>
      <c r="J60" s="523"/>
      <c r="K60" s="508"/>
    </row>
    <row r="61" spans="2:11" ht="18.75" customHeight="1">
      <c r="B61" s="522"/>
      <c r="C61" s="506"/>
      <c r="D61" s="508"/>
      <c r="E61" s="508"/>
      <c r="F61" s="508"/>
      <c r="G61" s="508"/>
      <c r="H61" s="508"/>
      <c r="I61" s="523"/>
      <c r="J61" s="523"/>
      <c r="K61" s="508"/>
    </row>
    <row r="62" spans="2:11" ht="18.75" customHeight="1">
      <c r="B62" s="522"/>
      <c r="C62" s="506"/>
      <c r="D62" s="508"/>
      <c r="E62" s="508"/>
      <c r="F62" s="508"/>
      <c r="G62" s="508"/>
      <c r="H62" s="508"/>
      <c r="I62" s="523"/>
      <c r="J62" s="523"/>
      <c r="K62" s="508"/>
    </row>
    <row r="63" spans="2:11" ht="18.75" customHeight="1">
      <c r="B63" s="522"/>
      <c r="C63" s="506"/>
      <c r="D63" s="508"/>
      <c r="E63" s="508"/>
      <c r="F63" s="508"/>
      <c r="G63" s="508"/>
      <c r="H63" s="508"/>
      <c r="I63" s="523"/>
      <c r="J63" s="523"/>
      <c r="K63" s="508"/>
    </row>
    <row r="64" spans="2:11" ht="18.75" customHeight="1">
      <c r="B64" s="522"/>
      <c r="C64" s="506"/>
      <c r="D64" s="508"/>
      <c r="E64" s="508"/>
      <c r="F64" s="508"/>
      <c r="G64" s="508"/>
      <c r="H64" s="508"/>
      <c r="I64" s="523"/>
      <c r="J64" s="523"/>
      <c r="K64" s="508"/>
    </row>
    <row r="65" spans="2:11" ht="18.75" customHeight="1">
      <c r="B65" s="522"/>
      <c r="C65" s="506"/>
      <c r="D65" s="508"/>
      <c r="E65" s="508"/>
      <c r="F65" s="508"/>
      <c r="G65" s="508"/>
      <c r="H65" s="508"/>
      <c r="I65" s="523"/>
      <c r="J65" s="523"/>
      <c r="K65" s="508"/>
    </row>
    <row r="66" spans="2:11" ht="18.75" customHeight="1">
      <c r="B66" s="522"/>
      <c r="C66" s="506"/>
      <c r="D66" s="508"/>
      <c r="E66" s="508"/>
      <c r="F66" s="508"/>
      <c r="G66" s="508"/>
      <c r="H66" s="508"/>
      <c r="I66" s="523"/>
      <c r="J66" s="523"/>
      <c r="K66" s="508"/>
    </row>
    <row r="67" spans="2:11" ht="18.75" customHeight="1">
      <c r="B67" s="522"/>
      <c r="C67" s="506"/>
      <c r="D67" s="508"/>
      <c r="E67" s="508"/>
      <c r="F67" s="508"/>
      <c r="G67" s="508"/>
      <c r="H67" s="508"/>
      <c r="I67" s="523"/>
      <c r="J67" s="523"/>
      <c r="K67" s="508"/>
    </row>
    <row r="68" spans="2:11" ht="18.75" customHeight="1">
      <c r="B68" s="522"/>
      <c r="C68" s="506"/>
      <c r="D68" s="508"/>
      <c r="E68" s="508"/>
      <c r="F68" s="508"/>
      <c r="G68" s="508"/>
      <c r="H68" s="508"/>
      <c r="I68" s="523"/>
      <c r="J68" s="523"/>
      <c r="K68" s="508"/>
    </row>
    <row r="69" spans="2:11" ht="18.75" customHeight="1">
      <c r="B69" s="522"/>
      <c r="C69" s="506"/>
      <c r="D69" s="508"/>
      <c r="E69" s="508"/>
      <c r="F69" s="508"/>
      <c r="G69" s="508"/>
      <c r="H69" s="508"/>
      <c r="I69" s="523"/>
      <c r="J69" s="523"/>
      <c r="K69" s="508"/>
    </row>
    <row r="70" spans="2:11" ht="18.75" customHeight="1">
      <c r="B70" s="522"/>
      <c r="C70" s="506"/>
      <c r="D70" s="508"/>
      <c r="E70" s="508"/>
      <c r="F70" s="508"/>
      <c r="G70" s="508"/>
      <c r="H70" s="508"/>
      <c r="I70" s="523"/>
      <c r="J70" s="523"/>
      <c r="K70" s="508"/>
    </row>
    <row r="71" spans="2:11" ht="18.75" customHeight="1">
      <c r="B71" s="524"/>
      <c r="C71" s="525"/>
      <c r="D71" s="526"/>
      <c r="E71" s="526"/>
      <c r="F71" s="526"/>
      <c r="G71" s="526"/>
      <c r="H71" s="526"/>
      <c r="I71" s="527"/>
      <c r="J71" s="527"/>
      <c r="K71" s="526"/>
    </row>
    <row r="72" spans="2:11" ht="18.75" customHeight="1">
      <c r="G72" s="582"/>
      <c r="H72" s="528" t="s">
        <v>1178</v>
      </c>
      <c r="I72" s="529" t="s">
        <v>224</v>
      </c>
      <c r="J72" s="530">
        <f>IFERROR(SUMIF(K36:K71,I72,J36:J71),"")</f>
        <v>0</v>
      </c>
    </row>
    <row r="73" spans="2:11" ht="18.75" customHeight="1">
      <c r="B73" s="583" t="s">
        <v>359</v>
      </c>
      <c r="D73" s="555" t="s">
        <v>405</v>
      </c>
      <c r="G73" s="582"/>
      <c r="H73" s="531" t="str">
        <f t="array" ref="H73">IF(OR(SUMPRODUCT((K36:K71&lt;&gt;"")/COUNTIF(K36:K71,K36:K71&amp;""))=1,SUMPRODUCT((K36:K71&lt;&gt;"")/COUNTIF(K36:K71,K36:K71&amp;""))=0),"","Made In")</f>
        <v/>
      </c>
      <c r="I73" s="494"/>
      <c r="J73" s="523" t="str">
        <f>IFERROR(IF(I73="","",SUMIF(K36:K71,I73,J36:J71)),"")</f>
        <v/>
      </c>
    </row>
    <row r="74" spans="2:11" ht="18.75" customHeight="1">
      <c r="B74" s="584" t="s">
        <v>360</v>
      </c>
      <c r="D74" s="585" t="s">
        <v>408</v>
      </c>
      <c r="G74" s="582"/>
      <c r="H74" s="532" t="str">
        <f t="array" ref="H74">IF(SUMPRODUCT((K36:K71&lt;&gt;"")/COUNTIF(K36:K71,K36:K71&amp;""))&lt;&gt;3,"","Made In")</f>
        <v/>
      </c>
      <c r="I74" s="491"/>
      <c r="J74" s="527" t="str">
        <f>IFERROR(IF(I74="","",SUMIF(K37:K72,I74,J37:J72)),"")</f>
        <v/>
      </c>
    </row>
    <row r="75" spans="2:11" ht="18.75" customHeight="1" thickBot="1">
      <c r="B75" s="584" t="s">
        <v>361</v>
      </c>
      <c r="D75" s="582" t="s">
        <v>406</v>
      </c>
      <c r="H75" s="1989" t="s">
        <v>1172</v>
      </c>
      <c r="I75" s="1989"/>
      <c r="J75" s="533"/>
    </row>
    <row r="76" spans="2:11" ht="18.75" customHeight="1" thickBot="1">
      <c r="B76" s="584" t="s">
        <v>362</v>
      </c>
      <c r="D76" s="582" t="s">
        <v>1045</v>
      </c>
      <c r="H76" s="2032" t="s">
        <v>404</v>
      </c>
      <c r="I76" s="2033"/>
      <c r="J76" s="586">
        <f>SUM(J72:J75)</f>
        <v>0</v>
      </c>
    </row>
    <row r="77" spans="2:11" ht="18.75" customHeight="1">
      <c r="B77" s="584" t="s">
        <v>363</v>
      </c>
    </row>
    <row r="79" spans="2:11" ht="18.75" customHeight="1">
      <c r="B79" s="584" t="s">
        <v>1046</v>
      </c>
      <c r="H79" s="583" t="s">
        <v>1176</v>
      </c>
    </row>
    <row r="80" spans="2:11" ht="18.75" customHeight="1">
      <c r="B80" s="534"/>
      <c r="C80" s="535"/>
      <c r="D80" s="535"/>
      <c r="E80" s="536"/>
      <c r="F80" s="537"/>
    </row>
    <row r="81" spans="2:11" ht="18.75" customHeight="1">
      <c r="B81" s="538"/>
      <c r="F81" s="539"/>
    </row>
    <row r="82" spans="2:11" ht="18.75" customHeight="1">
      <c r="B82" s="538"/>
      <c r="F82" s="539"/>
    </row>
    <row r="83" spans="2:11" ht="18.75" customHeight="1">
      <c r="B83" s="540"/>
      <c r="C83" s="541"/>
      <c r="D83" s="541"/>
      <c r="E83" s="542"/>
      <c r="F83" s="543"/>
      <c r="H83" s="541"/>
      <c r="I83" s="541"/>
      <c r="J83" s="541"/>
      <c r="K83" s="541"/>
    </row>
  </sheetData>
  <mergeCells count="21">
    <mergeCell ref="H75:I75"/>
    <mergeCell ref="H76:I76"/>
    <mergeCell ref="F29:G29"/>
    <mergeCell ref="K34:K35"/>
    <mergeCell ref="D31:E31"/>
    <mergeCell ref="F31:H31"/>
    <mergeCell ref="B33:C33"/>
    <mergeCell ref="D33:E33"/>
    <mergeCell ref="F33:H33"/>
    <mergeCell ref="J33:K33"/>
    <mergeCell ref="B34:B35"/>
    <mergeCell ref="C34:E34"/>
    <mergeCell ref="F34:H34"/>
    <mergeCell ref="I34:I35"/>
    <mergeCell ref="J34:J35"/>
    <mergeCell ref="C4:E4"/>
    <mergeCell ref="C3:E3"/>
    <mergeCell ref="B14:E17"/>
    <mergeCell ref="F14:K15"/>
    <mergeCell ref="G16:K16"/>
    <mergeCell ref="J17:K17"/>
  </mergeCells>
  <phoneticPr fontId="4"/>
  <conditionalFormatting sqref="B31">
    <cfRule type="expression" dxfId="49" priority="10" stopIfTrue="1">
      <formula>$B$31="(SELECT)"</formula>
    </cfRule>
  </conditionalFormatting>
  <conditionalFormatting sqref="J33:K33 B33:H33 D31:H31 C34 F34">
    <cfRule type="containsBlanks" dxfId="48" priority="13" stopIfTrue="1">
      <formula>LEN(TRIM(B31))=0</formula>
    </cfRule>
  </conditionalFormatting>
  <conditionalFormatting sqref="C31">
    <cfRule type="expression" dxfId="47" priority="6" stopIfTrue="1">
      <formula>$B$31="Vessel"</formula>
    </cfRule>
    <cfRule type="expression" dxfId="46" priority="7" stopIfTrue="1">
      <formula>$B$31="AIR"</formula>
    </cfRule>
    <cfRule type="expression" dxfId="45" priority="8" stopIfTrue="1">
      <formula>$B$31="Other"</formula>
    </cfRule>
  </conditionalFormatting>
  <conditionalFormatting sqref="C36:K71">
    <cfRule type="expression" dxfId="44" priority="5" stopIfTrue="1">
      <formula>COUNTIF($I36,"*per*")</formula>
    </cfRule>
  </conditionalFormatting>
  <dataValidations count="1">
    <dataValidation type="list" allowBlank="1" showInputMessage="1" showErrorMessage="1" sqref="B31" xr:uid="{00000000-0002-0000-0300-000001000000}">
      <formula1>"(SELECT),FedEx,UPS,DHL,Other,Vessel,AIR"</formula1>
    </dataValidation>
  </dataValidations>
  <printOptions horizontalCentered="1"/>
  <pageMargins left="0.19685039370078741" right="0.19685039370078741" top="0.39370078740157483" bottom="0.39370078740157483" header="0.31496062992125984" footer="0.31496062992125984"/>
  <pageSetup paperSize="9" scale="6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5" r:id="rId4" name="Option Button 3">
              <controlPr defaultSize="0" autoFill="0" autoLine="0" autoPict="0">
                <anchor moveWithCells="1">
                  <from>
                    <xdr:col>6</xdr:col>
                    <xdr:colOff>9525</xdr:colOff>
                    <xdr:row>15</xdr:row>
                    <xdr:rowOff>228600</xdr:rowOff>
                  </from>
                  <to>
                    <xdr:col>6</xdr:col>
                    <xdr:colOff>314325</xdr:colOff>
                    <xdr:row>17</xdr:row>
                    <xdr:rowOff>0</xdr:rowOff>
                  </to>
                </anchor>
              </controlPr>
            </control>
          </mc:Choice>
        </mc:AlternateContent>
        <mc:AlternateContent xmlns:mc="http://schemas.openxmlformats.org/markup-compatibility/2006">
          <mc:Choice Requires="x14">
            <control shapeId="18436" r:id="rId5" name="Option Button 4">
              <controlPr defaultSize="0" autoFill="0" autoLine="0" autoPict="0">
                <anchor moveWithCells="1">
                  <from>
                    <xdr:col>6</xdr:col>
                    <xdr:colOff>914400</xdr:colOff>
                    <xdr:row>15</xdr:row>
                    <xdr:rowOff>228600</xdr:rowOff>
                  </from>
                  <to>
                    <xdr:col>7</xdr:col>
                    <xdr:colOff>276225</xdr:colOff>
                    <xdr:row>17</xdr:row>
                    <xdr:rowOff>0</xdr:rowOff>
                  </to>
                </anchor>
              </controlPr>
            </control>
          </mc:Choice>
        </mc:AlternateContent>
        <mc:AlternateContent xmlns:mc="http://schemas.openxmlformats.org/markup-compatibility/2006">
          <mc:Choice Requires="x14">
            <control shapeId="18437" r:id="rId6" name="Button 5">
              <controlPr defaultSize="0" print="0" autoFill="0" autoPict="0" macro="[0]!DataCopy_Invoice_SFAmerica">
                <anchor moveWithCells="1" sizeWithCells="1">
                  <from>
                    <xdr:col>3</xdr:col>
                    <xdr:colOff>66675</xdr:colOff>
                    <xdr:row>4</xdr:row>
                    <xdr:rowOff>66675</xdr:rowOff>
                  </from>
                  <to>
                    <xdr:col>3</xdr:col>
                    <xdr:colOff>914400</xdr:colOff>
                    <xdr:row>6</xdr:row>
                    <xdr:rowOff>180975</xdr:rowOff>
                  </to>
                </anchor>
              </controlPr>
            </control>
          </mc:Choice>
        </mc:AlternateContent>
        <mc:AlternateContent xmlns:mc="http://schemas.openxmlformats.org/markup-compatibility/2006">
          <mc:Choice Requires="x14">
            <control shapeId="18438" r:id="rId7" name="Button 6">
              <controlPr defaultSize="0" print="0" autoFill="0" autoPict="0" macro="[0]!DataCopy_Invoice_SFOsaka">
                <anchor moveWithCells="1" sizeWithCells="1">
                  <from>
                    <xdr:col>4</xdr:col>
                    <xdr:colOff>66675</xdr:colOff>
                    <xdr:row>4</xdr:row>
                    <xdr:rowOff>66675</xdr:rowOff>
                  </from>
                  <to>
                    <xdr:col>4</xdr:col>
                    <xdr:colOff>914400</xdr:colOff>
                    <xdr:row>6</xdr:row>
                    <xdr:rowOff>180975</xdr:rowOff>
                  </to>
                </anchor>
              </controlPr>
            </control>
          </mc:Choice>
        </mc:AlternateContent>
        <mc:AlternateContent xmlns:mc="http://schemas.openxmlformats.org/markup-compatibility/2006">
          <mc:Choice Requires="x14">
            <control shapeId="18440" r:id="rId8" name="Button 8">
              <controlPr defaultSize="0" print="0" autoFill="0" autoPict="0" macro="[0]!INVOICE明細クリア">
                <anchor moveWithCells="1" sizeWithCells="1">
                  <from>
                    <xdr:col>4</xdr:col>
                    <xdr:colOff>1000125</xdr:colOff>
                    <xdr:row>4</xdr:row>
                    <xdr:rowOff>66675</xdr:rowOff>
                  </from>
                  <to>
                    <xdr:col>4</xdr:col>
                    <xdr:colOff>1847850</xdr:colOff>
                    <xdr:row>6</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8579FC8-0D16-496A-A644-5AE2F2DD5362}">
          <x14:formula1>
            <xm:f>取引先マスタ!$C:$C</xm:f>
          </x14:formula1>
          <xm:sqref>C3:E4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N75"/>
  <sheetViews>
    <sheetView showGridLines="0" zoomScale="85" zoomScaleNormal="85" zoomScaleSheetLayoutView="85" workbookViewId="0">
      <selection activeCell="I67" sqref="I67"/>
    </sheetView>
  </sheetViews>
  <sheetFormatPr defaultColWidth="9" defaultRowHeight="13.5" outlineLevelRow="1"/>
  <cols>
    <col min="1" max="1" width="16.75" style="425" customWidth="1"/>
    <col min="2" max="2" width="12.5" style="421" customWidth="1"/>
    <col min="3" max="3" width="22.5" style="421" customWidth="1"/>
    <col min="4" max="4" width="12.5" style="421" customWidth="1"/>
    <col min="5" max="5" width="25" style="421" customWidth="1"/>
    <col min="6" max="10" width="12.5" style="421" customWidth="1"/>
    <col min="11" max="13" width="22.5" style="421" customWidth="1"/>
    <col min="14" max="16384" width="9" style="421"/>
  </cols>
  <sheetData>
    <row r="1" spans="1:13" ht="14.25" thickBot="1">
      <c r="H1" s="545"/>
    </row>
    <row r="2" spans="1:13">
      <c r="A2" s="545" t="s">
        <v>3499</v>
      </c>
      <c r="B2" s="1365" t="s">
        <v>1744</v>
      </c>
      <c r="C2" s="1372" t="s">
        <v>5186</v>
      </c>
      <c r="D2" s="2003" t="s">
        <v>3509</v>
      </c>
      <c r="E2" s="2004"/>
      <c r="F2" s="545" t="s">
        <v>3522</v>
      </c>
      <c r="J2" s="545" t="s">
        <v>3523</v>
      </c>
    </row>
    <row r="3" spans="1:13">
      <c r="A3" s="545" t="s">
        <v>3550</v>
      </c>
      <c r="B3" s="1366" t="s">
        <v>1793</v>
      </c>
      <c r="C3" s="1373">
        <v>312</v>
      </c>
      <c r="D3" s="1366" t="s">
        <v>1201</v>
      </c>
      <c r="E3" s="1473" t="s">
        <v>3697</v>
      </c>
    </row>
    <row r="4" spans="1:13">
      <c r="A4" s="545" t="s">
        <v>3518</v>
      </c>
      <c r="B4" s="1366" t="s">
        <v>1746</v>
      </c>
      <c r="C4" s="1373">
        <v>2124</v>
      </c>
      <c r="D4" s="1368" t="s">
        <v>1201</v>
      </c>
      <c r="E4" s="1370">
        <f>MATCH(TEXT(E3,"@"),'EU BackOrder'!C:C,0)</f>
        <v>1366</v>
      </c>
    </row>
    <row r="5" spans="1:13" ht="14.25" thickBot="1">
      <c r="A5" s="545" t="s">
        <v>3502</v>
      </c>
      <c r="B5" s="1366" t="s">
        <v>1747</v>
      </c>
      <c r="C5" s="1373">
        <v>2124</v>
      </c>
      <c r="D5" s="1369" t="s">
        <v>1745</v>
      </c>
      <c r="E5" s="1371">
        <f>E4+COUNTIF('EU BackOrder'!C:C,E3)-2</f>
        <v>1371</v>
      </c>
    </row>
    <row r="6" spans="1:13" ht="14.25" thickBot="1">
      <c r="A6" s="545" t="s">
        <v>3503</v>
      </c>
      <c r="B6" s="1367" t="s">
        <v>1788</v>
      </c>
      <c r="C6" s="1374">
        <v>40</v>
      </c>
      <c r="D6" s="425"/>
    </row>
    <row r="7" spans="1:13" outlineLevel="1">
      <c r="A7" s="2000" t="s">
        <v>3517</v>
      </c>
      <c r="B7" s="1363" t="s">
        <v>1748</v>
      </c>
      <c r="C7" s="1364">
        <f>C5-C4+C6</f>
        <v>40</v>
      </c>
      <c r="D7" s="1357" t="s">
        <v>1742</v>
      </c>
      <c r="E7" s="1358" t="str">
        <f>"(発注書) "&amp;C3&amp;" ("&amp;C2&amp;")"</f>
        <v>(発注書) 312 (二渡レース株式会社)</v>
      </c>
    </row>
    <row r="8" spans="1:13" outlineLevel="1">
      <c r="A8" s="2001"/>
      <c r="B8" s="1359" t="s">
        <v>1786</v>
      </c>
      <c r="C8" s="1355">
        <v>38</v>
      </c>
      <c r="D8" s="1351" t="s">
        <v>3493</v>
      </c>
      <c r="E8" s="1360" t="str">
        <f t="array" aca="1" ref="E8" ca="1">RIGHT(CELL("filename",A1),LEN(CELL("filename",A1))-FIND("]",CELL("filename",A1)))</f>
        <v>発注書</v>
      </c>
    </row>
    <row r="9" spans="1:13" outlineLevel="1">
      <c r="A9" s="2001"/>
      <c r="B9" s="1359" t="s">
        <v>1787</v>
      </c>
      <c r="C9" s="1355">
        <f>E11-1</f>
        <v>62</v>
      </c>
      <c r="D9" s="1351" t="s">
        <v>3492</v>
      </c>
      <c r="E9" s="1360" t="str">
        <f ca="1">'Invoice(EU)'!E11</f>
        <v>EU BackOrder</v>
      </c>
    </row>
    <row r="10" spans="1:13" outlineLevel="1">
      <c r="A10" s="2001"/>
      <c r="B10" s="1359" t="s">
        <v>1789</v>
      </c>
      <c r="C10" s="1356">
        <f>C9+3</f>
        <v>65</v>
      </c>
      <c r="D10" s="1351" t="s">
        <v>3508</v>
      </c>
      <c r="E10" s="1360" t="str">
        <f ca="1">LEFT(MID(CELL("filename",A1),10,99),FIND("B",MID(CELL("filename",A1),10,99))-2)</f>
        <v>chiba</v>
      </c>
    </row>
    <row r="11" spans="1:13" outlineLevel="1">
      <c r="A11" s="2001"/>
      <c r="B11" s="1359" t="s">
        <v>1790</v>
      </c>
      <c r="C11" s="1356">
        <f>C10+4</f>
        <v>69</v>
      </c>
      <c r="D11" s="1351" t="s">
        <v>3519</v>
      </c>
      <c r="E11" s="1352">
        <f>ROW(N63)</f>
        <v>63</v>
      </c>
    </row>
    <row r="12" spans="1:13" outlineLevel="1">
      <c r="A12" s="2001"/>
      <c r="B12" s="1359" t="s">
        <v>1791</v>
      </c>
      <c r="C12" s="1356">
        <f>C10</f>
        <v>65</v>
      </c>
      <c r="D12" s="1351" t="s">
        <v>3520</v>
      </c>
      <c r="E12" s="1353"/>
    </row>
    <row r="13" spans="1:13" ht="14.25" outlineLevel="1" thickBot="1">
      <c r="A13" s="2002"/>
      <c r="B13" s="1361" t="s">
        <v>1792</v>
      </c>
      <c r="C13" s="1362">
        <f>C11</f>
        <v>69</v>
      </c>
      <c r="D13" s="1354" t="s">
        <v>3521</v>
      </c>
      <c r="E13" s="1341"/>
    </row>
    <row r="14" spans="1:13">
      <c r="A14" s="436"/>
      <c r="B14" s="436"/>
      <c r="C14" s="436"/>
      <c r="D14" s="470"/>
      <c r="E14" s="471"/>
      <c r="F14" s="436"/>
      <c r="G14" s="436"/>
      <c r="H14" s="436"/>
      <c r="I14" s="436"/>
      <c r="J14" s="436"/>
      <c r="K14" s="436"/>
      <c r="L14" s="436"/>
      <c r="M14" s="436"/>
    </row>
    <row r="15" spans="1:13">
      <c r="A15" s="421"/>
      <c r="E15" s="426"/>
    </row>
    <row r="16" spans="1:13">
      <c r="A16" s="428" t="s">
        <v>1749</v>
      </c>
      <c r="B16" s="429" t="s">
        <v>1750</v>
      </c>
      <c r="C16" s="430"/>
      <c r="E16" s="426"/>
    </row>
    <row r="17" spans="1:13">
      <c r="A17" s="425" t="s">
        <v>1751</v>
      </c>
      <c r="B17" s="421" t="s">
        <v>1752</v>
      </c>
    </row>
    <row r="18" spans="1:13">
      <c r="A18" s="425" t="s">
        <v>1753</v>
      </c>
      <c r="B18" s="421" t="str">
        <f ca="1">IF(J18="","上記商品、"&amp;TEXT(F18,"mm/dd")&amp;"出荷、"&amp;TEXT(H18,"mm/dd")&amp;"必着でお手配お願い致します。","上記商品、"&amp;TEXT(F18,"mm/dd")&amp;"出荷、"&amp;TEXT(H18,"mm/dd")&amp;J18&amp;"必着でお手配お願い致します。")</f>
        <v>上記商品、03/30出荷、02/27AM必着でお手配お願い致します。</v>
      </c>
      <c r="E18" s="431" t="s">
        <v>1754</v>
      </c>
      <c r="F18" s="432">
        <f ca="1">TODAY()</f>
        <v>46111</v>
      </c>
      <c r="G18" s="431" t="s">
        <v>1755</v>
      </c>
      <c r="H18" s="432">
        <v>44984</v>
      </c>
      <c r="I18" s="431" t="s">
        <v>1756</v>
      </c>
      <c r="J18" s="433" t="s">
        <v>1200</v>
      </c>
    </row>
    <row r="19" spans="1:13">
      <c r="A19" s="425" t="s">
        <v>1757</v>
      </c>
      <c r="B19" s="421" t="str">
        <f>IF(F19="","上記商品、最短納期でお手配お願い致します。","上記商品、最短納期でお手配お願い致します。 ("&amp;F19&amp;")")</f>
        <v>上記商品、最短納期でお手配お願い致します。 (1月下旬)</v>
      </c>
      <c r="E19" s="431" t="s">
        <v>1758</v>
      </c>
      <c r="F19" s="434" t="s">
        <v>1759</v>
      </c>
    </row>
    <row r="20" spans="1:13">
      <c r="A20" s="425" t="s">
        <v>1760</v>
      </c>
      <c r="B20" s="421" t="str">
        <f>"上記商品、"&amp;F20&amp;"にて出荷をお願い致します。"</f>
        <v>上記商品、ヤマト便にて出荷をお願い致します。</v>
      </c>
      <c r="E20" s="431" t="s">
        <v>1761</v>
      </c>
      <c r="F20" s="433" t="s">
        <v>1762</v>
      </c>
    </row>
    <row r="21" spans="1:13">
      <c r="A21" s="425" t="s">
        <v>1763</v>
      </c>
      <c r="B21" s="421" t="s">
        <v>1764</v>
      </c>
    </row>
    <row r="22" spans="1:13">
      <c r="A22" s="425" t="s">
        <v>1765</v>
      </c>
      <c r="B22" s="421" t="s">
        <v>1766</v>
      </c>
    </row>
    <row r="23" spans="1:13">
      <c r="A23" s="425" t="s">
        <v>1767</v>
      </c>
      <c r="B23" s="421" t="s">
        <v>1768</v>
      </c>
    </row>
    <row r="24" spans="1:13">
      <c r="A24" s="425" t="s">
        <v>1769</v>
      </c>
      <c r="B24" s="421" t="s">
        <v>1770</v>
      </c>
    </row>
    <row r="25" spans="1:13">
      <c r="A25" s="425" t="s">
        <v>1771</v>
      </c>
      <c r="B25" s="421" t="str">
        <f>"上記商品、"&amp;F25&amp;"でお手配お願い致します。"</f>
        <v>上記商品、あいうえおでお手配お願い致します。</v>
      </c>
      <c r="E25" s="431" t="s">
        <v>1772</v>
      </c>
      <c r="F25" s="433" t="s">
        <v>1773</v>
      </c>
      <c r="G25" s="433"/>
      <c r="H25" s="433"/>
      <c r="I25" s="433"/>
      <c r="J25" s="433"/>
    </row>
    <row r="26" spans="1:13">
      <c r="A26" s="435"/>
      <c r="B26" s="436"/>
      <c r="C26" s="436"/>
      <c r="D26" s="436"/>
      <c r="E26" s="436"/>
      <c r="F26" s="436"/>
      <c r="G26" s="436"/>
      <c r="H26" s="436"/>
      <c r="I26" s="436"/>
      <c r="J26" s="436"/>
      <c r="K26" s="436"/>
      <c r="L26" s="436"/>
      <c r="M26" s="436"/>
    </row>
    <row r="27" spans="1:13" ht="14.25" thickBot="1"/>
    <row r="28" spans="1:13" ht="17.25">
      <c r="G28" s="2045" t="s">
        <v>1774</v>
      </c>
      <c r="H28" s="2045"/>
      <c r="I28" s="2045"/>
      <c r="L28" s="437" t="s">
        <v>1199</v>
      </c>
      <c r="M28" s="1376">
        <f>C3</f>
        <v>312</v>
      </c>
    </row>
    <row r="29" spans="1:13" ht="18" thickBot="1">
      <c r="G29" s="2045"/>
      <c r="H29" s="2045"/>
      <c r="I29" s="2045"/>
      <c r="L29" s="438" t="s">
        <v>1775</v>
      </c>
      <c r="M29" s="1375">
        <f ca="1">TODAY()</f>
        <v>46111</v>
      </c>
    </row>
    <row r="30" spans="1:13" ht="5.25" customHeight="1">
      <c r="L30" s="431"/>
      <c r="M30" s="439"/>
    </row>
    <row r="31" spans="1:13" ht="18.75">
      <c r="B31" s="431" t="s">
        <v>1776</v>
      </c>
      <c r="C31" s="420" t="str">
        <f>C2</f>
        <v>二渡レース株式会社</v>
      </c>
      <c r="L31" s="2044" t="s">
        <v>1777</v>
      </c>
      <c r="M31" s="2044"/>
    </row>
    <row r="32" spans="1:13">
      <c r="B32" s="431" t="s">
        <v>1778</v>
      </c>
      <c r="C32" s="421" t="str">
        <f>IFERROR(IF(VLOOKUP(C2,仕入先マスタ!B:C,2,FALSE)="",VLOOKUP(C2,仕入先マスタ!B:D,3,FALSE)&amp;" "&amp;VLOOKUP(C2,仕入先マスタ!B:E,4,FALSE),"〒"&amp;VLOOKUP(C2,仕入先マスタ!B:C,2,FALSE)&amp;" "&amp;VLOOKUP(C2,仕入先マスタ!B:D,3,FALSE)&amp;" "&amp;VLOOKUP(C2,仕入先マスタ!B:E,4,FALSE)),"")</f>
        <v xml:space="preserve">〒326-0141 栃木県足利市小俣町1462-5 </v>
      </c>
      <c r="L32" s="2043" t="s">
        <v>1779</v>
      </c>
      <c r="M32" s="2043"/>
    </row>
    <row r="33" spans="1:13">
      <c r="B33" s="431" t="s">
        <v>1784</v>
      </c>
      <c r="C33" s="421" t="str">
        <f>IFERROR(IF(VLOOKUP(C2,仕入先マスタ!B:F,5,FALSE)="","",VLOOKUP(C2,仕入先マスタ!B:F,5,FALSE)),"")</f>
        <v>0284-62-2129</v>
      </c>
      <c r="L33" s="430" t="s">
        <v>1780</v>
      </c>
      <c r="M33" s="430" t="s">
        <v>1197</v>
      </c>
    </row>
    <row r="34" spans="1:13">
      <c r="B34" s="431" t="s">
        <v>1781</v>
      </c>
      <c r="L34" s="431" t="s">
        <v>1781</v>
      </c>
      <c r="M34" s="430" t="s">
        <v>1782</v>
      </c>
    </row>
    <row r="35" spans="1:13">
      <c r="B35" s="431" t="s">
        <v>1783</v>
      </c>
      <c r="D35" s="474"/>
      <c r="F35" s="475"/>
      <c r="G35" s="476"/>
      <c r="H35" s="475"/>
      <c r="L35" s="431"/>
      <c r="M35" s="430" t="s">
        <v>4772</v>
      </c>
    </row>
    <row r="36" spans="1:13" ht="5.25" customHeight="1" thickBot="1">
      <c r="D36" s="474"/>
      <c r="F36" s="477"/>
      <c r="G36" s="478"/>
      <c r="H36" s="477"/>
    </row>
    <row r="37" spans="1:13" ht="15" thickBot="1">
      <c r="B37" s="440" t="s">
        <v>1796</v>
      </c>
      <c r="C37" s="441" t="s">
        <v>1797</v>
      </c>
      <c r="D37" s="479" t="s">
        <v>1798</v>
      </c>
      <c r="E37" s="441" t="s">
        <v>1799</v>
      </c>
      <c r="F37" s="480" t="s">
        <v>1800</v>
      </c>
      <c r="G37" s="481" t="s">
        <v>1801</v>
      </c>
      <c r="H37" s="480" t="s">
        <v>1802</v>
      </c>
      <c r="I37" s="441" t="s">
        <v>1803</v>
      </c>
      <c r="J37" s="441" t="s">
        <v>1804</v>
      </c>
      <c r="K37" s="441" t="s">
        <v>1805</v>
      </c>
      <c r="L37" s="441" t="s">
        <v>1806</v>
      </c>
      <c r="M37" s="442" t="s">
        <v>1807</v>
      </c>
    </row>
    <row r="38" spans="1:13" ht="21" customHeight="1" thickTop="1">
      <c r="A38" s="1382">
        <f t="shared" ref="A38:A62" si="0">IF(C38="",0,1)</f>
        <v>1</v>
      </c>
      <c r="B38" s="1385">
        <f>IF(C38&lt;&gt;"",1,0)</f>
        <v>1</v>
      </c>
      <c r="C38" s="1969" t="s">
        <v>5187</v>
      </c>
      <c r="D38" s="1386"/>
      <c r="E38" s="1386" t="s">
        <v>5188</v>
      </c>
      <c r="F38" s="1868"/>
      <c r="G38" s="1869"/>
      <c r="H38" s="1970">
        <v>15</v>
      </c>
      <c r="I38" s="1387">
        <v>171</v>
      </c>
      <c r="J38" s="1387">
        <v>2565</v>
      </c>
      <c r="K38" s="1386"/>
      <c r="L38" s="1388"/>
      <c r="M38" s="1389"/>
    </row>
    <row r="39" spans="1:13" ht="21" customHeight="1">
      <c r="A39" s="1382">
        <f t="shared" si="0"/>
        <v>1</v>
      </c>
      <c r="B39" s="443">
        <f>IF(C39="","",COUNTIF($A$38:$A39,1))</f>
        <v>2</v>
      </c>
      <c r="C39" s="444" t="s">
        <v>5189</v>
      </c>
      <c r="D39" s="445"/>
      <c r="E39" s="445" t="s">
        <v>5190</v>
      </c>
      <c r="F39" s="450"/>
      <c r="G39" s="451"/>
      <c r="H39" s="446">
        <v>35</v>
      </c>
      <c r="I39" s="447">
        <v>147</v>
      </c>
      <c r="J39" s="447">
        <v>5145</v>
      </c>
      <c r="K39" s="445"/>
      <c r="L39" s="448"/>
      <c r="M39" s="449"/>
    </row>
    <row r="40" spans="1:13" ht="21" customHeight="1">
      <c r="A40" s="1382">
        <f t="shared" si="0"/>
        <v>1</v>
      </c>
      <c r="B40" s="443">
        <f>IF(C40="","",COUNTIF($A$38:$A40,1))</f>
        <v>3</v>
      </c>
      <c r="C40" s="444" t="s">
        <v>5189</v>
      </c>
      <c r="D40" s="445"/>
      <c r="E40" s="445" t="s">
        <v>5188</v>
      </c>
      <c r="F40" s="450"/>
      <c r="G40" s="451"/>
      <c r="H40" s="446">
        <v>100</v>
      </c>
      <c r="I40" s="447">
        <v>206</v>
      </c>
      <c r="J40" s="447">
        <v>20600</v>
      </c>
      <c r="K40" s="445"/>
      <c r="L40" s="448"/>
      <c r="M40" s="449"/>
    </row>
    <row r="41" spans="1:13" ht="21" customHeight="1">
      <c r="A41" s="1382">
        <f t="shared" si="0"/>
        <v>0</v>
      </c>
      <c r="B41" s="443" t="str">
        <f>IF(C41="","",COUNTIF($A$38:$A41,1))</f>
        <v/>
      </c>
      <c r="C41" s="444"/>
      <c r="D41" s="445"/>
      <c r="E41" s="445"/>
      <c r="F41" s="450"/>
      <c r="G41" s="451"/>
      <c r="H41" s="446"/>
      <c r="I41" s="447"/>
      <c r="J41" s="447"/>
      <c r="K41" s="448"/>
      <c r="L41" s="448"/>
      <c r="M41" s="449"/>
    </row>
    <row r="42" spans="1:13" ht="21" customHeight="1">
      <c r="A42" s="1382">
        <f t="shared" si="0"/>
        <v>0</v>
      </c>
      <c r="B42" s="443" t="str">
        <f>IF(C42="","",COUNTIF($A$38:$A42,1))</f>
        <v/>
      </c>
      <c r="C42" s="444"/>
      <c r="D42" s="1298"/>
      <c r="E42" s="445"/>
      <c r="F42" s="450"/>
      <c r="G42" s="451"/>
      <c r="H42" s="446"/>
      <c r="I42" s="447"/>
      <c r="J42" s="447"/>
      <c r="K42" s="448"/>
      <c r="L42" s="448"/>
      <c r="M42" s="449"/>
    </row>
    <row r="43" spans="1:13" ht="21" customHeight="1">
      <c r="A43" s="1382">
        <f t="shared" si="0"/>
        <v>0</v>
      </c>
      <c r="B43" s="443" t="str">
        <f>IF(C43="","",COUNTIF($A$38:$A43,1))</f>
        <v/>
      </c>
      <c r="C43" s="444"/>
      <c r="D43" s="1298"/>
      <c r="E43" s="445"/>
      <c r="F43" s="450"/>
      <c r="G43" s="451"/>
      <c r="H43" s="446"/>
      <c r="I43" s="447"/>
      <c r="J43" s="447"/>
      <c r="K43" s="448"/>
      <c r="L43" s="448"/>
      <c r="M43" s="449"/>
    </row>
    <row r="44" spans="1:13" ht="21" customHeight="1">
      <c r="A44" s="1382">
        <f t="shared" si="0"/>
        <v>0</v>
      </c>
      <c r="B44" s="443" t="str">
        <f>IF(C44="","",COUNTIF($A$38:$A44,1))</f>
        <v/>
      </c>
      <c r="C44" s="444"/>
      <c r="D44" s="1298"/>
      <c r="E44" s="445"/>
      <c r="F44" s="450"/>
      <c r="G44" s="451"/>
      <c r="H44" s="446"/>
      <c r="I44" s="447"/>
      <c r="J44" s="447"/>
      <c r="K44" s="448"/>
      <c r="L44" s="448"/>
      <c r="M44" s="449"/>
    </row>
    <row r="45" spans="1:13" ht="21" customHeight="1">
      <c r="A45" s="1382">
        <f t="shared" si="0"/>
        <v>0</v>
      </c>
      <c r="B45" s="443" t="str">
        <f>IF(C45="","",COUNTIF($A$38:$A45,1))</f>
        <v/>
      </c>
      <c r="C45" s="444"/>
      <c r="D45" s="1298"/>
      <c r="E45" s="445"/>
      <c r="F45" s="450"/>
      <c r="G45" s="451"/>
      <c r="H45" s="446"/>
      <c r="I45" s="447"/>
      <c r="J45" s="447"/>
      <c r="K45" s="448"/>
      <c r="L45" s="448"/>
      <c r="M45" s="449"/>
    </row>
    <row r="46" spans="1:13" ht="21" customHeight="1">
      <c r="A46" s="1382">
        <f t="shared" si="0"/>
        <v>0</v>
      </c>
      <c r="B46" s="443" t="str">
        <f>IF(C46="","",COUNTIF($A$38:$A46,1))</f>
        <v/>
      </c>
      <c r="C46" s="444"/>
      <c r="D46" s="1298"/>
      <c r="E46" s="445"/>
      <c r="F46" s="450"/>
      <c r="G46" s="451"/>
      <c r="H46" s="446"/>
      <c r="I46" s="447"/>
      <c r="J46" s="447"/>
      <c r="K46" s="448"/>
      <c r="L46" s="448"/>
      <c r="M46" s="449"/>
    </row>
    <row r="47" spans="1:13" ht="21" customHeight="1">
      <c r="A47" s="1382">
        <f t="shared" si="0"/>
        <v>0</v>
      </c>
      <c r="B47" s="443" t="str">
        <f>IF(C47="","",COUNTIF($A$38:$A47,1))</f>
        <v/>
      </c>
      <c r="C47" s="444"/>
      <c r="D47" s="1298"/>
      <c r="E47" s="445"/>
      <c r="F47" s="450"/>
      <c r="G47" s="451"/>
      <c r="H47" s="446"/>
      <c r="I47" s="447"/>
      <c r="J47" s="447"/>
      <c r="K47" s="448"/>
      <c r="L47" s="448"/>
      <c r="M47" s="449"/>
    </row>
    <row r="48" spans="1:13" ht="21" customHeight="1">
      <c r="A48" s="1382">
        <f t="shared" si="0"/>
        <v>0</v>
      </c>
      <c r="B48" s="443" t="str">
        <f>IF(C48="","",COUNTIF($A$38:$A48,1))</f>
        <v/>
      </c>
      <c r="C48" s="444"/>
      <c r="D48" s="1298"/>
      <c r="E48" s="445"/>
      <c r="F48" s="450"/>
      <c r="G48" s="451"/>
      <c r="H48" s="446"/>
      <c r="I48" s="447"/>
      <c r="J48" s="447"/>
      <c r="K48" s="448"/>
      <c r="L48" s="448"/>
      <c r="M48" s="449"/>
    </row>
    <row r="49" spans="1:14" ht="21" customHeight="1">
      <c r="A49" s="1382">
        <f t="shared" si="0"/>
        <v>0</v>
      </c>
      <c r="B49" s="443" t="str">
        <f>IF(C49="","",COUNTIF($A$38:$A49,1))</f>
        <v/>
      </c>
      <c r="C49" s="444"/>
      <c r="D49" s="1298"/>
      <c r="E49" s="445"/>
      <c r="F49" s="450"/>
      <c r="G49" s="451"/>
      <c r="H49" s="446"/>
      <c r="I49" s="447"/>
      <c r="J49" s="447"/>
      <c r="K49" s="448"/>
      <c r="L49" s="448"/>
      <c r="M49" s="449"/>
    </row>
    <row r="50" spans="1:14" ht="21" customHeight="1">
      <c r="A50" s="1382">
        <f>IF(C50="",0,1)</f>
        <v>0</v>
      </c>
      <c r="B50" s="443" t="str">
        <f>IF(C50="","",COUNTIF($A$38:$A50,1))</f>
        <v/>
      </c>
      <c r="C50" s="444"/>
      <c r="D50" s="1298"/>
      <c r="E50" s="445"/>
      <c r="F50" s="450"/>
      <c r="G50" s="451"/>
      <c r="H50" s="446"/>
      <c r="I50" s="447"/>
      <c r="J50" s="447"/>
      <c r="K50" s="448"/>
      <c r="L50" s="448"/>
      <c r="M50" s="449"/>
    </row>
    <row r="51" spans="1:14" ht="21" customHeight="1">
      <c r="A51" s="1382">
        <f t="shared" si="0"/>
        <v>0</v>
      </c>
      <c r="B51" s="443" t="str">
        <f>IF(C51="","",COUNTIF($A$38:$A51,1))</f>
        <v/>
      </c>
      <c r="C51" s="444"/>
      <c r="D51" s="1298"/>
      <c r="E51" s="445"/>
      <c r="F51" s="450"/>
      <c r="G51" s="451"/>
      <c r="H51" s="446"/>
      <c r="I51" s="447"/>
      <c r="J51" s="447"/>
      <c r="K51" s="448"/>
      <c r="L51" s="448"/>
      <c r="M51" s="449"/>
    </row>
    <row r="52" spans="1:14" ht="21" customHeight="1">
      <c r="A52" s="1382">
        <f t="shared" si="0"/>
        <v>0</v>
      </c>
      <c r="B52" s="443" t="str">
        <f>IF(C52="","",COUNTIF($A$38:$A52,1))</f>
        <v/>
      </c>
      <c r="C52" s="444"/>
      <c r="D52" s="1298"/>
      <c r="E52" s="445"/>
      <c r="F52" s="450"/>
      <c r="G52" s="451"/>
      <c r="H52" s="446"/>
      <c r="I52" s="447"/>
      <c r="J52" s="447"/>
      <c r="K52" s="448"/>
      <c r="L52" s="448"/>
      <c r="M52" s="449"/>
    </row>
    <row r="53" spans="1:14" ht="21" customHeight="1">
      <c r="A53" s="1382">
        <f t="shared" si="0"/>
        <v>0</v>
      </c>
      <c r="B53" s="443" t="str">
        <f>IF(C53="","",COUNTIF($A$38:$A53,1))</f>
        <v/>
      </c>
      <c r="C53" s="444"/>
      <c r="D53" s="1298"/>
      <c r="E53" s="445"/>
      <c r="F53" s="450"/>
      <c r="G53" s="451"/>
      <c r="H53" s="446"/>
      <c r="I53" s="447"/>
      <c r="J53" s="447"/>
      <c r="K53" s="448"/>
      <c r="L53" s="448"/>
      <c r="M53" s="449"/>
    </row>
    <row r="54" spans="1:14" ht="21" customHeight="1">
      <c r="A54" s="1382">
        <f t="shared" si="0"/>
        <v>0</v>
      </c>
      <c r="B54" s="443" t="str">
        <f>IF(C54="","",COUNTIF($A$38:$A54,1))</f>
        <v/>
      </c>
      <c r="C54" s="444"/>
      <c r="D54" s="1298"/>
      <c r="E54" s="445"/>
      <c r="F54" s="450"/>
      <c r="G54" s="451"/>
      <c r="H54" s="446"/>
      <c r="I54" s="447"/>
      <c r="J54" s="447"/>
      <c r="K54" s="448"/>
      <c r="L54" s="448"/>
      <c r="M54" s="449"/>
    </row>
    <row r="55" spans="1:14" ht="21" customHeight="1">
      <c r="A55" s="1382">
        <f t="shared" si="0"/>
        <v>0</v>
      </c>
      <c r="B55" s="443" t="str">
        <f>IF(C55="","",COUNTIF($A$38:$A55,1))</f>
        <v/>
      </c>
      <c r="C55" s="444"/>
      <c r="D55" s="1298"/>
      <c r="E55" s="445"/>
      <c r="F55" s="450"/>
      <c r="G55" s="451"/>
      <c r="H55" s="446"/>
      <c r="I55" s="447"/>
      <c r="J55" s="447"/>
      <c r="K55" s="448"/>
      <c r="L55" s="448"/>
      <c r="M55" s="449"/>
    </row>
    <row r="56" spans="1:14" ht="21" customHeight="1">
      <c r="A56" s="1382">
        <f t="shared" si="0"/>
        <v>0</v>
      </c>
      <c r="B56" s="443" t="str">
        <f>IF(C56="","",COUNTIF($A$38:$A56,1))</f>
        <v/>
      </c>
      <c r="C56" s="444"/>
      <c r="D56" s="445"/>
      <c r="E56" s="445"/>
      <c r="F56" s="445"/>
      <c r="G56" s="445"/>
      <c r="H56" s="445"/>
      <c r="I56" s="447"/>
      <c r="J56" s="447"/>
      <c r="K56" s="448"/>
      <c r="L56" s="448"/>
      <c r="M56" s="449"/>
    </row>
    <row r="57" spans="1:14" ht="21" customHeight="1">
      <c r="A57" s="1382">
        <f t="shared" si="0"/>
        <v>0</v>
      </c>
      <c r="B57" s="443" t="str">
        <f>IF(C57="","",COUNTIF($A$38:$A57,1))</f>
        <v/>
      </c>
      <c r="C57" s="444"/>
      <c r="D57" s="445"/>
      <c r="E57" s="445"/>
      <c r="F57" s="445"/>
      <c r="G57" s="445"/>
      <c r="H57" s="445"/>
      <c r="I57" s="447"/>
      <c r="J57" s="447"/>
      <c r="K57" s="448"/>
      <c r="L57" s="448"/>
      <c r="M57" s="449"/>
    </row>
    <row r="58" spans="1:14" ht="21" customHeight="1">
      <c r="A58" s="1382">
        <f t="shared" si="0"/>
        <v>0</v>
      </c>
      <c r="B58" s="443" t="str">
        <f>IF(C58="","",COUNTIF($A$38:$A58,1))</f>
        <v/>
      </c>
      <c r="C58" s="444"/>
      <c r="D58" s="445"/>
      <c r="E58" s="445"/>
      <c r="F58" s="445"/>
      <c r="G58" s="445"/>
      <c r="H58" s="445"/>
      <c r="I58" s="447"/>
      <c r="J58" s="447"/>
      <c r="K58" s="448"/>
      <c r="L58" s="448"/>
      <c r="M58" s="449"/>
    </row>
    <row r="59" spans="1:14" ht="21" customHeight="1">
      <c r="A59" s="1382">
        <f t="shared" si="0"/>
        <v>0</v>
      </c>
      <c r="B59" s="443" t="str">
        <f>IF(C59="","",COUNTIF($A$38:$A59,1))</f>
        <v/>
      </c>
      <c r="C59" s="444"/>
      <c r="D59" s="445"/>
      <c r="E59" s="445"/>
      <c r="F59" s="445"/>
      <c r="G59" s="445"/>
      <c r="H59" s="445"/>
      <c r="I59" s="447"/>
      <c r="J59" s="447"/>
      <c r="K59" s="448"/>
      <c r="L59" s="448"/>
      <c r="M59" s="449"/>
    </row>
    <row r="60" spans="1:14" ht="21" customHeight="1">
      <c r="A60" s="1382">
        <f t="shared" si="0"/>
        <v>0</v>
      </c>
      <c r="B60" s="443" t="str">
        <f>IF(C60="","",COUNTIF($A$38:$A60,1))</f>
        <v/>
      </c>
      <c r="C60" s="444"/>
      <c r="D60" s="445"/>
      <c r="E60" s="445"/>
      <c r="F60" s="445"/>
      <c r="G60" s="445"/>
      <c r="H60" s="445"/>
      <c r="I60" s="447"/>
      <c r="J60" s="447"/>
      <c r="K60" s="448"/>
      <c r="L60" s="448"/>
      <c r="M60" s="449"/>
    </row>
    <row r="61" spans="1:14" ht="21" customHeight="1">
      <c r="A61" s="1382">
        <f t="shared" si="0"/>
        <v>0</v>
      </c>
      <c r="B61" s="443" t="str">
        <f>IF(C61="","",COUNTIF($A$38:$A61,1))</f>
        <v/>
      </c>
      <c r="C61" s="444"/>
      <c r="D61" s="445"/>
      <c r="E61" s="445"/>
      <c r="F61" s="445"/>
      <c r="G61" s="445"/>
      <c r="H61" s="445"/>
      <c r="I61" s="447"/>
      <c r="J61" s="447"/>
      <c r="K61" s="448"/>
      <c r="L61" s="448"/>
      <c r="M61" s="449"/>
    </row>
    <row r="62" spans="1:14" ht="21" customHeight="1" thickBot="1">
      <c r="A62" s="1382">
        <f t="shared" si="0"/>
        <v>0</v>
      </c>
      <c r="B62" s="452" t="str">
        <f>IF(C62="","",COUNTIF($A$38:$A62,1))</f>
        <v/>
      </c>
      <c r="C62" s="453"/>
      <c r="D62" s="454"/>
      <c r="E62" s="454"/>
      <c r="F62" s="454"/>
      <c r="G62" s="454"/>
      <c r="H62" s="454"/>
      <c r="I62" s="455"/>
      <c r="J62" s="455"/>
      <c r="K62" s="456"/>
      <c r="L62" s="456"/>
      <c r="M62" s="457"/>
    </row>
    <row r="63" spans="1:14" ht="21" customHeight="1" thickBot="1">
      <c r="I63" s="1383" t="s">
        <v>3549</v>
      </c>
      <c r="J63" s="1384">
        <f>SUM(J38:J62)</f>
        <v>28310</v>
      </c>
      <c r="N63" s="1377" t="s">
        <v>3524</v>
      </c>
    </row>
    <row r="64" spans="1:14" ht="6" customHeight="1" thickBot="1"/>
    <row r="65" spans="1:11" ht="21" customHeight="1">
      <c r="A65" s="1397" t="s">
        <v>1751</v>
      </c>
      <c r="B65" s="458" t="str">
        <f>IF(A65="","","注記(1)")</f>
        <v>注記(1)</v>
      </c>
      <c r="C65" s="2046" t="str">
        <f>IFERROR(IF(B65="","",VLOOKUP(A65,A17:B25,2,FALSE)),"")</f>
        <v>上記商品、同一ロットでお手配お願い致します。</v>
      </c>
      <c r="D65" s="2047"/>
      <c r="E65" s="2047"/>
      <c r="F65" s="2048"/>
      <c r="G65" s="458"/>
      <c r="H65" s="1379" t="s">
        <v>5191</v>
      </c>
      <c r="I65" s="461"/>
      <c r="J65" s="461"/>
      <c r="K65" s="462"/>
    </row>
    <row r="66" spans="1:11" ht="21" customHeight="1">
      <c r="A66" s="1397" t="s">
        <v>1765</v>
      </c>
      <c r="B66" s="459" t="str">
        <f>IF(A66="","","注記(2)")</f>
        <v>注記(2)</v>
      </c>
      <c r="C66" s="2049" t="str">
        <f>IFERROR(IF(B66="","",VLOOKUP(A66,A17:B25,2,FALSE)),"")</f>
        <v>上記商品、キープ分より出荷お願い致します。</v>
      </c>
      <c r="D66" s="2050"/>
      <c r="E66" s="2050"/>
      <c r="F66" s="2051"/>
      <c r="G66" s="1378"/>
      <c r="H66" s="1380" t="s">
        <v>5192</v>
      </c>
      <c r="I66" s="464"/>
      <c r="J66" s="464"/>
      <c r="K66" s="465"/>
    </row>
    <row r="67" spans="1:11" ht="21" customHeight="1">
      <c r="A67" s="482" t="s">
        <v>1753</v>
      </c>
      <c r="B67" s="459" t="str">
        <f>IF(A67="","","注記(3)")</f>
        <v>注記(3)</v>
      </c>
      <c r="C67" s="2049" t="str">
        <f ca="1">IFERROR(IF(B67="","",VLOOKUP(A67,A17:B25,2,FALSE)),"")</f>
        <v>上記商品、03/30出荷、02/27AM必着でお手配お願い致します。</v>
      </c>
      <c r="D67" s="2050"/>
      <c r="E67" s="2050"/>
      <c r="F67" s="2051"/>
      <c r="G67" s="463"/>
      <c r="H67" s="1380"/>
      <c r="I67" s="464"/>
      <c r="J67" s="464"/>
      <c r="K67" s="465"/>
    </row>
    <row r="68" spans="1:11" ht="21" customHeight="1">
      <c r="A68" s="482" t="s">
        <v>1763</v>
      </c>
      <c r="B68" s="459" t="str">
        <f>IF(A68="","","注記(4)")</f>
        <v>注記(4)</v>
      </c>
      <c r="C68" s="2049" t="str">
        <f>IFERROR(IF(B68="","",VLOOKUP(A68,A20:B28,2,FALSE)),"")</f>
        <v>在庫有無、納期のご回答をお願い致します。</v>
      </c>
      <c r="D68" s="2050"/>
      <c r="E68" s="2050"/>
      <c r="F68" s="2051"/>
      <c r="G68" s="463"/>
      <c r="H68" s="1380"/>
      <c r="I68" s="464"/>
      <c r="J68" s="464"/>
      <c r="K68" s="465"/>
    </row>
    <row r="69" spans="1:11" ht="21" customHeight="1" thickBot="1">
      <c r="A69" s="482"/>
      <c r="B69" s="460" t="str">
        <f>IF(A69="","","注記(5)")</f>
        <v/>
      </c>
      <c r="C69" s="2040" t="str">
        <f>IFERROR(IF(B69="","",VLOOKUP(A69,A17:B25,2,FALSE)),"")</f>
        <v/>
      </c>
      <c r="D69" s="2041"/>
      <c r="E69" s="2041"/>
      <c r="F69" s="2042"/>
      <c r="G69" s="466"/>
      <c r="H69" s="1381"/>
      <c r="I69" s="467"/>
      <c r="J69" s="467"/>
      <c r="K69" s="468"/>
    </row>
    <row r="70" spans="1:11" ht="5.25" customHeight="1"/>
    <row r="71" spans="1:11" ht="21" customHeight="1"/>
    <row r="72" spans="1:11" ht="21" customHeight="1"/>
    <row r="73" spans="1:11" ht="21" customHeight="1"/>
    <row r="74" spans="1:11" ht="21" customHeight="1"/>
    <row r="75" spans="1:11" ht="21" customHeight="1"/>
  </sheetData>
  <mergeCells count="10">
    <mergeCell ref="A7:A13"/>
    <mergeCell ref="D2:E2"/>
    <mergeCell ref="C69:F69"/>
    <mergeCell ref="L32:M32"/>
    <mergeCell ref="L31:M31"/>
    <mergeCell ref="G28:I29"/>
    <mergeCell ref="C65:F65"/>
    <mergeCell ref="C66:F66"/>
    <mergeCell ref="C67:F67"/>
    <mergeCell ref="C68:F68"/>
  </mergeCells>
  <phoneticPr fontId="4"/>
  <conditionalFormatting sqref="B38:B62">
    <cfRule type="cellIs" dxfId="43" priority="1" operator="equal">
      <formula>0</formula>
    </cfRule>
  </conditionalFormatting>
  <dataValidations count="1">
    <dataValidation type="list" allowBlank="1" showInputMessage="1" showErrorMessage="1" sqref="A65:A69" xr:uid="{C7D50E80-AF4D-47FD-9397-5ED721E9F6F0}">
      <formula1>$A$17:$A$28</formula1>
    </dataValidation>
  </dataValidations>
  <printOptions horizontalCentered="1"/>
  <pageMargins left="0.19685039370078741" right="0.19685039370078741" top="0.39370078740157483" bottom="0.39370078740157483" header="0" footer="0.19685039370078741"/>
  <pageSetup paperSize="9" scale="72" fitToHeight="0" orientation="landscape" r:id="rId1"/>
  <headerFooter>
    <oddFooter>&amp;RPage &amp;P /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86" r:id="rId4" name="Button 10">
              <controlPr defaultSize="0" print="0" autoFill="0" autoPict="0" macro="[0]!発注書明細クリア">
                <anchor moveWithCells="1" sizeWithCells="1">
                  <from>
                    <xdr:col>5</xdr:col>
                    <xdr:colOff>95250</xdr:colOff>
                    <xdr:row>4</xdr:row>
                    <xdr:rowOff>38100</xdr:rowOff>
                  </from>
                  <to>
                    <xdr:col>5</xdr:col>
                    <xdr:colOff>942975</xdr:colOff>
                    <xdr:row>5</xdr:row>
                    <xdr:rowOff>85725</xdr:rowOff>
                  </to>
                </anchor>
              </controlPr>
            </control>
          </mc:Choice>
        </mc:AlternateContent>
        <mc:AlternateContent xmlns:mc="http://schemas.openxmlformats.org/markup-compatibility/2006">
          <mc:Choice Requires="x14">
            <control shapeId="24587" r:id="rId5" name="Button 11">
              <controlPr defaultSize="0" print="0" autoFill="0" autoPict="0" macro="[0]!DataCopy_発注書">
                <anchor moveWithCells="1" sizeWithCells="1">
                  <from>
                    <xdr:col>5</xdr:col>
                    <xdr:colOff>104775</xdr:colOff>
                    <xdr:row>2</xdr:row>
                    <xdr:rowOff>19050</xdr:rowOff>
                  </from>
                  <to>
                    <xdr:col>8</xdr:col>
                    <xdr:colOff>876300</xdr:colOff>
                    <xdr:row>4</xdr:row>
                    <xdr:rowOff>0</xdr:rowOff>
                  </to>
                </anchor>
              </controlPr>
            </control>
          </mc:Choice>
        </mc:AlternateContent>
        <mc:AlternateContent xmlns:mc="http://schemas.openxmlformats.org/markup-compatibility/2006">
          <mc:Choice Requires="x14">
            <control shapeId="24588" r:id="rId6" name="Button 12">
              <controlPr defaultSize="0" print="0" autoFill="0" autoPict="0" macro="[0]!発注書注記クリア">
                <anchor moveWithCells="1" sizeWithCells="1">
                  <from>
                    <xdr:col>6</xdr:col>
                    <xdr:colOff>76200</xdr:colOff>
                    <xdr:row>4</xdr:row>
                    <xdr:rowOff>38100</xdr:rowOff>
                  </from>
                  <to>
                    <xdr:col>6</xdr:col>
                    <xdr:colOff>914400</xdr:colOff>
                    <xdr:row>5</xdr:row>
                    <xdr:rowOff>85725</xdr:rowOff>
                  </to>
                </anchor>
              </controlPr>
            </control>
          </mc:Choice>
        </mc:AlternateContent>
        <mc:AlternateContent xmlns:mc="http://schemas.openxmlformats.org/markup-compatibility/2006">
          <mc:Choice Requires="x14">
            <control shapeId="24589" r:id="rId7" name="Button 13">
              <controlPr defaultSize="0" print="0" autoFill="0" autoPict="0" macro="[0]!発注書メモクリア">
                <anchor moveWithCells="1" sizeWithCells="1">
                  <from>
                    <xdr:col>7</xdr:col>
                    <xdr:colOff>38100</xdr:colOff>
                    <xdr:row>4</xdr:row>
                    <xdr:rowOff>38100</xdr:rowOff>
                  </from>
                  <to>
                    <xdr:col>7</xdr:col>
                    <xdr:colOff>885825</xdr:colOff>
                    <xdr:row>5</xdr:row>
                    <xdr:rowOff>85725</xdr:rowOff>
                  </to>
                </anchor>
              </controlPr>
            </control>
          </mc:Choice>
        </mc:AlternateContent>
        <mc:AlternateContent xmlns:mc="http://schemas.openxmlformats.org/markup-compatibility/2006">
          <mc:Choice Requires="x14">
            <control shapeId="24590" r:id="rId8" name="Button 14">
              <controlPr defaultSize="0" print="0" autoFill="0" autoPict="0" macro="[0]!改行設定発注書">
                <anchor moveWithCells="1" sizeWithCells="1">
                  <from>
                    <xdr:col>8</xdr:col>
                    <xdr:colOff>28575</xdr:colOff>
                    <xdr:row>4</xdr:row>
                    <xdr:rowOff>38100</xdr:rowOff>
                  </from>
                  <to>
                    <xdr:col>8</xdr:col>
                    <xdr:colOff>876300</xdr:colOff>
                    <xdr:row>5</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2BD8EF6-45ED-4A10-B5FB-8BCF265B1609}">
          <x14:formula1>
            <xm:f>仕入先マスタ!$B:$B</xm:f>
          </x14:formula1>
          <xm:sqref>C2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3B12-990C-49CE-AAC6-FB9D83FF6C55}">
  <sheetPr codeName="Sheet13"/>
  <dimension ref="A1:J51"/>
  <sheetViews>
    <sheetView topLeftCell="A13" zoomScaleNormal="100" workbookViewId="0">
      <selection sqref="A1:XFD1048576"/>
    </sheetView>
  </sheetViews>
  <sheetFormatPr defaultRowHeight="14.25"/>
  <cols>
    <col min="1" max="2" width="8.625" style="1440" customWidth="1"/>
    <col min="3" max="3" width="11.875" style="1440" customWidth="1"/>
    <col min="4" max="4" width="10.625" style="1440" customWidth="1"/>
    <col min="5" max="5" width="8.625" style="1440" customWidth="1"/>
    <col min="6" max="6" width="12.625" style="1440" customWidth="1"/>
    <col min="7" max="8" width="10.625" style="1440" customWidth="1"/>
    <col min="9" max="9" width="15.625" style="1437" customWidth="1"/>
    <col min="10" max="10" width="15.625" style="1438" customWidth="1"/>
    <col min="11" max="256" width="9" style="1440"/>
    <col min="257" max="258" width="8.625" style="1440" customWidth="1"/>
    <col min="259" max="259" width="11.875" style="1440" customWidth="1"/>
    <col min="260" max="260" width="10.625" style="1440" customWidth="1"/>
    <col min="261" max="261" width="8.625" style="1440" customWidth="1"/>
    <col min="262" max="262" width="12.625" style="1440" customWidth="1"/>
    <col min="263" max="264" width="10.625" style="1440" customWidth="1"/>
    <col min="265" max="266" width="15.625" style="1440" customWidth="1"/>
    <col min="267" max="512" width="9" style="1440"/>
    <col min="513" max="514" width="8.625" style="1440" customWidth="1"/>
    <col min="515" max="515" width="11.875" style="1440" customWidth="1"/>
    <col min="516" max="516" width="10.625" style="1440" customWidth="1"/>
    <col min="517" max="517" width="8.625" style="1440" customWidth="1"/>
    <col min="518" max="518" width="12.625" style="1440" customWidth="1"/>
    <col min="519" max="520" width="10.625" style="1440" customWidth="1"/>
    <col min="521" max="522" width="15.625" style="1440" customWidth="1"/>
    <col min="523" max="768" width="9" style="1440"/>
    <col min="769" max="770" width="8.625" style="1440" customWidth="1"/>
    <col min="771" max="771" width="11.875" style="1440" customWidth="1"/>
    <col min="772" max="772" width="10.625" style="1440" customWidth="1"/>
    <col min="773" max="773" width="8.625" style="1440" customWidth="1"/>
    <col min="774" max="774" width="12.625" style="1440" customWidth="1"/>
    <col min="775" max="776" width="10.625" style="1440" customWidth="1"/>
    <col min="777" max="778" width="15.625" style="1440" customWidth="1"/>
    <col min="779" max="1024" width="9" style="1440"/>
    <col min="1025" max="1026" width="8.625" style="1440" customWidth="1"/>
    <col min="1027" max="1027" width="11.875" style="1440" customWidth="1"/>
    <col min="1028" max="1028" width="10.625" style="1440" customWidth="1"/>
    <col min="1029" max="1029" width="8.625" style="1440" customWidth="1"/>
    <col min="1030" max="1030" width="12.625" style="1440" customWidth="1"/>
    <col min="1031" max="1032" width="10.625" style="1440" customWidth="1"/>
    <col min="1033" max="1034" width="15.625" style="1440" customWidth="1"/>
    <col min="1035" max="1280" width="9" style="1440"/>
    <col min="1281" max="1282" width="8.625" style="1440" customWidth="1"/>
    <col min="1283" max="1283" width="11.875" style="1440" customWidth="1"/>
    <col min="1284" max="1284" width="10.625" style="1440" customWidth="1"/>
    <col min="1285" max="1285" width="8.625" style="1440" customWidth="1"/>
    <col min="1286" max="1286" width="12.625" style="1440" customWidth="1"/>
    <col min="1287" max="1288" width="10.625" style="1440" customWidth="1"/>
    <col min="1289" max="1290" width="15.625" style="1440" customWidth="1"/>
    <col min="1291" max="1536" width="9" style="1440"/>
    <col min="1537" max="1538" width="8.625" style="1440" customWidth="1"/>
    <col min="1539" max="1539" width="11.875" style="1440" customWidth="1"/>
    <col min="1540" max="1540" width="10.625" style="1440" customWidth="1"/>
    <col min="1541" max="1541" width="8.625" style="1440" customWidth="1"/>
    <col min="1542" max="1542" width="12.625" style="1440" customWidth="1"/>
    <col min="1543" max="1544" width="10.625" style="1440" customWidth="1"/>
    <col min="1545" max="1546" width="15.625" style="1440" customWidth="1"/>
    <col min="1547" max="1792" width="9" style="1440"/>
    <col min="1793" max="1794" width="8.625" style="1440" customWidth="1"/>
    <col min="1795" max="1795" width="11.875" style="1440" customWidth="1"/>
    <col min="1796" max="1796" width="10.625" style="1440" customWidth="1"/>
    <col min="1797" max="1797" width="8.625" style="1440" customWidth="1"/>
    <col min="1798" max="1798" width="12.625" style="1440" customWidth="1"/>
    <col min="1799" max="1800" width="10.625" style="1440" customWidth="1"/>
    <col min="1801" max="1802" width="15.625" style="1440" customWidth="1"/>
    <col min="1803" max="2048" width="9" style="1440"/>
    <col min="2049" max="2050" width="8.625" style="1440" customWidth="1"/>
    <col min="2051" max="2051" width="11.875" style="1440" customWidth="1"/>
    <col min="2052" max="2052" width="10.625" style="1440" customWidth="1"/>
    <col min="2053" max="2053" width="8.625" style="1440" customWidth="1"/>
    <col min="2054" max="2054" width="12.625" style="1440" customWidth="1"/>
    <col min="2055" max="2056" width="10.625" style="1440" customWidth="1"/>
    <col min="2057" max="2058" width="15.625" style="1440" customWidth="1"/>
    <col min="2059" max="2304" width="9" style="1440"/>
    <col min="2305" max="2306" width="8.625" style="1440" customWidth="1"/>
    <col min="2307" max="2307" width="11.875" style="1440" customWidth="1"/>
    <col min="2308" max="2308" width="10.625" style="1440" customWidth="1"/>
    <col min="2309" max="2309" width="8.625" style="1440" customWidth="1"/>
    <col min="2310" max="2310" width="12.625" style="1440" customWidth="1"/>
    <col min="2311" max="2312" width="10.625" style="1440" customWidth="1"/>
    <col min="2313" max="2314" width="15.625" style="1440" customWidth="1"/>
    <col min="2315" max="2560" width="9" style="1440"/>
    <col min="2561" max="2562" width="8.625" style="1440" customWidth="1"/>
    <col min="2563" max="2563" width="11.875" style="1440" customWidth="1"/>
    <col min="2564" max="2564" width="10.625" style="1440" customWidth="1"/>
    <col min="2565" max="2565" width="8.625" style="1440" customWidth="1"/>
    <col min="2566" max="2566" width="12.625" style="1440" customWidth="1"/>
    <col min="2567" max="2568" width="10.625" style="1440" customWidth="1"/>
    <col min="2569" max="2570" width="15.625" style="1440" customWidth="1"/>
    <col min="2571" max="2816" width="9" style="1440"/>
    <col min="2817" max="2818" width="8.625" style="1440" customWidth="1"/>
    <col min="2819" max="2819" width="11.875" style="1440" customWidth="1"/>
    <col min="2820" max="2820" width="10.625" style="1440" customWidth="1"/>
    <col min="2821" max="2821" width="8.625" style="1440" customWidth="1"/>
    <col min="2822" max="2822" width="12.625" style="1440" customWidth="1"/>
    <col min="2823" max="2824" width="10.625" style="1440" customWidth="1"/>
    <col min="2825" max="2826" width="15.625" style="1440" customWidth="1"/>
    <col min="2827" max="3072" width="9" style="1440"/>
    <col min="3073" max="3074" width="8.625" style="1440" customWidth="1"/>
    <col min="3075" max="3075" width="11.875" style="1440" customWidth="1"/>
    <col min="3076" max="3076" width="10.625" style="1440" customWidth="1"/>
    <col min="3077" max="3077" width="8.625" style="1440" customWidth="1"/>
    <col min="3078" max="3078" width="12.625" style="1440" customWidth="1"/>
    <col min="3079" max="3080" width="10.625" style="1440" customWidth="1"/>
    <col min="3081" max="3082" width="15.625" style="1440" customWidth="1"/>
    <col min="3083" max="3328" width="9" style="1440"/>
    <col min="3329" max="3330" width="8.625" style="1440" customWidth="1"/>
    <col min="3331" max="3331" width="11.875" style="1440" customWidth="1"/>
    <col min="3332" max="3332" width="10.625" style="1440" customWidth="1"/>
    <col min="3333" max="3333" width="8.625" style="1440" customWidth="1"/>
    <col min="3334" max="3334" width="12.625" style="1440" customWidth="1"/>
    <col min="3335" max="3336" width="10.625" style="1440" customWidth="1"/>
    <col min="3337" max="3338" width="15.625" style="1440" customWidth="1"/>
    <col min="3339" max="3584" width="9" style="1440"/>
    <col min="3585" max="3586" width="8.625" style="1440" customWidth="1"/>
    <col min="3587" max="3587" width="11.875" style="1440" customWidth="1"/>
    <col min="3588" max="3588" width="10.625" style="1440" customWidth="1"/>
    <col min="3589" max="3589" width="8.625" style="1440" customWidth="1"/>
    <col min="3590" max="3590" width="12.625" style="1440" customWidth="1"/>
    <col min="3591" max="3592" width="10.625" style="1440" customWidth="1"/>
    <col min="3593" max="3594" width="15.625" style="1440" customWidth="1"/>
    <col min="3595" max="3840" width="9" style="1440"/>
    <col min="3841" max="3842" width="8.625" style="1440" customWidth="1"/>
    <col min="3843" max="3843" width="11.875" style="1440" customWidth="1"/>
    <col min="3844" max="3844" width="10.625" style="1440" customWidth="1"/>
    <col min="3845" max="3845" width="8.625" style="1440" customWidth="1"/>
    <col min="3846" max="3846" width="12.625" style="1440" customWidth="1"/>
    <col min="3847" max="3848" width="10.625" style="1440" customWidth="1"/>
    <col min="3849" max="3850" width="15.625" style="1440" customWidth="1"/>
    <col min="3851" max="4096" width="9" style="1440"/>
    <col min="4097" max="4098" width="8.625" style="1440" customWidth="1"/>
    <col min="4099" max="4099" width="11.875" style="1440" customWidth="1"/>
    <col min="4100" max="4100" width="10.625" style="1440" customWidth="1"/>
    <col min="4101" max="4101" width="8.625" style="1440" customWidth="1"/>
    <col min="4102" max="4102" width="12.625" style="1440" customWidth="1"/>
    <col min="4103" max="4104" width="10.625" style="1440" customWidth="1"/>
    <col min="4105" max="4106" width="15.625" style="1440" customWidth="1"/>
    <col min="4107" max="4352" width="9" style="1440"/>
    <col min="4353" max="4354" width="8.625" style="1440" customWidth="1"/>
    <col min="4355" max="4355" width="11.875" style="1440" customWidth="1"/>
    <col min="4356" max="4356" width="10.625" style="1440" customWidth="1"/>
    <col min="4357" max="4357" width="8.625" style="1440" customWidth="1"/>
    <col min="4358" max="4358" width="12.625" style="1440" customWidth="1"/>
    <col min="4359" max="4360" width="10.625" style="1440" customWidth="1"/>
    <col min="4361" max="4362" width="15.625" style="1440" customWidth="1"/>
    <col min="4363" max="4608" width="9" style="1440"/>
    <col min="4609" max="4610" width="8.625" style="1440" customWidth="1"/>
    <col min="4611" max="4611" width="11.875" style="1440" customWidth="1"/>
    <col min="4612" max="4612" width="10.625" style="1440" customWidth="1"/>
    <col min="4613" max="4613" width="8.625" style="1440" customWidth="1"/>
    <col min="4614" max="4614" width="12.625" style="1440" customWidth="1"/>
    <col min="4615" max="4616" width="10.625" style="1440" customWidth="1"/>
    <col min="4617" max="4618" width="15.625" style="1440" customWidth="1"/>
    <col min="4619" max="4864" width="9" style="1440"/>
    <col min="4865" max="4866" width="8.625" style="1440" customWidth="1"/>
    <col min="4867" max="4867" width="11.875" style="1440" customWidth="1"/>
    <col min="4868" max="4868" width="10.625" style="1440" customWidth="1"/>
    <col min="4869" max="4869" width="8.625" style="1440" customWidth="1"/>
    <col min="4870" max="4870" width="12.625" style="1440" customWidth="1"/>
    <col min="4871" max="4872" width="10.625" style="1440" customWidth="1"/>
    <col min="4873" max="4874" width="15.625" style="1440" customWidth="1"/>
    <col min="4875" max="5120" width="9" style="1440"/>
    <col min="5121" max="5122" width="8.625" style="1440" customWidth="1"/>
    <col min="5123" max="5123" width="11.875" style="1440" customWidth="1"/>
    <col min="5124" max="5124" width="10.625" style="1440" customWidth="1"/>
    <col min="5125" max="5125" width="8.625" style="1440" customWidth="1"/>
    <col min="5126" max="5126" width="12.625" style="1440" customWidth="1"/>
    <col min="5127" max="5128" width="10.625" style="1440" customWidth="1"/>
    <col min="5129" max="5130" width="15.625" style="1440" customWidth="1"/>
    <col min="5131" max="5376" width="9" style="1440"/>
    <col min="5377" max="5378" width="8.625" style="1440" customWidth="1"/>
    <col min="5379" max="5379" width="11.875" style="1440" customWidth="1"/>
    <col min="5380" max="5380" width="10.625" style="1440" customWidth="1"/>
    <col min="5381" max="5381" width="8.625" style="1440" customWidth="1"/>
    <col min="5382" max="5382" width="12.625" style="1440" customWidth="1"/>
    <col min="5383" max="5384" width="10.625" style="1440" customWidth="1"/>
    <col min="5385" max="5386" width="15.625" style="1440" customWidth="1"/>
    <col min="5387" max="5632" width="9" style="1440"/>
    <col min="5633" max="5634" width="8.625" style="1440" customWidth="1"/>
    <col min="5635" max="5635" width="11.875" style="1440" customWidth="1"/>
    <col min="5636" max="5636" width="10.625" style="1440" customWidth="1"/>
    <col min="5637" max="5637" width="8.625" style="1440" customWidth="1"/>
    <col min="5638" max="5638" width="12.625" style="1440" customWidth="1"/>
    <col min="5639" max="5640" width="10.625" style="1440" customWidth="1"/>
    <col min="5641" max="5642" width="15.625" style="1440" customWidth="1"/>
    <col min="5643" max="5888" width="9" style="1440"/>
    <col min="5889" max="5890" width="8.625" style="1440" customWidth="1"/>
    <col min="5891" max="5891" width="11.875" style="1440" customWidth="1"/>
    <col min="5892" max="5892" width="10.625" style="1440" customWidth="1"/>
    <col min="5893" max="5893" width="8.625" style="1440" customWidth="1"/>
    <col min="5894" max="5894" width="12.625" style="1440" customWidth="1"/>
    <col min="5895" max="5896" width="10.625" style="1440" customWidth="1"/>
    <col min="5897" max="5898" width="15.625" style="1440" customWidth="1"/>
    <col min="5899" max="6144" width="9" style="1440"/>
    <col min="6145" max="6146" width="8.625" style="1440" customWidth="1"/>
    <col min="6147" max="6147" width="11.875" style="1440" customWidth="1"/>
    <col min="6148" max="6148" width="10.625" style="1440" customWidth="1"/>
    <col min="6149" max="6149" width="8.625" style="1440" customWidth="1"/>
    <col min="6150" max="6150" width="12.625" style="1440" customWidth="1"/>
    <col min="6151" max="6152" width="10.625" style="1440" customWidth="1"/>
    <col min="6153" max="6154" width="15.625" style="1440" customWidth="1"/>
    <col min="6155" max="6400" width="9" style="1440"/>
    <col min="6401" max="6402" width="8.625" style="1440" customWidth="1"/>
    <col min="6403" max="6403" width="11.875" style="1440" customWidth="1"/>
    <col min="6404" max="6404" width="10.625" style="1440" customWidth="1"/>
    <col min="6405" max="6405" width="8.625" style="1440" customWidth="1"/>
    <col min="6406" max="6406" width="12.625" style="1440" customWidth="1"/>
    <col min="6407" max="6408" width="10.625" style="1440" customWidth="1"/>
    <col min="6409" max="6410" width="15.625" style="1440" customWidth="1"/>
    <col min="6411" max="6656" width="9" style="1440"/>
    <col min="6657" max="6658" width="8.625" style="1440" customWidth="1"/>
    <col min="6659" max="6659" width="11.875" style="1440" customWidth="1"/>
    <col min="6660" max="6660" width="10.625" style="1440" customWidth="1"/>
    <col min="6661" max="6661" width="8.625" style="1440" customWidth="1"/>
    <col min="6662" max="6662" width="12.625" style="1440" customWidth="1"/>
    <col min="6663" max="6664" width="10.625" style="1440" customWidth="1"/>
    <col min="6665" max="6666" width="15.625" style="1440" customWidth="1"/>
    <col min="6667" max="6912" width="9" style="1440"/>
    <col min="6913" max="6914" width="8.625" style="1440" customWidth="1"/>
    <col min="6915" max="6915" width="11.875" style="1440" customWidth="1"/>
    <col min="6916" max="6916" width="10.625" style="1440" customWidth="1"/>
    <col min="6917" max="6917" width="8.625" style="1440" customWidth="1"/>
    <col min="6918" max="6918" width="12.625" style="1440" customWidth="1"/>
    <col min="6919" max="6920" width="10.625" style="1440" customWidth="1"/>
    <col min="6921" max="6922" width="15.625" style="1440" customWidth="1"/>
    <col min="6923" max="7168" width="9" style="1440"/>
    <col min="7169" max="7170" width="8.625" style="1440" customWidth="1"/>
    <col min="7171" max="7171" width="11.875" style="1440" customWidth="1"/>
    <col min="7172" max="7172" width="10.625" style="1440" customWidth="1"/>
    <col min="7173" max="7173" width="8.625" style="1440" customWidth="1"/>
    <col min="7174" max="7174" width="12.625" style="1440" customWidth="1"/>
    <col min="7175" max="7176" width="10.625" style="1440" customWidth="1"/>
    <col min="7177" max="7178" width="15.625" style="1440" customWidth="1"/>
    <col min="7179" max="7424" width="9" style="1440"/>
    <col min="7425" max="7426" width="8.625" style="1440" customWidth="1"/>
    <col min="7427" max="7427" width="11.875" style="1440" customWidth="1"/>
    <col min="7428" max="7428" width="10.625" style="1440" customWidth="1"/>
    <col min="7429" max="7429" width="8.625" style="1440" customWidth="1"/>
    <col min="7430" max="7430" width="12.625" style="1440" customWidth="1"/>
    <col min="7431" max="7432" width="10.625" style="1440" customWidth="1"/>
    <col min="7433" max="7434" width="15.625" style="1440" customWidth="1"/>
    <col min="7435" max="7680" width="9" style="1440"/>
    <col min="7681" max="7682" width="8.625" style="1440" customWidth="1"/>
    <col min="7683" max="7683" width="11.875" style="1440" customWidth="1"/>
    <col min="7684" max="7684" width="10.625" style="1440" customWidth="1"/>
    <col min="7685" max="7685" width="8.625" style="1440" customWidth="1"/>
    <col min="7686" max="7686" width="12.625" style="1440" customWidth="1"/>
    <col min="7687" max="7688" width="10.625" style="1440" customWidth="1"/>
    <col min="7689" max="7690" width="15.625" style="1440" customWidth="1"/>
    <col min="7691" max="7936" width="9" style="1440"/>
    <col min="7937" max="7938" width="8.625" style="1440" customWidth="1"/>
    <col min="7939" max="7939" width="11.875" style="1440" customWidth="1"/>
    <col min="7940" max="7940" width="10.625" style="1440" customWidth="1"/>
    <col min="7941" max="7941" width="8.625" style="1440" customWidth="1"/>
    <col min="7942" max="7942" width="12.625" style="1440" customWidth="1"/>
    <col min="7943" max="7944" width="10.625" style="1440" customWidth="1"/>
    <col min="7945" max="7946" width="15.625" style="1440" customWidth="1"/>
    <col min="7947" max="8192" width="9" style="1440"/>
    <col min="8193" max="8194" width="8.625" style="1440" customWidth="1"/>
    <col min="8195" max="8195" width="11.875" style="1440" customWidth="1"/>
    <col min="8196" max="8196" width="10.625" style="1440" customWidth="1"/>
    <col min="8197" max="8197" width="8.625" style="1440" customWidth="1"/>
    <col min="8198" max="8198" width="12.625" style="1440" customWidth="1"/>
    <col min="8199" max="8200" width="10.625" style="1440" customWidth="1"/>
    <col min="8201" max="8202" width="15.625" style="1440" customWidth="1"/>
    <col min="8203" max="8448" width="9" style="1440"/>
    <col min="8449" max="8450" width="8.625" style="1440" customWidth="1"/>
    <col min="8451" max="8451" width="11.875" style="1440" customWidth="1"/>
    <col min="8452" max="8452" width="10.625" style="1440" customWidth="1"/>
    <col min="8453" max="8453" width="8.625" style="1440" customWidth="1"/>
    <col min="8454" max="8454" width="12.625" style="1440" customWidth="1"/>
    <col min="8455" max="8456" width="10.625" style="1440" customWidth="1"/>
    <col min="8457" max="8458" width="15.625" style="1440" customWidth="1"/>
    <col min="8459" max="8704" width="9" style="1440"/>
    <col min="8705" max="8706" width="8.625" style="1440" customWidth="1"/>
    <col min="8707" max="8707" width="11.875" style="1440" customWidth="1"/>
    <col min="8708" max="8708" width="10.625" style="1440" customWidth="1"/>
    <col min="8709" max="8709" width="8.625" style="1440" customWidth="1"/>
    <col min="8710" max="8710" width="12.625" style="1440" customWidth="1"/>
    <col min="8711" max="8712" width="10.625" style="1440" customWidth="1"/>
    <col min="8713" max="8714" width="15.625" style="1440" customWidth="1"/>
    <col min="8715" max="8960" width="9" style="1440"/>
    <col min="8961" max="8962" width="8.625" style="1440" customWidth="1"/>
    <col min="8963" max="8963" width="11.875" style="1440" customWidth="1"/>
    <col min="8964" max="8964" width="10.625" style="1440" customWidth="1"/>
    <col min="8965" max="8965" width="8.625" style="1440" customWidth="1"/>
    <col min="8966" max="8966" width="12.625" style="1440" customWidth="1"/>
    <col min="8967" max="8968" width="10.625" style="1440" customWidth="1"/>
    <col min="8969" max="8970" width="15.625" style="1440" customWidth="1"/>
    <col min="8971" max="9216" width="9" style="1440"/>
    <col min="9217" max="9218" width="8.625" style="1440" customWidth="1"/>
    <col min="9219" max="9219" width="11.875" style="1440" customWidth="1"/>
    <col min="9220" max="9220" width="10.625" style="1440" customWidth="1"/>
    <col min="9221" max="9221" width="8.625" style="1440" customWidth="1"/>
    <col min="9222" max="9222" width="12.625" style="1440" customWidth="1"/>
    <col min="9223" max="9224" width="10.625" style="1440" customWidth="1"/>
    <col min="9225" max="9226" width="15.625" style="1440" customWidth="1"/>
    <col min="9227" max="9472" width="9" style="1440"/>
    <col min="9473" max="9474" width="8.625" style="1440" customWidth="1"/>
    <col min="9475" max="9475" width="11.875" style="1440" customWidth="1"/>
    <col min="9476" max="9476" width="10.625" style="1440" customWidth="1"/>
    <col min="9477" max="9477" width="8.625" style="1440" customWidth="1"/>
    <col min="9478" max="9478" width="12.625" style="1440" customWidth="1"/>
    <col min="9479" max="9480" width="10.625" style="1440" customWidth="1"/>
    <col min="9481" max="9482" width="15.625" style="1440" customWidth="1"/>
    <col min="9483" max="9728" width="9" style="1440"/>
    <col min="9729" max="9730" width="8.625" style="1440" customWidth="1"/>
    <col min="9731" max="9731" width="11.875" style="1440" customWidth="1"/>
    <col min="9732" max="9732" width="10.625" style="1440" customWidth="1"/>
    <col min="9733" max="9733" width="8.625" style="1440" customWidth="1"/>
    <col min="9734" max="9734" width="12.625" style="1440" customWidth="1"/>
    <col min="9735" max="9736" width="10.625" style="1440" customWidth="1"/>
    <col min="9737" max="9738" width="15.625" style="1440" customWidth="1"/>
    <col min="9739" max="9984" width="9" style="1440"/>
    <col min="9985" max="9986" width="8.625" style="1440" customWidth="1"/>
    <col min="9987" max="9987" width="11.875" style="1440" customWidth="1"/>
    <col min="9988" max="9988" width="10.625" style="1440" customWidth="1"/>
    <col min="9989" max="9989" width="8.625" style="1440" customWidth="1"/>
    <col min="9990" max="9990" width="12.625" style="1440" customWidth="1"/>
    <col min="9991" max="9992" width="10.625" style="1440" customWidth="1"/>
    <col min="9993" max="9994" width="15.625" style="1440" customWidth="1"/>
    <col min="9995" max="10240" width="9" style="1440"/>
    <col min="10241" max="10242" width="8.625" style="1440" customWidth="1"/>
    <col min="10243" max="10243" width="11.875" style="1440" customWidth="1"/>
    <col min="10244" max="10244" width="10.625" style="1440" customWidth="1"/>
    <col min="10245" max="10245" width="8.625" style="1440" customWidth="1"/>
    <col min="10246" max="10246" width="12.625" style="1440" customWidth="1"/>
    <col min="10247" max="10248" width="10.625" style="1440" customWidth="1"/>
    <col min="10249" max="10250" width="15.625" style="1440" customWidth="1"/>
    <col min="10251" max="10496" width="9" style="1440"/>
    <col min="10497" max="10498" width="8.625" style="1440" customWidth="1"/>
    <col min="10499" max="10499" width="11.875" style="1440" customWidth="1"/>
    <col min="10500" max="10500" width="10.625" style="1440" customWidth="1"/>
    <col min="10501" max="10501" width="8.625" style="1440" customWidth="1"/>
    <col min="10502" max="10502" width="12.625" style="1440" customWidth="1"/>
    <col min="10503" max="10504" width="10.625" style="1440" customWidth="1"/>
    <col min="10505" max="10506" width="15.625" style="1440" customWidth="1"/>
    <col min="10507" max="10752" width="9" style="1440"/>
    <col min="10753" max="10754" width="8.625" style="1440" customWidth="1"/>
    <col min="10755" max="10755" width="11.875" style="1440" customWidth="1"/>
    <col min="10756" max="10756" width="10.625" style="1440" customWidth="1"/>
    <col min="10757" max="10757" width="8.625" style="1440" customWidth="1"/>
    <col min="10758" max="10758" width="12.625" style="1440" customWidth="1"/>
    <col min="10759" max="10760" width="10.625" style="1440" customWidth="1"/>
    <col min="10761" max="10762" width="15.625" style="1440" customWidth="1"/>
    <col min="10763" max="11008" width="9" style="1440"/>
    <col min="11009" max="11010" width="8.625" style="1440" customWidth="1"/>
    <col min="11011" max="11011" width="11.875" style="1440" customWidth="1"/>
    <col min="11012" max="11012" width="10.625" style="1440" customWidth="1"/>
    <col min="11013" max="11013" width="8.625" style="1440" customWidth="1"/>
    <col min="11014" max="11014" width="12.625" style="1440" customWidth="1"/>
    <col min="11015" max="11016" width="10.625" style="1440" customWidth="1"/>
    <col min="11017" max="11018" width="15.625" style="1440" customWidth="1"/>
    <col min="11019" max="11264" width="9" style="1440"/>
    <col min="11265" max="11266" width="8.625" style="1440" customWidth="1"/>
    <col min="11267" max="11267" width="11.875" style="1440" customWidth="1"/>
    <col min="11268" max="11268" width="10.625" style="1440" customWidth="1"/>
    <col min="11269" max="11269" width="8.625" style="1440" customWidth="1"/>
    <col min="11270" max="11270" width="12.625" style="1440" customWidth="1"/>
    <col min="11271" max="11272" width="10.625" style="1440" customWidth="1"/>
    <col min="11273" max="11274" width="15.625" style="1440" customWidth="1"/>
    <col min="11275" max="11520" width="9" style="1440"/>
    <col min="11521" max="11522" width="8.625" style="1440" customWidth="1"/>
    <col min="11523" max="11523" width="11.875" style="1440" customWidth="1"/>
    <col min="11524" max="11524" width="10.625" style="1440" customWidth="1"/>
    <col min="11525" max="11525" width="8.625" style="1440" customWidth="1"/>
    <col min="11526" max="11526" width="12.625" style="1440" customWidth="1"/>
    <col min="11527" max="11528" width="10.625" style="1440" customWidth="1"/>
    <col min="11529" max="11530" width="15.625" style="1440" customWidth="1"/>
    <col min="11531" max="11776" width="9" style="1440"/>
    <col min="11777" max="11778" width="8.625" style="1440" customWidth="1"/>
    <col min="11779" max="11779" width="11.875" style="1440" customWidth="1"/>
    <col min="11780" max="11780" width="10.625" style="1440" customWidth="1"/>
    <col min="11781" max="11781" width="8.625" style="1440" customWidth="1"/>
    <col min="11782" max="11782" width="12.625" style="1440" customWidth="1"/>
    <col min="11783" max="11784" width="10.625" style="1440" customWidth="1"/>
    <col min="11785" max="11786" width="15.625" style="1440" customWidth="1"/>
    <col min="11787" max="12032" width="9" style="1440"/>
    <col min="12033" max="12034" width="8.625" style="1440" customWidth="1"/>
    <col min="12035" max="12035" width="11.875" style="1440" customWidth="1"/>
    <col min="12036" max="12036" width="10.625" style="1440" customWidth="1"/>
    <col min="12037" max="12037" width="8.625" style="1440" customWidth="1"/>
    <col min="12038" max="12038" width="12.625" style="1440" customWidth="1"/>
    <col min="12039" max="12040" width="10.625" style="1440" customWidth="1"/>
    <col min="12041" max="12042" width="15.625" style="1440" customWidth="1"/>
    <col min="12043" max="12288" width="9" style="1440"/>
    <col min="12289" max="12290" width="8.625" style="1440" customWidth="1"/>
    <col min="12291" max="12291" width="11.875" style="1440" customWidth="1"/>
    <col min="12292" max="12292" width="10.625" style="1440" customWidth="1"/>
    <col min="12293" max="12293" width="8.625" style="1440" customWidth="1"/>
    <col min="12294" max="12294" width="12.625" style="1440" customWidth="1"/>
    <col min="12295" max="12296" width="10.625" style="1440" customWidth="1"/>
    <col min="12297" max="12298" width="15.625" style="1440" customWidth="1"/>
    <col min="12299" max="12544" width="9" style="1440"/>
    <col min="12545" max="12546" width="8.625" style="1440" customWidth="1"/>
    <col min="12547" max="12547" width="11.875" style="1440" customWidth="1"/>
    <col min="12548" max="12548" width="10.625" style="1440" customWidth="1"/>
    <col min="12549" max="12549" width="8.625" style="1440" customWidth="1"/>
    <col min="12550" max="12550" width="12.625" style="1440" customWidth="1"/>
    <col min="12551" max="12552" width="10.625" style="1440" customWidth="1"/>
    <col min="12553" max="12554" width="15.625" style="1440" customWidth="1"/>
    <col min="12555" max="12800" width="9" style="1440"/>
    <col min="12801" max="12802" width="8.625" style="1440" customWidth="1"/>
    <col min="12803" max="12803" width="11.875" style="1440" customWidth="1"/>
    <col min="12804" max="12804" width="10.625" style="1440" customWidth="1"/>
    <col min="12805" max="12805" width="8.625" style="1440" customWidth="1"/>
    <col min="12806" max="12806" width="12.625" style="1440" customWidth="1"/>
    <col min="12807" max="12808" width="10.625" style="1440" customWidth="1"/>
    <col min="12809" max="12810" width="15.625" style="1440" customWidth="1"/>
    <col min="12811" max="13056" width="9" style="1440"/>
    <col min="13057" max="13058" width="8.625" style="1440" customWidth="1"/>
    <col min="13059" max="13059" width="11.875" style="1440" customWidth="1"/>
    <col min="13060" max="13060" width="10.625" style="1440" customWidth="1"/>
    <col min="13061" max="13061" width="8.625" style="1440" customWidth="1"/>
    <col min="13062" max="13062" width="12.625" style="1440" customWidth="1"/>
    <col min="13063" max="13064" width="10.625" style="1440" customWidth="1"/>
    <col min="13065" max="13066" width="15.625" style="1440" customWidth="1"/>
    <col min="13067" max="13312" width="9" style="1440"/>
    <col min="13313" max="13314" width="8.625" style="1440" customWidth="1"/>
    <col min="13315" max="13315" width="11.875" style="1440" customWidth="1"/>
    <col min="13316" max="13316" width="10.625" style="1440" customWidth="1"/>
    <col min="13317" max="13317" width="8.625" style="1440" customWidth="1"/>
    <col min="13318" max="13318" width="12.625" style="1440" customWidth="1"/>
    <col min="13319" max="13320" width="10.625" style="1440" customWidth="1"/>
    <col min="13321" max="13322" width="15.625" style="1440" customWidth="1"/>
    <col min="13323" max="13568" width="9" style="1440"/>
    <col min="13569" max="13570" width="8.625" style="1440" customWidth="1"/>
    <col min="13571" max="13571" width="11.875" style="1440" customWidth="1"/>
    <col min="13572" max="13572" width="10.625" style="1440" customWidth="1"/>
    <col min="13573" max="13573" width="8.625" style="1440" customWidth="1"/>
    <col min="13574" max="13574" width="12.625" style="1440" customWidth="1"/>
    <col min="13575" max="13576" width="10.625" style="1440" customWidth="1"/>
    <col min="13577" max="13578" width="15.625" style="1440" customWidth="1"/>
    <col min="13579" max="13824" width="9" style="1440"/>
    <col min="13825" max="13826" width="8.625" style="1440" customWidth="1"/>
    <col min="13827" max="13827" width="11.875" style="1440" customWidth="1"/>
    <col min="13828" max="13828" width="10.625" style="1440" customWidth="1"/>
    <col min="13829" max="13829" width="8.625" style="1440" customWidth="1"/>
    <col min="13830" max="13830" width="12.625" style="1440" customWidth="1"/>
    <col min="13831" max="13832" width="10.625" style="1440" customWidth="1"/>
    <col min="13833" max="13834" width="15.625" style="1440" customWidth="1"/>
    <col min="13835" max="14080" width="9" style="1440"/>
    <col min="14081" max="14082" width="8.625" style="1440" customWidth="1"/>
    <col min="14083" max="14083" width="11.875" style="1440" customWidth="1"/>
    <col min="14084" max="14084" width="10.625" style="1440" customWidth="1"/>
    <col min="14085" max="14085" width="8.625" style="1440" customWidth="1"/>
    <col min="14086" max="14086" width="12.625" style="1440" customWidth="1"/>
    <col min="14087" max="14088" width="10.625" style="1440" customWidth="1"/>
    <col min="14089" max="14090" width="15.625" style="1440" customWidth="1"/>
    <col min="14091" max="14336" width="9" style="1440"/>
    <col min="14337" max="14338" width="8.625" style="1440" customWidth="1"/>
    <col min="14339" max="14339" width="11.875" style="1440" customWidth="1"/>
    <col min="14340" max="14340" width="10.625" style="1440" customWidth="1"/>
    <col min="14341" max="14341" width="8.625" style="1440" customWidth="1"/>
    <col min="14342" max="14342" width="12.625" style="1440" customWidth="1"/>
    <col min="14343" max="14344" width="10.625" style="1440" customWidth="1"/>
    <col min="14345" max="14346" width="15.625" style="1440" customWidth="1"/>
    <col min="14347" max="14592" width="9" style="1440"/>
    <col min="14593" max="14594" width="8.625" style="1440" customWidth="1"/>
    <col min="14595" max="14595" width="11.875" style="1440" customWidth="1"/>
    <col min="14596" max="14596" width="10.625" style="1440" customWidth="1"/>
    <col min="14597" max="14597" width="8.625" style="1440" customWidth="1"/>
    <col min="14598" max="14598" width="12.625" style="1440" customWidth="1"/>
    <col min="14599" max="14600" width="10.625" style="1440" customWidth="1"/>
    <col min="14601" max="14602" width="15.625" style="1440" customWidth="1"/>
    <col min="14603" max="14848" width="9" style="1440"/>
    <col min="14849" max="14850" width="8.625" style="1440" customWidth="1"/>
    <col min="14851" max="14851" width="11.875" style="1440" customWidth="1"/>
    <col min="14852" max="14852" width="10.625" style="1440" customWidth="1"/>
    <col min="14853" max="14853" width="8.625" style="1440" customWidth="1"/>
    <col min="14854" max="14854" width="12.625" style="1440" customWidth="1"/>
    <col min="14855" max="14856" width="10.625" style="1440" customWidth="1"/>
    <col min="14857" max="14858" width="15.625" style="1440" customWidth="1"/>
    <col min="14859" max="15104" width="9" style="1440"/>
    <col min="15105" max="15106" width="8.625" style="1440" customWidth="1"/>
    <col min="15107" max="15107" width="11.875" style="1440" customWidth="1"/>
    <col min="15108" max="15108" width="10.625" style="1440" customWidth="1"/>
    <col min="15109" max="15109" width="8.625" style="1440" customWidth="1"/>
    <col min="15110" max="15110" width="12.625" style="1440" customWidth="1"/>
    <col min="15111" max="15112" width="10.625" style="1440" customWidth="1"/>
    <col min="15113" max="15114" width="15.625" style="1440" customWidth="1"/>
    <col min="15115" max="15360" width="9" style="1440"/>
    <col min="15361" max="15362" width="8.625" style="1440" customWidth="1"/>
    <col min="15363" max="15363" width="11.875" style="1440" customWidth="1"/>
    <col min="15364" max="15364" width="10.625" style="1440" customWidth="1"/>
    <col min="15365" max="15365" width="8.625" style="1440" customWidth="1"/>
    <col min="15366" max="15366" width="12.625" style="1440" customWidth="1"/>
    <col min="15367" max="15368" width="10.625" style="1440" customWidth="1"/>
    <col min="15369" max="15370" width="15.625" style="1440" customWidth="1"/>
    <col min="15371" max="15616" width="9" style="1440"/>
    <col min="15617" max="15618" width="8.625" style="1440" customWidth="1"/>
    <col min="15619" max="15619" width="11.875" style="1440" customWidth="1"/>
    <col min="15620" max="15620" width="10.625" style="1440" customWidth="1"/>
    <col min="15621" max="15621" width="8.625" style="1440" customWidth="1"/>
    <col min="15622" max="15622" width="12.625" style="1440" customWidth="1"/>
    <col min="15623" max="15624" width="10.625" style="1440" customWidth="1"/>
    <col min="15625" max="15626" width="15.625" style="1440" customWidth="1"/>
    <col min="15627" max="15872" width="9" style="1440"/>
    <col min="15873" max="15874" width="8.625" style="1440" customWidth="1"/>
    <col min="15875" max="15875" width="11.875" style="1440" customWidth="1"/>
    <col min="15876" max="15876" width="10.625" style="1440" customWidth="1"/>
    <col min="15877" max="15877" width="8.625" style="1440" customWidth="1"/>
    <col min="15878" max="15878" width="12.625" style="1440" customWidth="1"/>
    <col min="15879" max="15880" width="10.625" style="1440" customWidth="1"/>
    <col min="15881" max="15882" width="15.625" style="1440" customWidth="1"/>
    <col min="15883" max="16128" width="9" style="1440"/>
    <col min="16129" max="16130" width="8.625" style="1440" customWidth="1"/>
    <col min="16131" max="16131" width="11.875" style="1440" customWidth="1"/>
    <col min="16132" max="16132" width="10.625" style="1440" customWidth="1"/>
    <col min="16133" max="16133" width="8.625" style="1440" customWidth="1"/>
    <col min="16134" max="16134" width="12.625" style="1440" customWidth="1"/>
    <col min="16135" max="16136" width="10.625" style="1440" customWidth="1"/>
    <col min="16137" max="16138" width="15.625" style="1440" customWidth="1"/>
    <col min="16139" max="16384" width="9" style="1440"/>
  </cols>
  <sheetData>
    <row r="1" spans="1:10" s="1439" customFormat="1" ht="14.25" customHeight="1">
      <c r="A1" s="2053" t="s">
        <v>2771</v>
      </c>
      <c r="B1" s="2053"/>
      <c r="C1" s="2053"/>
      <c r="D1" s="2053"/>
      <c r="E1" s="2053"/>
      <c r="F1" s="2053"/>
      <c r="G1" s="2053"/>
      <c r="H1" s="2053"/>
      <c r="I1" s="1437"/>
      <c r="J1" s="1438"/>
    </row>
    <row r="2" spans="1:10" s="1439" customFormat="1" ht="14.25" customHeight="1">
      <c r="A2" s="2053"/>
      <c r="B2" s="2053"/>
      <c r="C2" s="2053"/>
      <c r="D2" s="2053"/>
      <c r="E2" s="2053"/>
      <c r="F2" s="2053"/>
      <c r="G2" s="2053"/>
      <c r="H2" s="2053"/>
      <c r="I2" s="1437"/>
      <c r="J2" s="1438"/>
    </row>
    <row r="3" spans="1:10" s="1439" customFormat="1" ht="14.25" customHeight="1">
      <c r="A3" s="2053"/>
      <c r="B3" s="2053"/>
      <c r="C3" s="2053"/>
      <c r="D3" s="2053"/>
      <c r="E3" s="2053"/>
      <c r="F3" s="2053"/>
      <c r="G3" s="2053"/>
      <c r="H3" s="2053"/>
      <c r="I3" s="1437"/>
      <c r="J3" s="1438"/>
    </row>
    <row r="4" spans="1:10" s="1439" customFormat="1" ht="61.5" customHeight="1">
      <c r="A4" s="1440"/>
      <c r="B4" s="1440"/>
      <c r="C4" s="1440"/>
      <c r="D4" s="1440"/>
      <c r="E4" s="1440"/>
      <c r="F4" s="1440"/>
      <c r="G4" s="1440"/>
      <c r="H4" s="1440"/>
      <c r="I4" s="1437"/>
      <c r="J4" s="1438"/>
    </row>
    <row r="5" spans="1:10" ht="50.25" customHeight="1">
      <c r="A5" s="2053"/>
      <c r="B5" s="2053"/>
      <c r="C5" s="2053"/>
      <c r="D5" s="2053"/>
      <c r="E5" s="2053"/>
      <c r="F5" s="2053"/>
      <c r="G5" s="2053"/>
      <c r="H5" s="2053"/>
    </row>
    <row r="9" spans="1:10" ht="30">
      <c r="B9" s="1441"/>
      <c r="C9" s="2054" t="s">
        <v>3615</v>
      </c>
      <c r="D9" s="2054"/>
      <c r="E9" s="1447" t="s">
        <v>3613</v>
      </c>
      <c r="F9" s="1443"/>
      <c r="G9" s="1443"/>
      <c r="H9" s="1441"/>
    </row>
    <row r="10" spans="1:10" ht="25.5">
      <c r="A10" s="2055"/>
      <c r="B10" s="2055"/>
      <c r="C10" s="2055"/>
      <c r="D10" s="2055"/>
      <c r="E10" s="2055"/>
      <c r="F10" s="2055"/>
      <c r="G10" s="2055"/>
      <c r="H10" s="2055"/>
    </row>
    <row r="11" spans="1:10" s="1437" customFormat="1" ht="69" customHeight="1">
      <c r="A11" s="1440"/>
      <c r="B11" s="1440"/>
      <c r="C11" s="1440"/>
      <c r="D11" s="1440"/>
      <c r="E11" s="1440"/>
      <c r="F11" s="1440"/>
      <c r="G11" s="1440"/>
      <c r="H11" s="1440"/>
      <c r="J11" s="1438"/>
    </row>
    <row r="12" spans="1:10" s="1437" customFormat="1" ht="30">
      <c r="A12" s="1441"/>
      <c r="B12" s="1441"/>
      <c r="D12" s="1442" t="s">
        <v>3616</v>
      </c>
      <c r="E12" s="1448" t="s">
        <v>3529</v>
      </c>
      <c r="F12" s="1445"/>
      <c r="G12" s="1441"/>
      <c r="H12" s="1441"/>
      <c r="J12" s="1438"/>
    </row>
    <row r="15" spans="1:10" s="1437" customFormat="1" ht="68.25" customHeight="1">
      <c r="A15" s="2052" t="s">
        <v>3621</v>
      </c>
      <c r="B15" s="2052"/>
      <c r="C15" s="2052"/>
      <c r="D15" s="2052"/>
      <c r="E15" s="2052"/>
      <c r="F15" s="2052"/>
      <c r="G15" s="2052"/>
      <c r="H15" s="2052"/>
      <c r="J15" s="1438"/>
    </row>
    <row r="16" spans="1:10" s="1437" customFormat="1" ht="105.75" customHeight="1">
      <c r="A16" s="2052" t="s">
        <v>3617</v>
      </c>
      <c r="B16" s="2052"/>
      <c r="C16" s="2052"/>
      <c r="D16" s="2052"/>
      <c r="E16" s="2052"/>
      <c r="F16" s="2052"/>
      <c r="G16" s="2052"/>
      <c r="H16" s="2052"/>
      <c r="J16" s="1438"/>
    </row>
    <row r="21" spans="1:10" s="1437" customFormat="1">
      <c r="A21" s="2053"/>
      <c r="B21" s="2053"/>
      <c r="C21" s="2053"/>
      <c r="D21" s="2053"/>
      <c r="E21" s="2053"/>
      <c r="F21" s="2053"/>
      <c r="G21" s="2053"/>
      <c r="H21" s="2053"/>
      <c r="J21" s="1438"/>
    </row>
    <row r="22" spans="1:10" s="1437" customFormat="1">
      <c r="A22" s="2053"/>
      <c r="B22" s="2053"/>
      <c r="C22" s="2053"/>
      <c r="D22" s="2053"/>
      <c r="E22" s="2053"/>
      <c r="F22" s="2053"/>
      <c r="G22" s="2053"/>
      <c r="H22" s="2053"/>
      <c r="J22" s="1438"/>
    </row>
    <row r="23" spans="1:10" s="1437" customFormat="1">
      <c r="A23" s="2053"/>
      <c r="B23" s="2053"/>
      <c r="C23" s="2053"/>
      <c r="D23" s="2053"/>
      <c r="E23" s="2053"/>
      <c r="F23" s="2053"/>
      <c r="G23" s="2053"/>
      <c r="H23" s="2053"/>
      <c r="J23" s="1438"/>
    </row>
    <row r="25" spans="1:10" s="1437" customFormat="1" ht="70.5" customHeight="1">
      <c r="A25" s="2053"/>
      <c r="B25" s="2053"/>
      <c r="C25" s="2053"/>
      <c r="D25" s="2053"/>
      <c r="E25" s="2053"/>
      <c r="F25" s="2053"/>
      <c r="G25" s="2053"/>
      <c r="H25" s="2053"/>
      <c r="J25" s="1438"/>
    </row>
    <row r="29" spans="1:10" s="1437" customFormat="1">
      <c r="A29" s="2053"/>
      <c r="B29" s="2053"/>
      <c r="C29" s="2053"/>
      <c r="D29" s="2053"/>
      <c r="E29" s="2053"/>
      <c r="F29" s="2053"/>
      <c r="G29" s="2053"/>
      <c r="H29" s="2053"/>
      <c r="J29" s="1438"/>
    </row>
    <row r="30" spans="1:10" s="1437" customFormat="1">
      <c r="A30" s="2053"/>
      <c r="B30" s="2053"/>
      <c r="C30" s="2053"/>
      <c r="D30" s="2053"/>
      <c r="E30" s="2053"/>
      <c r="F30" s="2053"/>
      <c r="G30" s="2053"/>
      <c r="H30" s="2053"/>
      <c r="J30" s="1438"/>
    </row>
    <row r="31" spans="1:10" s="1437" customFormat="1">
      <c r="A31" s="2053"/>
      <c r="B31" s="2053"/>
      <c r="C31" s="2053"/>
      <c r="D31" s="2053"/>
      <c r="E31" s="2053"/>
      <c r="F31" s="2053"/>
      <c r="G31" s="2053"/>
      <c r="H31" s="2053"/>
      <c r="J31" s="1438"/>
    </row>
    <row r="32" spans="1:10" s="1437" customFormat="1">
      <c r="A32" s="2053"/>
      <c r="B32" s="2053"/>
      <c r="C32" s="2053"/>
      <c r="D32" s="2053"/>
      <c r="E32" s="2053"/>
      <c r="F32" s="2053"/>
      <c r="G32" s="2053"/>
      <c r="H32" s="2053"/>
      <c r="J32" s="1438"/>
    </row>
    <row r="33" spans="1:10" s="1437" customFormat="1">
      <c r="A33" s="2053" t="s">
        <v>3614</v>
      </c>
      <c r="B33" s="2053"/>
      <c r="C33" s="2053"/>
      <c r="D33" s="2053"/>
      <c r="E33" s="2053"/>
      <c r="F33" s="2053"/>
      <c r="G33" s="2053"/>
      <c r="H33" s="2053"/>
      <c r="J33" s="1438"/>
    </row>
    <row r="34" spans="1:10" s="1437" customFormat="1">
      <c r="A34" s="2053"/>
      <c r="B34" s="2053"/>
      <c r="C34" s="2053"/>
      <c r="D34" s="2053"/>
      <c r="E34" s="2053"/>
      <c r="F34" s="2053"/>
      <c r="G34" s="2053"/>
      <c r="H34" s="2053"/>
      <c r="J34" s="1438"/>
    </row>
    <row r="35" spans="1:10" s="1437" customFormat="1">
      <c r="A35" s="2053"/>
      <c r="B35" s="2053"/>
      <c r="C35" s="2053"/>
      <c r="D35" s="2053"/>
      <c r="E35" s="2053"/>
      <c r="F35" s="2053"/>
      <c r="G35" s="2053"/>
      <c r="H35" s="2053"/>
      <c r="J35" s="1438"/>
    </row>
    <row r="44" spans="1:10" s="1437" customFormat="1" ht="30">
      <c r="A44" s="1440"/>
      <c r="B44" s="1441"/>
      <c r="C44" s="1442"/>
      <c r="D44" s="1442" t="s">
        <v>3615</v>
      </c>
      <c r="E44" s="1446" t="s">
        <v>3618</v>
      </c>
      <c r="F44" s="1443"/>
      <c r="G44" s="1443"/>
      <c r="H44" s="1441"/>
      <c r="J44" s="1438"/>
    </row>
    <row r="45" spans="1:10" s="1437" customFormat="1" ht="25.5">
      <c r="A45" s="1444"/>
      <c r="B45" s="1444"/>
      <c r="C45" s="1444"/>
      <c r="D45" s="1444"/>
      <c r="E45" s="1444"/>
      <c r="F45" s="1444"/>
      <c r="G45" s="1444"/>
      <c r="H45" s="1444"/>
      <c r="J45" s="1438"/>
    </row>
    <row r="46" spans="1:10" s="1437" customFormat="1" ht="72.75" customHeight="1">
      <c r="A46" s="1440"/>
      <c r="B46" s="1440"/>
      <c r="C46" s="1440"/>
      <c r="D46" s="1440"/>
      <c r="E46" s="1440"/>
      <c r="F46" s="1440"/>
      <c r="G46" s="1440"/>
      <c r="H46" s="1440"/>
      <c r="J46" s="1438"/>
    </row>
    <row r="47" spans="1:10" s="1437" customFormat="1" ht="30">
      <c r="A47" s="1441"/>
      <c r="B47" s="1441"/>
      <c r="D47" s="1442" t="s">
        <v>3616</v>
      </c>
      <c r="E47" s="1445">
        <v>2440</v>
      </c>
      <c r="F47" s="1445"/>
      <c r="G47" s="1441"/>
      <c r="H47" s="1441"/>
      <c r="J47" s="1438"/>
    </row>
    <row r="48" spans="1:10" s="1437" customFormat="1" ht="48.75" customHeight="1">
      <c r="A48" s="1440"/>
      <c r="B48" s="1440"/>
      <c r="C48" s="1440"/>
      <c r="D48" s="1440"/>
      <c r="E48" s="1440"/>
      <c r="F48" s="1440"/>
      <c r="G48" s="1440"/>
      <c r="H48" s="1440"/>
      <c r="J48" s="1438"/>
    </row>
    <row r="49" spans="1:10" s="1437" customFormat="1" ht="48.75" customHeight="1">
      <c r="A49" s="1440"/>
      <c r="B49" s="1440"/>
      <c r="C49" s="1440"/>
      <c r="D49" s="1440"/>
      <c r="E49" s="1440"/>
      <c r="F49" s="1440"/>
      <c r="G49" s="1440"/>
      <c r="H49" s="1440"/>
      <c r="J49" s="1438"/>
    </row>
    <row r="50" spans="1:10" s="1437" customFormat="1" ht="60" customHeight="1">
      <c r="A50" s="2052" t="s">
        <v>3619</v>
      </c>
      <c r="B50" s="2052"/>
      <c r="C50" s="2052"/>
      <c r="D50" s="2052"/>
      <c r="E50" s="2052"/>
      <c r="F50" s="2052"/>
      <c r="G50" s="2052"/>
      <c r="H50" s="2052"/>
      <c r="J50" s="1438"/>
    </row>
    <row r="51" spans="1:10" s="1437" customFormat="1" ht="125.25" customHeight="1">
      <c r="A51" s="2052" t="s">
        <v>3620</v>
      </c>
      <c r="B51" s="2052"/>
      <c r="C51" s="2052"/>
      <c r="D51" s="2052"/>
      <c r="E51" s="2052"/>
      <c r="F51" s="2052"/>
      <c r="G51" s="2052"/>
      <c r="H51" s="2052"/>
      <c r="J51" s="1438"/>
    </row>
  </sheetData>
  <mergeCells count="12">
    <mergeCell ref="A51:H51"/>
    <mergeCell ref="A1:H3"/>
    <mergeCell ref="A5:H5"/>
    <mergeCell ref="C9:D9"/>
    <mergeCell ref="A10:H10"/>
    <mergeCell ref="A15:H15"/>
    <mergeCell ref="A16:H16"/>
    <mergeCell ref="A21:H23"/>
    <mergeCell ref="A25:H25"/>
    <mergeCell ref="A29:H32"/>
    <mergeCell ref="A33:H35"/>
    <mergeCell ref="A50:H50"/>
  </mergeCells>
  <phoneticPr fontId="4"/>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874A8-DB30-4270-B7AE-A7E7A74C6A63}">
  <sheetPr codeName="Sheet11"/>
  <dimension ref="A3:EV4683"/>
  <sheetViews>
    <sheetView topLeftCell="A3734" zoomScaleNormal="100" workbookViewId="0">
      <selection activeCell="A3774" sqref="A3774"/>
    </sheetView>
  </sheetViews>
  <sheetFormatPr defaultRowHeight="13.5"/>
  <cols>
    <col min="1" max="1" width="40.875" customWidth="1"/>
    <col min="2" max="2" width="23.625" customWidth="1"/>
    <col min="3" max="3" width="24.625" customWidth="1"/>
    <col min="4" max="4" width="36.375" customWidth="1"/>
    <col min="5" max="5" width="33.75" customWidth="1"/>
    <col min="6" max="6" width="25.25" customWidth="1"/>
    <col min="7" max="7" width="37.125" customWidth="1"/>
    <col min="8" max="8" width="40.75" customWidth="1"/>
    <col min="9" max="9" width="27.625" customWidth="1"/>
    <col min="10" max="10" width="29.75" customWidth="1"/>
    <col min="11" max="11" width="22.125" customWidth="1"/>
    <col min="12" max="12" width="14" bestFit="1" customWidth="1"/>
    <col min="257" max="257" width="26.375" customWidth="1"/>
    <col min="258" max="258" width="27.625" customWidth="1"/>
    <col min="259" max="259" width="29.25" customWidth="1"/>
    <col min="260" max="260" width="26.375" customWidth="1"/>
    <col min="261" max="261" width="29.875" customWidth="1"/>
    <col min="262" max="262" width="28.375" customWidth="1"/>
    <col min="263" max="263" width="19" customWidth="1"/>
    <col min="264" max="265" width="49.25" customWidth="1"/>
    <col min="266" max="266" width="29.75" customWidth="1"/>
    <col min="268" max="268" width="14" bestFit="1" customWidth="1"/>
    <col min="513" max="513" width="26.375" customWidth="1"/>
    <col min="514" max="514" width="27.625" customWidth="1"/>
    <col min="515" max="515" width="29.25" customWidth="1"/>
    <col min="516" max="516" width="26.375" customWidth="1"/>
    <col min="517" max="517" width="29.875" customWidth="1"/>
    <col min="518" max="518" width="28.375" customWidth="1"/>
    <col min="519" max="519" width="19" customWidth="1"/>
    <col min="520" max="521" width="49.25" customWidth="1"/>
    <col min="522" max="522" width="29.75" customWidth="1"/>
    <col min="524" max="524" width="14" bestFit="1" customWidth="1"/>
    <col min="769" max="769" width="26.375" customWidth="1"/>
    <col min="770" max="770" width="27.625" customWidth="1"/>
    <col min="771" max="771" width="29.25" customWidth="1"/>
    <col min="772" max="772" width="26.375" customWidth="1"/>
    <col min="773" max="773" width="29.875" customWidth="1"/>
    <col min="774" max="774" width="28.375" customWidth="1"/>
    <col min="775" max="775" width="19" customWidth="1"/>
    <col min="776" max="777" width="49.25" customWidth="1"/>
    <col min="778" max="778" width="29.75" customWidth="1"/>
    <col min="780" max="780" width="14" bestFit="1" customWidth="1"/>
    <col min="1025" max="1025" width="26.375" customWidth="1"/>
    <col min="1026" max="1026" width="27.625" customWidth="1"/>
    <col min="1027" max="1027" width="29.25" customWidth="1"/>
    <col min="1028" max="1028" width="26.375" customWidth="1"/>
    <col min="1029" max="1029" width="29.875" customWidth="1"/>
    <col min="1030" max="1030" width="28.375" customWidth="1"/>
    <col min="1031" max="1031" width="19" customWidth="1"/>
    <col min="1032" max="1033" width="49.25" customWidth="1"/>
    <col min="1034" max="1034" width="29.75" customWidth="1"/>
    <col min="1036" max="1036" width="14" bestFit="1" customWidth="1"/>
    <col min="1281" max="1281" width="26.375" customWidth="1"/>
    <col min="1282" max="1282" width="27.625" customWidth="1"/>
    <col min="1283" max="1283" width="29.25" customWidth="1"/>
    <col min="1284" max="1284" width="26.375" customWidth="1"/>
    <col min="1285" max="1285" width="29.875" customWidth="1"/>
    <col min="1286" max="1286" width="28.375" customWidth="1"/>
    <col min="1287" max="1287" width="19" customWidth="1"/>
    <col min="1288" max="1289" width="49.25" customWidth="1"/>
    <col min="1290" max="1290" width="29.75" customWidth="1"/>
    <col min="1292" max="1292" width="14" bestFit="1" customWidth="1"/>
    <col min="1537" max="1537" width="26.375" customWidth="1"/>
    <col min="1538" max="1538" width="27.625" customWidth="1"/>
    <col min="1539" max="1539" width="29.25" customWidth="1"/>
    <col min="1540" max="1540" width="26.375" customWidth="1"/>
    <col min="1541" max="1541" width="29.875" customWidth="1"/>
    <col min="1542" max="1542" width="28.375" customWidth="1"/>
    <col min="1543" max="1543" width="19" customWidth="1"/>
    <col min="1544" max="1545" width="49.25" customWidth="1"/>
    <col min="1546" max="1546" width="29.75" customWidth="1"/>
    <col min="1548" max="1548" width="14" bestFit="1" customWidth="1"/>
    <col min="1793" max="1793" width="26.375" customWidth="1"/>
    <col min="1794" max="1794" width="27.625" customWidth="1"/>
    <col min="1795" max="1795" width="29.25" customWidth="1"/>
    <col min="1796" max="1796" width="26.375" customWidth="1"/>
    <col min="1797" max="1797" width="29.875" customWidth="1"/>
    <col min="1798" max="1798" width="28.375" customWidth="1"/>
    <col min="1799" max="1799" width="19" customWidth="1"/>
    <col min="1800" max="1801" width="49.25" customWidth="1"/>
    <col min="1802" max="1802" width="29.75" customWidth="1"/>
    <col min="1804" max="1804" width="14" bestFit="1" customWidth="1"/>
    <col min="2049" max="2049" width="26.375" customWidth="1"/>
    <col min="2050" max="2050" width="27.625" customWidth="1"/>
    <col min="2051" max="2051" width="29.25" customWidth="1"/>
    <col min="2052" max="2052" width="26.375" customWidth="1"/>
    <col min="2053" max="2053" width="29.875" customWidth="1"/>
    <col min="2054" max="2054" width="28.375" customWidth="1"/>
    <col min="2055" max="2055" width="19" customWidth="1"/>
    <col min="2056" max="2057" width="49.25" customWidth="1"/>
    <col min="2058" max="2058" width="29.75" customWidth="1"/>
    <col min="2060" max="2060" width="14" bestFit="1" customWidth="1"/>
    <col min="2305" max="2305" width="26.375" customWidth="1"/>
    <col min="2306" max="2306" width="27.625" customWidth="1"/>
    <col min="2307" max="2307" width="29.25" customWidth="1"/>
    <col min="2308" max="2308" width="26.375" customWidth="1"/>
    <col min="2309" max="2309" width="29.875" customWidth="1"/>
    <col min="2310" max="2310" width="28.375" customWidth="1"/>
    <col min="2311" max="2311" width="19" customWidth="1"/>
    <col min="2312" max="2313" width="49.25" customWidth="1"/>
    <col min="2314" max="2314" width="29.75" customWidth="1"/>
    <col min="2316" max="2316" width="14" bestFit="1" customWidth="1"/>
    <col min="2561" max="2561" width="26.375" customWidth="1"/>
    <col min="2562" max="2562" width="27.625" customWidth="1"/>
    <col min="2563" max="2563" width="29.25" customWidth="1"/>
    <col min="2564" max="2564" width="26.375" customWidth="1"/>
    <col min="2565" max="2565" width="29.875" customWidth="1"/>
    <col min="2566" max="2566" width="28.375" customWidth="1"/>
    <col min="2567" max="2567" width="19" customWidth="1"/>
    <col min="2568" max="2569" width="49.25" customWidth="1"/>
    <col min="2570" max="2570" width="29.75" customWidth="1"/>
    <col min="2572" max="2572" width="14" bestFit="1" customWidth="1"/>
    <col min="2817" max="2817" width="26.375" customWidth="1"/>
    <col min="2818" max="2818" width="27.625" customWidth="1"/>
    <col min="2819" max="2819" width="29.25" customWidth="1"/>
    <col min="2820" max="2820" width="26.375" customWidth="1"/>
    <col min="2821" max="2821" width="29.875" customWidth="1"/>
    <col min="2822" max="2822" width="28.375" customWidth="1"/>
    <col min="2823" max="2823" width="19" customWidth="1"/>
    <col min="2824" max="2825" width="49.25" customWidth="1"/>
    <col min="2826" max="2826" width="29.75" customWidth="1"/>
    <col min="2828" max="2828" width="14" bestFit="1" customWidth="1"/>
    <col min="3073" max="3073" width="26.375" customWidth="1"/>
    <col min="3074" max="3074" width="27.625" customWidth="1"/>
    <col min="3075" max="3075" width="29.25" customWidth="1"/>
    <col min="3076" max="3076" width="26.375" customWidth="1"/>
    <col min="3077" max="3077" width="29.875" customWidth="1"/>
    <col min="3078" max="3078" width="28.375" customWidth="1"/>
    <col min="3079" max="3079" width="19" customWidth="1"/>
    <col min="3080" max="3081" width="49.25" customWidth="1"/>
    <col min="3082" max="3082" width="29.75" customWidth="1"/>
    <col min="3084" max="3084" width="14" bestFit="1" customWidth="1"/>
    <col min="3329" max="3329" width="26.375" customWidth="1"/>
    <col min="3330" max="3330" width="27.625" customWidth="1"/>
    <col min="3331" max="3331" width="29.25" customWidth="1"/>
    <col min="3332" max="3332" width="26.375" customWidth="1"/>
    <col min="3333" max="3333" width="29.875" customWidth="1"/>
    <col min="3334" max="3334" width="28.375" customWidth="1"/>
    <col min="3335" max="3335" width="19" customWidth="1"/>
    <col min="3336" max="3337" width="49.25" customWidth="1"/>
    <col min="3338" max="3338" width="29.75" customWidth="1"/>
    <col min="3340" max="3340" width="14" bestFit="1" customWidth="1"/>
    <col min="3585" max="3585" width="26.375" customWidth="1"/>
    <col min="3586" max="3586" width="27.625" customWidth="1"/>
    <col min="3587" max="3587" width="29.25" customWidth="1"/>
    <col min="3588" max="3588" width="26.375" customWidth="1"/>
    <col min="3589" max="3589" width="29.875" customWidth="1"/>
    <col min="3590" max="3590" width="28.375" customWidth="1"/>
    <col min="3591" max="3591" width="19" customWidth="1"/>
    <col min="3592" max="3593" width="49.25" customWidth="1"/>
    <col min="3594" max="3594" width="29.75" customWidth="1"/>
    <col min="3596" max="3596" width="14" bestFit="1" customWidth="1"/>
    <col min="3841" max="3841" width="26.375" customWidth="1"/>
    <col min="3842" max="3842" width="27.625" customWidth="1"/>
    <col min="3843" max="3843" width="29.25" customWidth="1"/>
    <col min="3844" max="3844" width="26.375" customWidth="1"/>
    <col min="3845" max="3845" width="29.875" customWidth="1"/>
    <col min="3846" max="3846" width="28.375" customWidth="1"/>
    <col min="3847" max="3847" width="19" customWidth="1"/>
    <col min="3848" max="3849" width="49.25" customWidth="1"/>
    <col min="3850" max="3850" width="29.75" customWidth="1"/>
    <col min="3852" max="3852" width="14" bestFit="1" customWidth="1"/>
    <col min="4097" max="4097" width="26.375" customWidth="1"/>
    <col min="4098" max="4098" width="27.625" customWidth="1"/>
    <col min="4099" max="4099" width="29.25" customWidth="1"/>
    <col min="4100" max="4100" width="26.375" customWidth="1"/>
    <col min="4101" max="4101" width="29.875" customWidth="1"/>
    <col min="4102" max="4102" width="28.375" customWidth="1"/>
    <col min="4103" max="4103" width="19" customWidth="1"/>
    <col min="4104" max="4105" width="49.25" customWidth="1"/>
    <col min="4106" max="4106" width="29.75" customWidth="1"/>
    <col min="4108" max="4108" width="14" bestFit="1" customWidth="1"/>
    <col min="4353" max="4353" width="26.375" customWidth="1"/>
    <col min="4354" max="4354" width="27.625" customWidth="1"/>
    <col min="4355" max="4355" width="29.25" customWidth="1"/>
    <col min="4356" max="4356" width="26.375" customWidth="1"/>
    <col min="4357" max="4357" width="29.875" customWidth="1"/>
    <col min="4358" max="4358" width="28.375" customWidth="1"/>
    <col min="4359" max="4359" width="19" customWidth="1"/>
    <col min="4360" max="4361" width="49.25" customWidth="1"/>
    <col min="4362" max="4362" width="29.75" customWidth="1"/>
    <col min="4364" max="4364" width="14" bestFit="1" customWidth="1"/>
    <col min="4609" max="4609" width="26.375" customWidth="1"/>
    <col min="4610" max="4610" width="27.625" customWidth="1"/>
    <col min="4611" max="4611" width="29.25" customWidth="1"/>
    <col min="4612" max="4612" width="26.375" customWidth="1"/>
    <col min="4613" max="4613" width="29.875" customWidth="1"/>
    <col min="4614" max="4614" width="28.375" customWidth="1"/>
    <col min="4615" max="4615" width="19" customWidth="1"/>
    <col min="4616" max="4617" width="49.25" customWidth="1"/>
    <col min="4618" max="4618" width="29.75" customWidth="1"/>
    <col min="4620" max="4620" width="14" bestFit="1" customWidth="1"/>
    <col min="4865" max="4865" width="26.375" customWidth="1"/>
    <col min="4866" max="4866" width="27.625" customWidth="1"/>
    <col min="4867" max="4867" width="29.25" customWidth="1"/>
    <col min="4868" max="4868" width="26.375" customWidth="1"/>
    <col min="4869" max="4869" width="29.875" customWidth="1"/>
    <col min="4870" max="4870" width="28.375" customWidth="1"/>
    <col min="4871" max="4871" width="19" customWidth="1"/>
    <col min="4872" max="4873" width="49.25" customWidth="1"/>
    <col min="4874" max="4874" width="29.75" customWidth="1"/>
    <col min="4876" max="4876" width="14" bestFit="1" customWidth="1"/>
    <col min="5121" max="5121" width="26.375" customWidth="1"/>
    <col min="5122" max="5122" width="27.625" customWidth="1"/>
    <col min="5123" max="5123" width="29.25" customWidth="1"/>
    <col min="5124" max="5124" width="26.375" customWidth="1"/>
    <col min="5125" max="5125" width="29.875" customWidth="1"/>
    <col min="5126" max="5126" width="28.375" customWidth="1"/>
    <col min="5127" max="5127" width="19" customWidth="1"/>
    <col min="5128" max="5129" width="49.25" customWidth="1"/>
    <col min="5130" max="5130" width="29.75" customWidth="1"/>
    <col min="5132" max="5132" width="14" bestFit="1" customWidth="1"/>
    <col min="5377" max="5377" width="26.375" customWidth="1"/>
    <col min="5378" max="5378" width="27.625" customWidth="1"/>
    <col min="5379" max="5379" width="29.25" customWidth="1"/>
    <col min="5380" max="5380" width="26.375" customWidth="1"/>
    <col min="5381" max="5381" width="29.875" customWidth="1"/>
    <col min="5382" max="5382" width="28.375" customWidth="1"/>
    <col min="5383" max="5383" width="19" customWidth="1"/>
    <col min="5384" max="5385" width="49.25" customWidth="1"/>
    <col min="5386" max="5386" width="29.75" customWidth="1"/>
    <col min="5388" max="5388" width="14" bestFit="1" customWidth="1"/>
    <col min="5633" max="5633" width="26.375" customWidth="1"/>
    <col min="5634" max="5634" width="27.625" customWidth="1"/>
    <col min="5635" max="5635" width="29.25" customWidth="1"/>
    <col min="5636" max="5636" width="26.375" customWidth="1"/>
    <col min="5637" max="5637" width="29.875" customWidth="1"/>
    <col min="5638" max="5638" width="28.375" customWidth="1"/>
    <col min="5639" max="5639" width="19" customWidth="1"/>
    <col min="5640" max="5641" width="49.25" customWidth="1"/>
    <col min="5642" max="5642" width="29.75" customWidth="1"/>
    <col min="5644" max="5644" width="14" bestFit="1" customWidth="1"/>
    <col min="5889" max="5889" width="26.375" customWidth="1"/>
    <col min="5890" max="5890" width="27.625" customWidth="1"/>
    <col min="5891" max="5891" width="29.25" customWidth="1"/>
    <col min="5892" max="5892" width="26.375" customWidth="1"/>
    <col min="5893" max="5893" width="29.875" customWidth="1"/>
    <col min="5894" max="5894" width="28.375" customWidth="1"/>
    <col min="5895" max="5895" width="19" customWidth="1"/>
    <col min="5896" max="5897" width="49.25" customWidth="1"/>
    <col min="5898" max="5898" width="29.75" customWidth="1"/>
    <col min="5900" max="5900" width="14" bestFit="1" customWidth="1"/>
    <col min="6145" max="6145" width="26.375" customWidth="1"/>
    <col min="6146" max="6146" width="27.625" customWidth="1"/>
    <col min="6147" max="6147" width="29.25" customWidth="1"/>
    <col min="6148" max="6148" width="26.375" customWidth="1"/>
    <col min="6149" max="6149" width="29.875" customWidth="1"/>
    <col min="6150" max="6150" width="28.375" customWidth="1"/>
    <col min="6151" max="6151" width="19" customWidth="1"/>
    <col min="6152" max="6153" width="49.25" customWidth="1"/>
    <col min="6154" max="6154" width="29.75" customWidth="1"/>
    <col min="6156" max="6156" width="14" bestFit="1" customWidth="1"/>
    <col min="6401" max="6401" width="26.375" customWidth="1"/>
    <col min="6402" max="6402" width="27.625" customWidth="1"/>
    <col min="6403" max="6403" width="29.25" customWidth="1"/>
    <col min="6404" max="6404" width="26.375" customWidth="1"/>
    <col min="6405" max="6405" width="29.875" customWidth="1"/>
    <col min="6406" max="6406" width="28.375" customWidth="1"/>
    <col min="6407" max="6407" width="19" customWidth="1"/>
    <col min="6408" max="6409" width="49.25" customWidth="1"/>
    <col min="6410" max="6410" width="29.75" customWidth="1"/>
    <col min="6412" max="6412" width="14" bestFit="1" customWidth="1"/>
    <col min="6657" max="6657" width="26.375" customWidth="1"/>
    <col min="6658" max="6658" width="27.625" customWidth="1"/>
    <col min="6659" max="6659" width="29.25" customWidth="1"/>
    <col min="6660" max="6660" width="26.375" customWidth="1"/>
    <col min="6661" max="6661" width="29.875" customWidth="1"/>
    <col min="6662" max="6662" width="28.375" customWidth="1"/>
    <col min="6663" max="6663" width="19" customWidth="1"/>
    <col min="6664" max="6665" width="49.25" customWidth="1"/>
    <col min="6666" max="6666" width="29.75" customWidth="1"/>
    <col min="6668" max="6668" width="14" bestFit="1" customWidth="1"/>
    <col min="6913" max="6913" width="26.375" customWidth="1"/>
    <col min="6914" max="6914" width="27.625" customWidth="1"/>
    <col min="6915" max="6915" width="29.25" customWidth="1"/>
    <col min="6916" max="6916" width="26.375" customWidth="1"/>
    <col min="6917" max="6917" width="29.875" customWidth="1"/>
    <col min="6918" max="6918" width="28.375" customWidth="1"/>
    <col min="6919" max="6919" width="19" customWidth="1"/>
    <col min="6920" max="6921" width="49.25" customWidth="1"/>
    <col min="6922" max="6922" width="29.75" customWidth="1"/>
    <col min="6924" max="6924" width="14" bestFit="1" customWidth="1"/>
    <col min="7169" max="7169" width="26.375" customWidth="1"/>
    <col min="7170" max="7170" width="27.625" customWidth="1"/>
    <col min="7171" max="7171" width="29.25" customWidth="1"/>
    <col min="7172" max="7172" width="26.375" customWidth="1"/>
    <col min="7173" max="7173" width="29.875" customWidth="1"/>
    <col min="7174" max="7174" width="28.375" customWidth="1"/>
    <col min="7175" max="7175" width="19" customWidth="1"/>
    <col min="7176" max="7177" width="49.25" customWidth="1"/>
    <col min="7178" max="7178" width="29.75" customWidth="1"/>
    <col min="7180" max="7180" width="14" bestFit="1" customWidth="1"/>
    <col min="7425" max="7425" width="26.375" customWidth="1"/>
    <col min="7426" max="7426" width="27.625" customWidth="1"/>
    <col min="7427" max="7427" width="29.25" customWidth="1"/>
    <col min="7428" max="7428" width="26.375" customWidth="1"/>
    <col min="7429" max="7429" width="29.875" customWidth="1"/>
    <col min="7430" max="7430" width="28.375" customWidth="1"/>
    <col min="7431" max="7431" width="19" customWidth="1"/>
    <col min="7432" max="7433" width="49.25" customWidth="1"/>
    <col min="7434" max="7434" width="29.75" customWidth="1"/>
    <col min="7436" max="7436" width="14" bestFit="1" customWidth="1"/>
    <col min="7681" max="7681" width="26.375" customWidth="1"/>
    <col min="7682" max="7682" width="27.625" customWidth="1"/>
    <col min="7683" max="7683" width="29.25" customWidth="1"/>
    <col min="7684" max="7684" width="26.375" customWidth="1"/>
    <col min="7685" max="7685" width="29.875" customWidth="1"/>
    <col min="7686" max="7686" width="28.375" customWidth="1"/>
    <col min="7687" max="7687" width="19" customWidth="1"/>
    <col min="7688" max="7689" width="49.25" customWidth="1"/>
    <col min="7690" max="7690" width="29.75" customWidth="1"/>
    <col min="7692" max="7692" width="14" bestFit="1" customWidth="1"/>
    <col min="7937" max="7937" width="26.375" customWidth="1"/>
    <col min="7938" max="7938" width="27.625" customWidth="1"/>
    <col min="7939" max="7939" width="29.25" customWidth="1"/>
    <col min="7940" max="7940" width="26.375" customWidth="1"/>
    <col min="7941" max="7941" width="29.875" customWidth="1"/>
    <col min="7942" max="7942" width="28.375" customWidth="1"/>
    <col min="7943" max="7943" width="19" customWidth="1"/>
    <col min="7944" max="7945" width="49.25" customWidth="1"/>
    <col min="7946" max="7946" width="29.75" customWidth="1"/>
    <col min="7948" max="7948" width="14" bestFit="1" customWidth="1"/>
    <col min="8193" max="8193" width="26.375" customWidth="1"/>
    <col min="8194" max="8194" width="27.625" customWidth="1"/>
    <col min="8195" max="8195" width="29.25" customWidth="1"/>
    <col min="8196" max="8196" width="26.375" customWidth="1"/>
    <col min="8197" max="8197" width="29.875" customWidth="1"/>
    <col min="8198" max="8198" width="28.375" customWidth="1"/>
    <col min="8199" max="8199" width="19" customWidth="1"/>
    <col min="8200" max="8201" width="49.25" customWidth="1"/>
    <col min="8202" max="8202" width="29.75" customWidth="1"/>
    <col min="8204" max="8204" width="14" bestFit="1" customWidth="1"/>
    <col min="8449" max="8449" width="26.375" customWidth="1"/>
    <col min="8450" max="8450" width="27.625" customWidth="1"/>
    <col min="8451" max="8451" width="29.25" customWidth="1"/>
    <col min="8452" max="8452" width="26.375" customWidth="1"/>
    <col min="8453" max="8453" width="29.875" customWidth="1"/>
    <col min="8454" max="8454" width="28.375" customWidth="1"/>
    <col min="8455" max="8455" width="19" customWidth="1"/>
    <col min="8456" max="8457" width="49.25" customWidth="1"/>
    <col min="8458" max="8458" width="29.75" customWidth="1"/>
    <col min="8460" max="8460" width="14" bestFit="1" customWidth="1"/>
    <col min="8705" max="8705" width="26.375" customWidth="1"/>
    <col min="8706" max="8706" width="27.625" customWidth="1"/>
    <col min="8707" max="8707" width="29.25" customWidth="1"/>
    <col min="8708" max="8708" width="26.375" customWidth="1"/>
    <col min="8709" max="8709" width="29.875" customWidth="1"/>
    <col min="8710" max="8710" width="28.375" customWidth="1"/>
    <col min="8711" max="8711" width="19" customWidth="1"/>
    <col min="8712" max="8713" width="49.25" customWidth="1"/>
    <col min="8714" max="8714" width="29.75" customWidth="1"/>
    <col min="8716" max="8716" width="14" bestFit="1" customWidth="1"/>
    <col min="8961" max="8961" width="26.375" customWidth="1"/>
    <col min="8962" max="8962" width="27.625" customWidth="1"/>
    <col min="8963" max="8963" width="29.25" customWidth="1"/>
    <col min="8964" max="8964" width="26.375" customWidth="1"/>
    <col min="8965" max="8965" width="29.875" customWidth="1"/>
    <col min="8966" max="8966" width="28.375" customWidth="1"/>
    <col min="8967" max="8967" width="19" customWidth="1"/>
    <col min="8968" max="8969" width="49.25" customWidth="1"/>
    <col min="8970" max="8970" width="29.75" customWidth="1"/>
    <col min="8972" max="8972" width="14" bestFit="1" customWidth="1"/>
    <col min="9217" max="9217" width="26.375" customWidth="1"/>
    <col min="9218" max="9218" width="27.625" customWidth="1"/>
    <col min="9219" max="9219" width="29.25" customWidth="1"/>
    <col min="9220" max="9220" width="26.375" customWidth="1"/>
    <col min="9221" max="9221" width="29.875" customWidth="1"/>
    <col min="9222" max="9222" width="28.375" customWidth="1"/>
    <col min="9223" max="9223" width="19" customWidth="1"/>
    <col min="9224" max="9225" width="49.25" customWidth="1"/>
    <col min="9226" max="9226" width="29.75" customWidth="1"/>
    <col min="9228" max="9228" width="14" bestFit="1" customWidth="1"/>
    <col min="9473" max="9473" width="26.375" customWidth="1"/>
    <col min="9474" max="9474" width="27.625" customWidth="1"/>
    <col min="9475" max="9475" width="29.25" customWidth="1"/>
    <col min="9476" max="9476" width="26.375" customWidth="1"/>
    <col min="9477" max="9477" width="29.875" customWidth="1"/>
    <col min="9478" max="9478" width="28.375" customWidth="1"/>
    <col min="9479" max="9479" width="19" customWidth="1"/>
    <col min="9480" max="9481" width="49.25" customWidth="1"/>
    <col min="9482" max="9482" width="29.75" customWidth="1"/>
    <col min="9484" max="9484" width="14" bestFit="1" customWidth="1"/>
    <col min="9729" max="9729" width="26.375" customWidth="1"/>
    <col min="9730" max="9730" width="27.625" customWidth="1"/>
    <col min="9731" max="9731" width="29.25" customWidth="1"/>
    <col min="9732" max="9732" width="26.375" customWidth="1"/>
    <col min="9733" max="9733" width="29.875" customWidth="1"/>
    <col min="9734" max="9734" width="28.375" customWidth="1"/>
    <col min="9735" max="9735" width="19" customWidth="1"/>
    <col min="9736" max="9737" width="49.25" customWidth="1"/>
    <col min="9738" max="9738" width="29.75" customWidth="1"/>
    <col min="9740" max="9740" width="14" bestFit="1" customWidth="1"/>
    <col min="9985" max="9985" width="26.375" customWidth="1"/>
    <col min="9986" max="9986" width="27.625" customWidth="1"/>
    <col min="9987" max="9987" width="29.25" customWidth="1"/>
    <col min="9988" max="9988" width="26.375" customWidth="1"/>
    <col min="9989" max="9989" width="29.875" customWidth="1"/>
    <col min="9990" max="9990" width="28.375" customWidth="1"/>
    <col min="9991" max="9991" width="19" customWidth="1"/>
    <col min="9992" max="9993" width="49.25" customWidth="1"/>
    <col min="9994" max="9994" width="29.75" customWidth="1"/>
    <col min="9996" max="9996" width="14" bestFit="1" customWidth="1"/>
    <col min="10241" max="10241" width="26.375" customWidth="1"/>
    <col min="10242" max="10242" width="27.625" customWidth="1"/>
    <col min="10243" max="10243" width="29.25" customWidth="1"/>
    <col min="10244" max="10244" width="26.375" customWidth="1"/>
    <col min="10245" max="10245" width="29.875" customWidth="1"/>
    <col min="10246" max="10246" width="28.375" customWidth="1"/>
    <col min="10247" max="10247" width="19" customWidth="1"/>
    <col min="10248" max="10249" width="49.25" customWidth="1"/>
    <col min="10250" max="10250" width="29.75" customWidth="1"/>
    <col min="10252" max="10252" width="14" bestFit="1" customWidth="1"/>
    <col min="10497" max="10497" width="26.375" customWidth="1"/>
    <col min="10498" max="10498" width="27.625" customWidth="1"/>
    <col min="10499" max="10499" width="29.25" customWidth="1"/>
    <col min="10500" max="10500" width="26.375" customWidth="1"/>
    <col min="10501" max="10501" width="29.875" customWidth="1"/>
    <col min="10502" max="10502" width="28.375" customWidth="1"/>
    <col min="10503" max="10503" width="19" customWidth="1"/>
    <col min="10504" max="10505" width="49.25" customWidth="1"/>
    <col min="10506" max="10506" width="29.75" customWidth="1"/>
    <col min="10508" max="10508" width="14" bestFit="1" customWidth="1"/>
    <col min="10753" max="10753" width="26.375" customWidth="1"/>
    <col min="10754" max="10754" width="27.625" customWidth="1"/>
    <col min="10755" max="10755" width="29.25" customWidth="1"/>
    <col min="10756" max="10756" width="26.375" customWidth="1"/>
    <col min="10757" max="10757" width="29.875" customWidth="1"/>
    <col min="10758" max="10758" width="28.375" customWidth="1"/>
    <col min="10759" max="10759" width="19" customWidth="1"/>
    <col min="10760" max="10761" width="49.25" customWidth="1"/>
    <col min="10762" max="10762" width="29.75" customWidth="1"/>
    <col min="10764" max="10764" width="14" bestFit="1" customWidth="1"/>
    <col min="11009" max="11009" width="26.375" customWidth="1"/>
    <col min="11010" max="11010" width="27.625" customWidth="1"/>
    <col min="11011" max="11011" width="29.25" customWidth="1"/>
    <col min="11012" max="11012" width="26.375" customWidth="1"/>
    <col min="11013" max="11013" width="29.875" customWidth="1"/>
    <col min="11014" max="11014" width="28.375" customWidth="1"/>
    <col min="11015" max="11015" width="19" customWidth="1"/>
    <col min="11016" max="11017" width="49.25" customWidth="1"/>
    <col min="11018" max="11018" width="29.75" customWidth="1"/>
    <col min="11020" max="11020" width="14" bestFit="1" customWidth="1"/>
    <col min="11265" max="11265" width="26.375" customWidth="1"/>
    <col min="11266" max="11266" width="27.625" customWidth="1"/>
    <col min="11267" max="11267" width="29.25" customWidth="1"/>
    <col min="11268" max="11268" width="26.375" customWidth="1"/>
    <col min="11269" max="11269" width="29.875" customWidth="1"/>
    <col min="11270" max="11270" width="28.375" customWidth="1"/>
    <col min="11271" max="11271" width="19" customWidth="1"/>
    <col min="11272" max="11273" width="49.25" customWidth="1"/>
    <col min="11274" max="11274" width="29.75" customWidth="1"/>
    <col min="11276" max="11276" width="14" bestFit="1" customWidth="1"/>
    <col min="11521" max="11521" width="26.375" customWidth="1"/>
    <col min="11522" max="11522" width="27.625" customWidth="1"/>
    <col min="11523" max="11523" width="29.25" customWidth="1"/>
    <col min="11524" max="11524" width="26.375" customWidth="1"/>
    <col min="11525" max="11525" width="29.875" customWidth="1"/>
    <col min="11526" max="11526" width="28.375" customWidth="1"/>
    <col min="11527" max="11527" width="19" customWidth="1"/>
    <col min="11528" max="11529" width="49.25" customWidth="1"/>
    <col min="11530" max="11530" width="29.75" customWidth="1"/>
    <col min="11532" max="11532" width="14" bestFit="1" customWidth="1"/>
    <col min="11777" max="11777" width="26.375" customWidth="1"/>
    <col min="11778" max="11778" width="27.625" customWidth="1"/>
    <col min="11779" max="11779" width="29.25" customWidth="1"/>
    <col min="11780" max="11780" width="26.375" customWidth="1"/>
    <col min="11781" max="11781" width="29.875" customWidth="1"/>
    <col min="11782" max="11782" width="28.375" customWidth="1"/>
    <col min="11783" max="11783" width="19" customWidth="1"/>
    <col min="11784" max="11785" width="49.25" customWidth="1"/>
    <col min="11786" max="11786" width="29.75" customWidth="1"/>
    <col min="11788" max="11788" width="14" bestFit="1" customWidth="1"/>
    <col min="12033" max="12033" width="26.375" customWidth="1"/>
    <col min="12034" max="12034" width="27.625" customWidth="1"/>
    <col min="12035" max="12035" width="29.25" customWidth="1"/>
    <col min="12036" max="12036" width="26.375" customWidth="1"/>
    <col min="12037" max="12037" width="29.875" customWidth="1"/>
    <col min="12038" max="12038" width="28.375" customWidth="1"/>
    <col min="12039" max="12039" width="19" customWidth="1"/>
    <col min="12040" max="12041" width="49.25" customWidth="1"/>
    <col min="12042" max="12042" width="29.75" customWidth="1"/>
    <col min="12044" max="12044" width="14" bestFit="1" customWidth="1"/>
    <col min="12289" max="12289" width="26.375" customWidth="1"/>
    <col min="12290" max="12290" width="27.625" customWidth="1"/>
    <col min="12291" max="12291" width="29.25" customWidth="1"/>
    <col min="12292" max="12292" width="26.375" customWidth="1"/>
    <col min="12293" max="12293" width="29.875" customWidth="1"/>
    <col min="12294" max="12294" width="28.375" customWidth="1"/>
    <col min="12295" max="12295" width="19" customWidth="1"/>
    <col min="12296" max="12297" width="49.25" customWidth="1"/>
    <col min="12298" max="12298" width="29.75" customWidth="1"/>
    <col min="12300" max="12300" width="14" bestFit="1" customWidth="1"/>
    <col min="12545" max="12545" width="26.375" customWidth="1"/>
    <col min="12546" max="12546" width="27.625" customWidth="1"/>
    <col min="12547" max="12547" width="29.25" customWidth="1"/>
    <col min="12548" max="12548" width="26.375" customWidth="1"/>
    <col min="12549" max="12549" width="29.875" customWidth="1"/>
    <col min="12550" max="12550" width="28.375" customWidth="1"/>
    <col min="12551" max="12551" width="19" customWidth="1"/>
    <col min="12552" max="12553" width="49.25" customWidth="1"/>
    <col min="12554" max="12554" width="29.75" customWidth="1"/>
    <col min="12556" max="12556" width="14" bestFit="1" customWidth="1"/>
    <col min="12801" max="12801" width="26.375" customWidth="1"/>
    <col min="12802" max="12802" width="27.625" customWidth="1"/>
    <col min="12803" max="12803" width="29.25" customWidth="1"/>
    <col min="12804" max="12804" width="26.375" customWidth="1"/>
    <col min="12805" max="12805" width="29.875" customWidth="1"/>
    <col min="12806" max="12806" width="28.375" customWidth="1"/>
    <col min="12807" max="12807" width="19" customWidth="1"/>
    <col min="12808" max="12809" width="49.25" customWidth="1"/>
    <col min="12810" max="12810" width="29.75" customWidth="1"/>
    <col min="12812" max="12812" width="14" bestFit="1" customWidth="1"/>
    <col min="13057" max="13057" width="26.375" customWidth="1"/>
    <col min="13058" max="13058" width="27.625" customWidth="1"/>
    <col min="13059" max="13059" width="29.25" customWidth="1"/>
    <col min="13060" max="13060" width="26.375" customWidth="1"/>
    <col min="13061" max="13061" width="29.875" customWidth="1"/>
    <col min="13062" max="13062" width="28.375" customWidth="1"/>
    <col min="13063" max="13063" width="19" customWidth="1"/>
    <col min="13064" max="13065" width="49.25" customWidth="1"/>
    <col min="13066" max="13066" width="29.75" customWidth="1"/>
    <col min="13068" max="13068" width="14" bestFit="1" customWidth="1"/>
    <col min="13313" max="13313" width="26.375" customWidth="1"/>
    <col min="13314" max="13314" width="27.625" customWidth="1"/>
    <col min="13315" max="13315" width="29.25" customWidth="1"/>
    <col min="13316" max="13316" width="26.375" customWidth="1"/>
    <col min="13317" max="13317" width="29.875" customWidth="1"/>
    <col min="13318" max="13318" width="28.375" customWidth="1"/>
    <col min="13319" max="13319" width="19" customWidth="1"/>
    <col min="13320" max="13321" width="49.25" customWidth="1"/>
    <col min="13322" max="13322" width="29.75" customWidth="1"/>
    <col min="13324" max="13324" width="14" bestFit="1" customWidth="1"/>
    <col min="13569" max="13569" width="26.375" customWidth="1"/>
    <col min="13570" max="13570" width="27.625" customWidth="1"/>
    <col min="13571" max="13571" width="29.25" customWidth="1"/>
    <col min="13572" max="13572" width="26.375" customWidth="1"/>
    <col min="13573" max="13573" width="29.875" customWidth="1"/>
    <col min="13574" max="13574" width="28.375" customWidth="1"/>
    <col min="13575" max="13575" width="19" customWidth="1"/>
    <col min="13576" max="13577" width="49.25" customWidth="1"/>
    <col min="13578" max="13578" width="29.75" customWidth="1"/>
    <col min="13580" max="13580" width="14" bestFit="1" customWidth="1"/>
    <col min="13825" max="13825" width="26.375" customWidth="1"/>
    <col min="13826" max="13826" width="27.625" customWidth="1"/>
    <col min="13827" max="13827" width="29.25" customWidth="1"/>
    <col min="13828" max="13828" width="26.375" customWidth="1"/>
    <col min="13829" max="13829" width="29.875" customWidth="1"/>
    <col min="13830" max="13830" width="28.375" customWidth="1"/>
    <col min="13831" max="13831" width="19" customWidth="1"/>
    <col min="13832" max="13833" width="49.25" customWidth="1"/>
    <col min="13834" max="13834" width="29.75" customWidth="1"/>
    <col min="13836" max="13836" width="14" bestFit="1" customWidth="1"/>
    <col min="14081" max="14081" width="26.375" customWidth="1"/>
    <col min="14082" max="14082" width="27.625" customWidth="1"/>
    <col min="14083" max="14083" width="29.25" customWidth="1"/>
    <col min="14084" max="14084" width="26.375" customWidth="1"/>
    <col min="14085" max="14085" width="29.875" customWidth="1"/>
    <col min="14086" max="14086" width="28.375" customWidth="1"/>
    <col min="14087" max="14087" width="19" customWidth="1"/>
    <col min="14088" max="14089" width="49.25" customWidth="1"/>
    <col min="14090" max="14090" width="29.75" customWidth="1"/>
    <col min="14092" max="14092" width="14" bestFit="1" customWidth="1"/>
    <col min="14337" max="14337" width="26.375" customWidth="1"/>
    <col min="14338" max="14338" width="27.625" customWidth="1"/>
    <col min="14339" max="14339" width="29.25" customWidth="1"/>
    <col min="14340" max="14340" width="26.375" customWidth="1"/>
    <col min="14341" max="14341" width="29.875" customWidth="1"/>
    <col min="14342" max="14342" width="28.375" customWidth="1"/>
    <col min="14343" max="14343" width="19" customWidth="1"/>
    <col min="14344" max="14345" width="49.25" customWidth="1"/>
    <col min="14346" max="14346" width="29.75" customWidth="1"/>
    <col min="14348" max="14348" width="14" bestFit="1" customWidth="1"/>
    <col min="14593" max="14593" width="26.375" customWidth="1"/>
    <col min="14594" max="14594" width="27.625" customWidth="1"/>
    <col min="14595" max="14595" width="29.25" customWidth="1"/>
    <col min="14596" max="14596" width="26.375" customWidth="1"/>
    <col min="14597" max="14597" width="29.875" customWidth="1"/>
    <col min="14598" max="14598" width="28.375" customWidth="1"/>
    <col min="14599" max="14599" width="19" customWidth="1"/>
    <col min="14600" max="14601" width="49.25" customWidth="1"/>
    <col min="14602" max="14602" width="29.75" customWidth="1"/>
    <col min="14604" max="14604" width="14" bestFit="1" customWidth="1"/>
    <col min="14849" max="14849" width="26.375" customWidth="1"/>
    <col min="14850" max="14850" width="27.625" customWidth="1"/>
    <col min="14851" max="14851" width="29.25" customWidth="1"/>
    <col min="14852" max="14852" width="26.375" customWidth="1"/>
    <col min="14853" max="14853" width="29.875" customWidth="1"/>
    <col min="14854" max="14854" width="28.375" customWidth="1"/>
    <col min="14855" max="14855" width="19" customWidth="1"/>
    <col min="14856" max="14857" width="49.25" customWidth="1"/>
    <col min="14858" max="14858" width="29.75" customWidth="1"/>
    <col min="14860" max="14860" width="14" bestFit="1" customWidth="1"/>
    <col min="15105" max="15105" width="26.375" customWidth="1"/>
    <col min="15106" max="15106" width="27.625" customWidth="1"/>
    <col min="15107" max="15107" width="29.25" customWidth="1"/>
    <col min="15108" max="15108" width="26.375" customWidth="1"/>
    <col min="15109" max="15109" width="29.875" customWidth="1"/>
    <col min="15110" max="15110" width="28.375" customWidth="1"/>
    <col min="15111" max="15111" width="19" customWidth="1"/>
    <col min="15112" max="15113" width="49.25" customWidth="1"/>
    <col min="15114" max="15114" width="29.75" customWidth="1"/>
    <col min="15116" max="15116" width="14" bestFit="1" customWidth="1"/>
    <col min="15361" max="15361" width="26.375" customWidth="1"/>
    <col min="15362" max="15362" width="27.625" customWidth="1"/>
    <col min="15363" max="15363" width="29.25" customWidth="1"/>
    <col min="15364" max="15364" width="26.375" customWidth="1"/>
    <col min="15365" max="15365" width="29.875" customWidth="1"/>
    <col min="15366" max="15366" width="28.375" customWidth="1"/>
    <col min="15367" max="15367" width="19" customWidth="1"/>
    <col min="15368" max="15369" width="49.25" customWidth="1"/>
    <col min="15370" max="15370" width="29.75" customWidth="1"/>
    <col min="15372" max="15372" width="14" bestFit="1" customWidth="1"/>
    <col min="15617" max="15617" width="26.375" customWidth="1"/>
    <col min="15618" max="15618" width="27.625" customWidth="1"/>
    <col min="15619" max="15619" width="29.25" customWidth="1"/>
    <col min="15620" max="15620" width="26.375" customWidth="1"/>
    <col min="15621" max="15621" width="29.875" customWidth="1"/>
    <col min="15622" max="15622" width="28.375" customWidth="1"/>
    <col min="15623" max="15623" width="19" customWidth="1"/>
    <col min="15624" max="15625" width="49.25" customWidth="1"/>
    <col min="15626" max="15626" width="29.75" customWidth="1"/>
    <col min="15628" max="15628" width="14" bestFit="1" customWidth="1"/>
    <col min="15873" max="15873" width="26.375" customWidth="1"/>
    <col min="15874" max="15874" width="27.625" customWidth="1"/>
    <col min="15875" max="15875" width="29.25" customWidth="1"/>
    <col min="15876" max="15876" width="26.375" customWidth="1"/>
    <col min="15877" max="15877" width="29.875" customWidth="1"/>
    <col min="15878" max="15878" width="28.375" customWidth="1"/>
    <col min="15879" max="15879" width="19" customWidth="1"/>
    <col min="15880" max="15881" width="49.25" customWidth="1"/>
    <col min="15882" max="15882" width="29.75" customWidth="1"/>
    <col min="15884" max="15884" width="14" bestFit="1" customWidth="1"/>
    <col min="16129" max="16129" width="26.375" customWidth="1"/>
    <col min="16130" max="16130" width="27.625" customWidth="1"/>
    <col min="16131" max="16131" width="29.25" customWidth="1"/>
    <col min="16132" max="16132" width="26.375" customWidth="1"/>
    <col min="16133" max="16133" width="29.875" customWidth="1"/>
    <col min="16134" max="16134" width="28.375" customWidth="1"/>
    <col min="16135" max="16135" width="19" customWidth="1"/>
    <col min="16136" max="16137" width="49.25" customWidth="1"/>
    <col min="16138" max="16138" width="29.75" customWidth="1"/>
    <col min="16140" max="16140" width="14" bestFit="1" customWidth="1"/>
  </cols>
  <sheetData>
    <row r="3" spans="1:6" ht="15">
      <c r="A3" s="74" t="s">
        <v>153</v>
      </c>
      <c r="B3" s="923" t="s">
        <v>2</v>
      </c>
      <c r="C3" s="924" t="s">
        <v>2814</v>
      </c>
      <c r="D3" s="923" t="s">
        <v>2815</v>
      </c>
      <c r="E3" s="76" t="s">
        <v>2816</v>
      </c>
    </row>
    <row r="4" spans="1:6" ht="14.25">
      <c r="A4" s="47" t="s">
        <v>1877</v>
      </c>
      <c r="B4" s="46">
        <v>13.7</v>
      </c>
      <c r="C4" s="53">
        <v>115</v>
      </c>
      <c r="D4" s="46">
        <f>C4*B4</f>
        <v>1575.5</v>
      </c>
      <c r="E4" s="695">
        <v>3.23</v>
      </c>
    </row>
    <row r="5" spans="1:6" ht="14.25">
      <c r="A5" s="47" t="s">
        <v>1877</v>
      </c>
      <c r="B5" s="46">
        <v>13.7</v>
      </c>
      <c r="C5" s="53">
        <v>172</v>
      </c>
      <c r="D5" s="46">
        <f>C5*B5</f>
        <v>2356.4</v>
      </c>
      <c r="E5" s="695">
        <v>3.23</v>
      </c>
    </row>
    <row r="6" spans="1:6" ht="14.25">
      <c r="A6" s="47" t="s">
        <v>1877</v>
      </c>
      <c r="B6" s="46">
        <v>13.7</v>
      </c>
      <c r="C6" s="53">
        <v>115</v>
      </c>
      <c r="D6" s="46">
        <f>C6*B6</f>
        <v>1575.5</v>
      </c>
      <c r="E6" s="695">
        <v>3.23</v>
      </c>
    </row>
    <row r="7" spans="1:6" ht="14.25">
      <c r="A7" s="47" t="s">
        <v>1877</v>
      </c>
      <c r="B7" s="46">
        <v>13.7</v>
      </c>
      <c r="C7" s="53">
        <v>81</v>
      </c>
      <c r="D7" s="46">
        <f>C7*B7</f>
        <v>1109.7</v>
      </c>
      <c r="E7" s="695">
        <v>3.23</v>
      </c>
    </row>
    <row r="8" spans="1:6" ht="15">
      <c r="A8" s="47"/>
      <c r="B8" s="46"/>
      <c r="C8" s="924" t="s">
        <v>372</v>
      </c>
      <c r="D8" s="925">
        <f>SUM(D4:D7)</f>
        <v>6617.0999999999995</v>
      </c>
      <c r="E8" s="695"/>
    </row>
    <row r="12" spans="1:6" ht="14.25">
      <c r="A12" s="51" t="s">
        <v>1848</v>
      </c>
      <c r="B12" s="47"/>
      <c r="C12" s="46"/>
      <c r="D12" s="46"/>
      <c r="E12" s="53"/>
      <c r="F12" s="58" t="s">
        <v>8</v>
      </c>
    </row>
    <row r="13" spans="1:6" ht="14.25">
      <c r="A13" s="61" t="s">
        <v>1877</v>
      </c>
      <c r="B13" s="47" t="s">
        <v>1924</v>
      </c>
      <c r="C13" s="46">
        <f>E13*D13</f>
        <v>1575.5</v>
      </c>
      <c r="D13" s="46">
        <v>13.7</v>
      </c>
      <c r="E13" s="53">
        <v>115</v>
      </c>
      <c r="F13" s="695">
        <v>3.23</v>
      </c>
    </row>
    <row r="14" spans="1:6" ht="14.25">
      <c r="A14" s="61" t="s">
        <v>1877</v>
      </c>
      <c r="B14" s="47" t="s">
        <v>1926</v>
      </c>
      <c r="C14" s="46">
        <f>E14*D14</f>
        <v>2356.4</v>
      </c>
      <c r="D14" s="46">
        <v>13.7</v>
      </c>
      <c r="E14" s="53">
        <v>172</v>
      </c>
      <c r="F14" s="695">
        <v>3.23</v>
      </c>
    </row>
    <row r="15" spans="1:6" ht="14.25">
      <c r="A15" s="61" t="s">
        <v>1877</v>
      </c>
      <c r="B15" s="47" t="s">
        <v>1927</v>
      </c>
      <c r="C15" s="46">
        <f>E15*D15</f>
        <v>1575.5</v>
      </c>
      <c r="D15" s="46">
        <v>13.7</v>
      </c>
      <c r="E15" s="53">
        <v>115</v>
      </c>
      <c r="F15" s="695">
        <v>3.23</v>
      </c>
    </row>
    <row r="16" spans="1:6" ht="14.25">
      <c r="A16" s="61" t="s">
        <v>1877</v>
      </c>
      <c r="B16" s="47" t="s">
        <v>1929</v>
      </c>
      <c r="C16" s="46">
        <f>E16*D16</f>
        <v>1109.7</v>
      </c>
      <c r="D16" s="46">
        <v>13.7</v>
      </c>
      <c r="E16" s="53">
        <v>81</v>
      </c>
      <c r="F16" s="695">
        <v>3.23</v>
      </c>
    </row>
    <row r="24" spans="1:6" ht="15">
      <c r="A24" s="74" t="s">
        <v>153</v>
      </c>
      <c r="B24" s="74" t="s">
        <v>45</v>
      </c>
      <c r="C24" s="923" t="s">
        <v>2</v>
      </c>
      <c r="D24" s="923" t="s">
        <v>56</v>
      </c>
      <c r="E24" s="76" t="s">
        <v>2816</v>
      </c>
      <c r="F24" s="58"/>
    </row>
    <row r="25" spans="1:6" ht="14.25">
      <c r="A25" s="47">
        <v>3716</v>
      </c>
      <c r="B25" s="47" t="s">
        <v>1931</v>
      </c>
      <c r="C25" s="46">
        <v>30</v>
      </c>
      <c r="D25" s="46">
        <v>750</v>
      </c>
      <c r="E25" s="34">
        <v>0.41</v>
      </c>
    </row>
    <row r="26" spans="1:6" ht="14.25">
      <c r="A26" s="47">
        <v>3716</v>
      </c>
      <c r="B26" s="47" t="s">
        <v>1932</v>
      </c>
      <c r="C26" s="46">
        <v>30</v>
      </c>
      <c r="D26" s="46">
        <v>300</v>
      </c>
      <c r="E26" s="34">
        <v>0.41</v>
      </c>
    </row>
    <row r="27" spans="1:6" ht="14.25">
      <c r="A27" s="47">
        <v>1598</v>
      </c>
      <c r="B27" s="47" t="s">
        <v>2817</v>
      </c>
      <c r="C27" s="46">
        <v>25</v>
      </c>
      <c r="D27" s="46">
        <v>300</v>
      </c>
      <c r="E27" s="34">
        <v>2.29</v>
      </c>
    </row>
    <row r="32" spans="1:6" ht="15">
      <c r="A32" s="74" t="s">
        <v>153</v>
      </c>
      <c r="B32" s="74" t="s">
        <v>45</v>
      </c>
      <c r="C32" s="923" t="s">
        <v>18</v>
      </c>
      <c r="D32" s="76" t="s">
        <v>2816</v>
      </c>
    </row>
    <row r="33" spans="1:6" ht="14.25">
      <c r="A33" s="78" t="s">
        <v>2818</v>
      </c>
      <c r="B33" s="78" t="s">
        <v>2819</v>
      </c>
      <c r="C33" s="230">
        <v>10</v>
      </c>
      <c r="D33" s="232">
        <v>9.5</v>
      </c>
    </row>
    <row r="34" spans="1:6" ht="14.25">
      <c r="A34" s="78" t="s">
        <v>2818</v>
      </c>
      <c r="B34" s="78" t="s">
        <v>2820</v>
      </c>
      <c r="C34" s="230">
        <v>10</v>
      </c>
      <c r="D34" s="232">
        <v>9.5</v>
      </c>
    </row>
    <row r="35" spans="1:6" ht="14.25">
      <c r="A35" s="78"/>
      <c r="B35" s="137" t="s">
        <v>2821</v>
      </c>
      <c r="C35" s="926" t="s">
        <v>2822</v>
      </c>
      <c r="D35" s="232">
        <v>24</v>
      </c>
    </row>
    <row r="36" spans="1:6" ht="14.25">
      <c r="A36" s="78"/>
      <c r="B36" s="137" t="s">
        <v>101</v>
      </c>
      <c r="C36" s="233">
        <v>1</v>
      </c>
      <c r="D36" s="232">
        <v>12</v>
      </c>
    </row>
    <row r="40" spans="1:6" ht="15.75">
      <c r="A40" s="927" t="s">
        <v>39</v>
      </c>
      <c r="B40" s="201" t="s">
        <v>45</v>
      </c>
      <c r="C40" s="928" t="s">
        <v>2</v>
      </c>
      <c r="D40" s="929" t="s">
        <v>57</v>
      </c>
      <c r="E40" s="928" t="s">
        <v>56</v>
      </c>
      <c r="F40" s="205" t="s">
        <v>2816</v>
      </c>
    </row>
    <row r="41" spans="1:6" ht="14.25">
      <c r="A41" s="54" t="s">
        <v>1938</v>
      </c>
      <c r="B41" s="47" t="s">
        <v>1940</v>
      </c>
      <c r="C41" s="64">
        <v>13.7</v>
      </c>
      <c r="D41" s="930">
        <v>124</v>
      </c>
      <c r="E41" s="64">
        <v>1698.8</v>
      </c>
      <c r="F41" s="695">
        <v>2.65</v>
      </c>
    </row>
    <row r="42" spans="1:6" ht="14.25">
      <c r="A42" s="54" t="s">
        <v>1938</v>
      </c>
      <c r="B42" s="47" t="s">
        <v>1941</v>
      </c>
      <c r="C42" s="64">
        <v>13.7</v>
      </c>
      <c r="D42" s="930">
        <v>95</v>
      </c>
      <c r="E42" s="64">
        <v>1301.5</v>
      </c>
      <c r="F42" s="695">
        <v>2.65</v>
      </c>
    </row>
    <row r="45" spans="1:6" ht="15.75">
      <c r="A45" s="201" t="s">
        <v>192</v>
      </c>
      <c r="B45" s="923" t="s">
        <v>18</v>
      </c>
      <c r="C45" s="205" t="s">
        <v>2816</v>
      </c>
    </row>
    <row r="46" spans="1:6" ht="14.25">
      <c r="A46" s="47" t="s">
        <v>1957</v>
      </c>
      <c r="B46" s="64" t="s">
        <v>2823</v>
      </c>
      <c r="C46" s="34">
        <v>1.5</v>
      </c>
    </row>
    <row r="47" spans="1:6" ht="14.25">
      <c r="A47" s="47" t="s">
        <v>1957</v>
      </c>
      <c r="B47" s="64" t="s">
        <v>2823</v>
      </c>
      <c r="C47" s="34">
        <v>1.5</v>
      </c>
    </row>
    <row r="48" spans="1:6" ht="14.25">
      <c r="A48" s="47"/>
      <c r="B48" s="65">
        <v>1</v>
      </c>
      <c r="C48" s="34">
        <v>12</v>
      </c>
    </row>
    <row r="51" spans="1:6" ht="15.75">
      <c r="A51" s="927" t="s">
        <v>39</v>
      </c>
      <c r="B51" s="201" t="s">
        <v>45</v>
      </c>
      <c r="C51" s="928" t="s">
        <v>2</v>
      </c>
      <c r="D51" s="929" t="s">
        <v>57</v>
      </c>
      <c r="E51" s="928" t="s">
        <v>56</v>
      </c>
      <c r="F51" s="205" t="s">
        <v>2816</v>
      </c>
    </row>
    <row r="52" spans="1:6" ht="14.25">
      <c r="A52" s="54" t="s">
        <v>1942</v>
      </c>
      <c r="B52" s="47" t="s">
        <v>1926</v>
      </c>
      <c r="C52" s="46">
        <v>13.7</v>
      </c>
      <c r="D52" s="53">
        <v>81</v>
      </c>
      <c r="E52" s="46">
        <v>1109.7</v>
      </c>
      <c r="F52" s="695">
        <v>1.69</v>
      </c>
    </row>
    <row r="53" spans="1:6" ht="14.25">
      <c r="A53" s="54" t="s">
        <v>1942</v>
      </c>
      <c r="B53" s="47" t="s">
        <v>1927</v>
      </c>
      <c r="C53" s="46">
        <v>13.7</v>
      </c>
      <c r="D53" s="53">
        <v>71</v>
      </c>
      <c r="E53" s="46">
        <v>972.69999999999993</v>
      </c>
      <c r="F53" s="695">
        <v>1.69</v>
      </c>
    </row>
    <row r="54" spans="1:6" ht="14.25">
      <c r="A54" s="54" t="s">
        <v>1942</v>
      </c>
      <c r="B54" s="47" t="s">
        <v>1927</v>
      </c>
      <c r="C54" s="931">
        <v>13</v>
      </c>
      <c r="D54" s="932">
        <v>10</v>
      </c>
      <c r="E54" s="46">
        <v>130</v>
      </c>
      <c r="F54" s="695">
        <v>1.69</v>
      </c>
    </row>
    <row r="55" spans="1:6" ht="14.25">
      <c r="A55" s="4"/>
      <c r="B55" s="47"/>
      <c r="C55" s="46"/>
      <c r="D55" s="53"/>
      <c r="E55" s="46"/>
      <c r="F55" s="58"/>
    </row>
    <row r="56" spans="1:6" ht="14.25">
      <c r="A56" s="54" t="s">
        <v>1944</v>
      </c>
      <c r="B56" s="47" t="s">
        <v>121</v>
      </c>
      <c r="C56" s="46">
        <v>13.7</v>
      </c>
      <c r="D56" s="53">
        <v>66</v>
      </c>
      <c r="E56" s="46">
        <v>904.19999999999993</v>
      </c>
      <c r="F56" s="695">
        <v>1.69</v>
      </c>
    </row>
    <row r="57" spans="1:6" ht="14.25">
      <c r="A57" s="54" t="s">
        <v>1942</v>
      </c>
      <c r="B57" s="47" t="s">
        <v>1927</v>
      </c>
      <c r="C57" s="46">
        <v>7</v>
      </c>
      <c r="D57" s="46">
        <v>7</v>
      </c>
      <c r="E57" s="46">
        <v>7</v>
      </c>
      <c r="F57" s="697">
        <v>-11.83</v>
      </c>
    </row>
    <row r="62" spans="1:6" ht="15.75">
      <c r="A62" s="201" t="s">
        <v>192</v>
      </c>
      <c r="B62" s="928" t="s">
        <v>2</v>
      </c>
      <c r="C62" s="929" t="s">
        <v>57</v>
      </c>
      <c r="D62" s="928" t="s">
        <v>56</v>
      </c>
      <c r="E62" s="205" t="s">
        <v>2816</v>
      </c>
      <c r="F62" s="928"/>
    </row>
    <row r="63" spans="1:6" ht="14.25">
      <c r="A63" s="47" t="s">
        <v>1963</v>
      </c>
      <c r="B63" s="46">
        <v>13.7</v>
      </c>
      <c r="C63" s="53">
        <v>319</v>
      </c>
      <c r="D63" s="46">
        <v>4370.3</v>
      </c>
      <c r="E63" s="695">
        <v>1.9</v>
      </c>
      <c r="F63" s="695">
        <v>1.9</v>
      </c>
    </row>
    <row r="64" spans="1:6" ht="14.25">
      <c r="A64" s="47" t="s">
        <v>1963</v>
      </c>
      <c r="B64" s="46">
        <v>13.7</v>
      </c>
      <c r="C64" s="53">
        <v>220</v>
      </c>
      <c r="D64" s="46">
        <v>3014</v>
      </c>
      <c r="E64" s="695">
        <v>1.9</v>
      </c>
      <c r="F64" s="695">
        <v>1.9</v>
      </c>
    </row>
    <row r="65" spans="1:15" ht="14.25">
      <c r="A65" s="47" t="s">
        <v>1963</v>
      </c>
      <c r="B65" s="46">
        <v>13.7</v>
      </c>
      <c r="C65" s="53">
        <v>223</v>
      </c>
      <c r="D65" s="46">
        <v>3055.1</v>
      </c>
      <c r="E65" s="695">
        <v>1.9</v>
      </c>
      <c r="F65" s="695">
        <v>1.9</v>
      </c>
    </row>
    <row r="66" spans="1:15" ht="14.25">
      <c r="A66" s="47" t="s">
        <v>1963</v>
      </c>
      <c r="B66" s="46">
        <v>13.7</v>
      </c>
      <c r="C66" s="53">
        <v>165</v>
      </c>
      <c r="D66" s="46">
        <v>2260.5</v>
      </c>
      <c r="E66" s="695">
        <v>1.9</v>
      </c>
      <c r="F66" s="695">
        <v>1.9</v>
      </c>
    </row>
    <row r="67" spans="1:15" ht="14.25">
      <c r="A67" s="47" t="s">
        <v>1953</v>
      </c>
      <c r="B67" s="46">
        <v>14</v>
      </c>
      <c r="C67" s="53">
        <v>186</v>
      </c>
      <c r="D67" s="46">
        <v>2604</v>
      </c>
      <c r="E67" s="695">
        <v>1.08</v>
      </c>
      <c r="F67" s="695">
        <v>1.08</v>
      </c>
    </row>
    <row r="68" spans="1:15" ht="14.25">
      <c r="A68" s="47" t="s">
        <v>1953</v>
      </c>
      <c r="B68" s="46">
        <v>14</v>
      </c>
      <c r="C68" s="53">
        <v>143</v>
      </c>
      <c r="D68" s="46">
        <v>2002</v>
      </c>
      <c r="E68" s="695">
        <v>1.08</v>
      </c>
      <c r="F68" s="695">
        <v>1.08</v>
      </c>
    </row>
    <row r="69" spans="1:15" ht="14.25">
      <c r="A69" s="47" t="s">
        <v>1953</v>
      </c>
      <c r="B69" s="46">
        <v>14</v>
      </c>
      <c r="C69" s="53">
        <v>143</v>
      </c>
      <c r="D69" s="46">
        <v>2002</v>
      </c>
      <c r="E69" s="695">
        <v>1.08</v>
      </c>
      <c r="F69" s="695">
        <v>1.08</v>
      </c>
    </row>
    <row r="70" spans="1:15">
      <c r="G70" s="933"/>
    </row>
    <row r="72" spans="1:15" s="1" customFormat="1" ht="18" customHeight="1">
      <c r="A72" s="4"/>
      <c r="B72" s="51" t="s">
        <v>27</v>
      </c>
      <c r="C72" s="52"/>
      <c r="D72" s="47"/>
      <c r="E72" s="46"/>
      <c r="F72" s="46"/>
      <c r="G72" s="53"/>
      <c r="H72" s="58" t="s">
        <v>8</v>
      </c>
      <c r="I72" s="58"/>
      <c r="J72" s="688"/>
      <c r="K72" s="689"/>
      <c r="L72" s="343"/>
      <c r="M72" s="34"/>
      <c r="N72" s="50"/>
      <c r="O72" t="s">
        <v>1961</v>
      </c>
    </row>
    <row r="73" spans="1:15" s="1" customFormat="1" ht="18" customHeight="1">
      <c r="A73" s="54" t="s">
        <v>1962</v>
      </c>
      <c r="B73" s="66" t="s">
        <v>1963</v>
      </c>
      <c r="C73" s="682"/>
      <c r="D73" s="47" t="s">
        <v>1924</v>
      </c>
      <c r="E73" s="46">
        <f t="shared" ref="E73:E79" si="0">G73*F73</f>
        <v>4370.3</v>
      </c>
      <c r="F73" s="46">
        <v>13.7</v>
      </c>
      <c r="G73" s="53">
        <v>319</v>
      </c>
      <c r="H73" s="695">
        <v>1.9</v>
      </c>
      <c r="I73" s="695"/>
      <c r="J73" s="688"/>
      <c r="K73" s="689"/>
      <c r="L73" s="4"/>
      <c r="M73" s="34"/>
      <c r="O73" s="1">
        <v>150</v>
      </c>
    </row>
    <row r="74" spans="1:15" s="1" customFormat="1" ht="18" customHeight="1">
      <c r="A74" s="54" t="s">
        <v>1962</v>
      </c>
      <c r="B74" s="66" t="s">
        <v>1963</v>
      </c>
      <c r="C74" s="682"/>
      <c r="D74" s="47" t="s">
        <v>1941</v>
      </c>
      <c r="E74" s="46">
        <f t="shared" si="0"/>
        <v>3014</v>
      </c>
      <c r="F74" s="46">
        <v>13.7</v>
      </c>
      <c r="G74" s="53">
        <v>220</v>
      </c>
      <c r="H74" s="695">
        <v>1.9</v>
      </c>
      <c r="I74" s="695"/>
      <c r="J74" s="688"/>
      <c r="K74" s="689"/>
      <c r="L74" s="4"/>
      <c r="M74" s="34"/>
      <c r="O74" s="1">
        <v>150</v>
      </c>
    </row>
    <row r="75" spans="1:15" s="1" customFormat="1" ht="18" customHeight="1">
      <c r="A75" s="54" t="s">
        <v>1962</v>
      </c>
      <c r="B75" s="66" t="s">
        <v>1963</v>
      </c>
      <c r="C75" s="682"/>
      <c r="D75" s="47" t="s">
        <v>121</v>
      </c>
      <c r="E75" s="46">
        <f t="shared" si="0"/>
        <v>3055.1</v>
      </c>
      <c r="F75" s="46">
        <v>13.7</v>
      </c>
      <c r="G75" s="53">
        <v>223</v>
      </c>
      <c r="H75" s="695">
        <v>1.9</v>
      </c>
      <c r="I75" s="695"/>
      <c r="J75" s="688"/>
      <c r="K75" s="689"/>
      <c r="L75" s="4"/>
      <c r="M75" s="34"/>
      <c r="O75" s="1">
        <v>150</v>
      </c>
    </row>
    <row r="76" spans="1:15" s="1" customFormat="1" ht="18" customHeight="1">
      <c r="A76" s="54" t="s">
        <v>1962</v>
      </c>
      <c r="B76" s="66" t="s">
        <v>1963</v>
      </c>
      <c r="C76" s="682"/>
      <c r="D76" s="47" t="s">
        <v>1988</v>
      </c>
      <c r="E76" s="46">
        <f t="shared" si="0"/>
        <v>2260.5</v>
      </c>
      <c r="F76" s="46">
        <v>13.7</v>
      </c>
      <c r="G76" s="53">
        <v>165</v>
      </c>
      <c r="H76" s="695">
        <v>1.9</v>
      </c>
      <c r="I76" s="695"/>
      <c r="J76" s="688"/>
      <c r="K76" s="689"/>
      <c r="L76" s="4"/>
      <c r="M76" s="34"/>
      <c r="O76" s="1">
        <v>150</v>
      </c>
    </row>
    <row r="77" spans="1:15" s="1" customFormat="1" ht="18.75" customHeight="1">
      <c r="A77" s="54" t="s">
        <v>1962</v>
      </c>
      <c r="B77" s="66" t="s">
        <v>1953</v>
      </c>
      <c r="C77" s="682"/>
      <c r="D77" s="47" t="s">
        <v>1924</v>
      </c>
      <c r="E77" s="46">
        <f t="shared" si="0"/>
        <v>2604</v>
      </c>
      <c r="F77" s="46">
        <v>14</v>
      </c>
      <c r="G77" s="53">
        <v>186</v>
      </c>
      <c r="H77" s="695">
        <v>1.08</v>
      </c>
      <c r="I77" s="695"/>
      <c r="J77" s="688"/>
      <c r="K77" s="689"/>
      <c r="L77" s="4"/>
      <c r="M77" s="34"/>
      <c r="O77" s="1">
        <v>85</v>
      </c>
    </row>
    <row r="78" spans="1:15" s="1" customFormat="1" ht="18.75" customHeight="1">
      <c r="A78" s="54" t="s">
        <v>1962</v>
      </c>
      <c r="B78" s="66" t="s">
        <v>1953</v>
      </c>
      <c r="C78" s="682"/>
      <c r="D78" s="47" t="s">
        <v>1926</v>
      </c>
      <c r="E78" s="46">
        <f t="shared" si="0"/>
        <v>2002</v>
      </c>
      <c r="F78" s="46">
        <v>14</v>
      </c>
      <c r="G78" s="53">
        <v>143</v>
      </c>
      <c r="H78" s="695">
        <v>1.08</v>
      </c>
      <c r="I78" s="695"/>
      <c r="J78" s="688"/>
      <c r="K78" s="689"/>
      <c r="L78" s="4"/>
      <c r="M78" s="34"/>
      <c r="O78" s="1">
        <v>85</v>
      </c>
    </row>
    <row r="79" spans="1:15" s="1" customFormat="1" ht="18.75" customHeight="1">
      <c r="A79" s="54" t="s">
        <v>1962</v>
      </c>
      <c r="B79" s="66" t="s">
        <v>1953</v>
      </c>
      <c r="C79" s="682"/>
      <c r="D79" s="47" t="s">
        <v>1927</v>
      </c>
      <c r="E79" s="46">
        <f t="shared" si="0"/>
        <v>2002</v>
      </c>
      <c r="F79" s="46">
        <v>14</v>
      </c>
      <c r="G79" s="53">
        <v>143</v>
      </c>
      <c r="H79" s="695">
        <v>1.08</v>
      </c>
      <c r="I79" s="695"/>
      <c r="J79" s="688"/>
      <c r="K79" s="689"/>
      <c r="L79" s="4"/>
      <c r="M79" s="34"/>
      <c r="O79" s="1">
        <v>85</v>
      </c>
    </row>
    <row r="83" spans="1:5" ht="15.75">
      <c r="A83" s="201" t="s">
        <v>192</v>
      </c>
      <c r="B83" s="928" t="s">
        <v>2</v>
      </c>
      <c r="C83" s="929" t="s">
        <v>57</v>
      </c>
      <c r="D83" s="928" t="s">
        <v>56</v>
      </c>
      <c r="E83" s="205" t="s">
        <v>2816</v>
      </c>
    </row>
    <row r="84" spans="1:5" ht="14.25">
      <c r="A84" s="47" t="s">
        <v>238</v>
      </c>
      <c r="B84" s="46">
        <v>14</v>
      </c>
      <c r="C84" s="53">
        <v>86</v>
      </c>
      <c r="D84" s="46">
        <f>C84*B84</f>
        <v>1204</v>
      </c>
      <c r="E84" s="695">
        <v>1.58</v>
      </c>
    </row>
    <row r="85" spans="1:5" ht="14.25">
      <c r="A85" s="47" t="s">
        <v>238</v>
      </c>
      <c r="B85" s="46">
        <v>14</v>
      </c>
      <c r="C85" s="53">
        <v>57</v>
      </c>
      <c r="D85" s="46">
        <f>C85*B85</f>
        <v>798</v>
      </c>
      <c r="E85" s="695">
        <v>1.58</v>
      </c>
    </row>
    <row r="89" spans="1:5" ht="15.75">
      <c r="A89" s="201" t="s">
        <v>192</v>
      </c>
      <c r="B89" s="928" t="s">
        <v>2</v>
      </c>
      <c r="C89" s="929" t="s">
        <v>57</v>
      </c>
      <c r="D89" s="928" t="s">
        <v>56</v>
      </c>
      <c r="E89" s="205" t="s">
        <v>2816</v>
      </c>
    </row>
    <row r="90" spans="1:5" ht="14.25">
      <c r="A90" s="47">
        <v>1966</v>
      </c>
      <c r="B90" s="46">
        <v>30</v>
      </c>
      <c r="C90" s="53">
        <v>1</v>
      </c>
      <c r="D90" s="46">
        <f>C90*B90</f>
        <v>30</v>
      </c>
      <c r="E90" s="34">
        <v>0.69</v>
      </c>
    </row>
    <row r="91" spans="1:5" ht="14.25">
      <c r="A91" s="61"/>
      <c r="B91" s="30">
        <v>1</v>
      </c>
      <c r="C91" s="53"/>
      <c r="D91" s="46"/>
      <c r="E91" s="34">
        <v>12</v>
      </c>
    </row>
    <row r="94" spans="1:5" ht="15.75">
      <c r="B94" s="201" t="s">
        <v>45</v>
      </c>
      <c r="C94" s="928" t="s">
        <v>2</v>
      </c>
      <c r="D94" s="929" t="s">
        <v>57</v>
      </c>
      <c r="E94" s="928" t="s">
        <v>56</v>
      </c>
    </row>
    <row r="95" spans="1:5" ht="15">
      <c r="B95" s="47" t="s">
        <v>2824</v>
      </c>
      <c r="C95" s="46">
        <v>13.7</v>
      </c>
      <c r="D95" s="53">
        <v>329</v>
      </c>
      <c r="E95" s="46">
        <v>4507.3</v>
      </c>
    </row>
    <row r="96" spans="1:5" ht="14.25">
      <c r="B96" s="47" t="s">
        <v>1941</v>
      </c>
      <c r="C96" s="46">
        <v>13.7</v>
      </c>
      <c r="D96" s="53">
        <v>220</v>
      </c>
      <c r="E96" s="46">
        <v>3014</v>
      </c>
    </row>
    <row r="97" spans="2:5" ht="15">
      <c r="B97" s="47" t="s">
        <v>2825</v>
      </c>
      <c r="C97" s="931">
        <v>13.7</v>
      </c>
      <c r="D97" s="932">
        <v>223</v>
      </c>
      <c r="E97" s="934" t="s">
        <v>2826</v>
      </c>
    </row>
    <row r="98" spans="2:5" ht="15">
      <c r="B98" s="47" t="s">
        <v>2827</v>
      </c>
      <c r="C98" s="46">
        <v>13.7</v>
      </c>
      <c r="D98" s="53">
        <v>154</v>
      </c>
      <c r="E98" s="46">
        <v>2109.7999999999997</v>
      </c>
    </row>
    <row r="99" spans="2:5" ht="14.25">
      <c r="B99" s="47"/>
      <c r="C99" s="46"/>
      <c r="D99" s="53"/>
      <c r="E99" s="46"/>
    </row>
    <row r="100" spans="2:5" ht="15">
      <c r="B100" s="47" t="s">
        <v>2828</v>
      </c>
      <c r="C100" s="46">
        <v>13.7</v>
      </c>
      <c r="D100" s="53">
        <v>19</v>
      </c>
      <c r="E100" s="46">
        <v>260.3</v>
      </c>
    </row>
    <row r="101" spans="2:5" ht="15">
      <c r="B101" s="47" t="s">
        <v>2829</v>
      </c>
      <c r="C101" s="46">
        <v>13.7</v>
      </c>
      <c r="D101" s="53">
        <v>12</v>
      </c>
      <c r="E101" s="46">
        <v>164.39999999999998</v>
      </c>
    </row>
    <row r="102" spans="2:5" ht="15">
      <c r="B102" s="47" t="s">
        <v>2830</v>
      </c>
      <c r="C102" s="931">
        <v>13.7</v>
      </c>
      <c r="D102" s="932">
        <v>28</v>
      </c>
      <c r="E102" s="934" t="s">
        <v>2831</v>
      </c>
    </row>
    <row r="103" spans="2:5" ht="14.25">
      <c r="B103" s="47"/>
      <c r="C103" s="931"/>
      <c r="D103" s="932"/>
      <c r="E103" s="934"/>
    </row>
    <row r="104" spans="2:5" ht="14.25">
      <c r="B104" s="47" t="s">
        <v>1924</v>
      </c>
      <c r="C104" s="46">
        <v>14</v>
      </c>
      <c r="D104" s="53">
        <v>186</v>
      </c>
      <c r="E104" s="46">
        <v>2604</v>
      </c>
    </row>
    <row r="105" spans="2:5" ht="15">
      <c r="B105" s="47" t="s">
        <v>2832</v>
      </c>
      <c r="C105" s="46">
        <v>14</v>
      </c>
      <c r="D105" s="53">
        <v>143</v>
      </c>
      <c r="E105" s="46">
        <v>2002</v>
      </c>
    </row>
    <row r="106" spans="2:5" ht="15">
      <c r="B106" s="47" t="s">
        <v>2833</v>
      </c>
      <c r="C106" s="46">
        <v>14</v>
      </c>
      <c r="D106" s="53">
        <v>143</v>
      </c>
      <c r="E106" s="46">
        <v>2002</v>
      </c>
    </row>
    <row r="112" spans="2:5" ht="15.75">
      <c r="B112" s="201" t="s">
        <v>45</v>
      </c>
      <c r="C112" s="928" t="s">
        <v>2</v>
      </c>
      <c r="D112" s="929" t="s">
        <v>57</v>
      </c>
      <c r="E112" s="928" t="s">
        <v>56</v>
      </c>
    </row>
    <row r="113" spans="2:6" ht="15">
      <c r="B113" s="47" t="s">
        <v>2825</v>
      </c>
      <c r="C113" s="46">
        <v>13.7</v>
      </c>
      <c r="D113" s="53">
        <v>223</v>
      </c>
      <c r="E113" s="77" t="s">
        <v>2834</v>
      </c>
    </row>
    <row r="114" spans="2:6" ht="15">
      <c r="B114" s="47" t="s">
        <v>2830</v>
      </c>
      <c r="C114" s="46">
        <v>13.7</v>
      </c>
      <c r="D114" s="53">
        <v>28</v>
      </c>
      <c r="E114" s="77" t="s">
        <v>2835</v>
      </c>
    </row>
    <row r="117" spans="2:6" ht="15.75">
      <c r="B117" s="201" t="s">
        <v>45</v>
      </c>
      <c r="C117" s="928" t="s">
        <v>2</v>
      </c>
      <c r="D117" s="929" t="s">
        <v>57</v>
      </c>
      <c r="E117" s="928" t="s">
        <v>56</v>
      </c>
      <c r="F117" s="205" t="s">
        <v>2816</v>
      </c>
    </row>
    <row r="118" spans="2:6" ht="14.25">
      <c r="B118" s="47" t="s">
        <v>1924</v>
      </c>
      <c r="C118" s="46">
        <v>14</v>
      </c>
      <c r="D118" s="53">
        <v>15</v>
      </c>
      <c r="E118" s="46">
        <v>210</v>
      </c>
      <c r="F118" s="695">
        <v>1.08</v>
      </c>
    </row>
    <row r="119" spans="2:6" ht="14.25">
      <c r="B119" s="59" t="s">
        <v>122</v>
      </c>
      <c r="C119" s="77" t="s">
        <v>28</v>
      </c>
      <c r="D119" s="53"/>
      <c r="E119" s="46"/>
      <c r="F119" s="695">
        <v>90</v>
      </c>
    </row>
    <row r="121" spans="2:6" ht="15.75">
      <c r="B121" s="201" t="s">
        <v>45</v>
      </c>
      <c r="C121" s="928" t="s">
        <v>2</v>
      </c>
      <c r="D121" s="929" t="s">
        <v>57</v>
      </c>
      <c r="E121" s="928" t="s">
        <v>56</v>
      </c>
    </row>
    <row r="122" spans="2:6" ht="14.25">
      <c r="B122" s="47" t="s">
        <v>1964</v>
      </c>
      <c r="C122" s="46">
        <v>13.7</v>
      </c>
      <c r="D122" s="53">
        <v>33</v>
      </c>
      <c r="E122" s="46">
        <f>C122*D122</f>
        <v>452.09999999999997</v>
      </c>
    </row>
    <row r="123" spans="2:6" ht="14.25">
      <c r="B123" s="47" t="s">
        <v>2836</v>
      </c>
      <c r="C123" s="46">
        <v>13.7</v>
      </c>
      <c r="D123" s="53">
        <v>44</v>
      </c>
      <c r="E123" s="46">
        <f>C123*D123</f>
        <v>602.79999999999995</v>
      </c>
    </row>
    <row r="124" spans="2:6" ht="14.25">
      <c r="B124" s="47" t="s">
        <v>1976</v>
      </c>
      <c r="C124" s="46">
        <v>13.7</v>
      </c>
      <c r="D124" s="53">
        <v>7</v>
      </c>
      <c r="E124" s="46">
        <f>C124*D124</f>
        <v>95.899999999999991</v>
      </c>
    </row>
    <row r="125" spans="2:6" ht="14.25">
      <c r="B125" s="59" t="s">
        <v>2837</v>
      </c>
      <c r="C125" s="77" t="s">
        <v>28</v>
      </c>
      <c r="D125" s="53"/>
      <c r="E125" s="46"/>
    </row>
    <row r="126" spans="2:6" ht="14.25">
      <c r="B126" s="47"/>
      <c r="C126" s="46"/>
      <c r="D126" s="53"/>
      <c r="E126" s="46"/>
    </row>
    <row r="127" spans="2:6" ht="14.25">
      <c r="B127" s="47" t="s">
        <v>1940</v>
      </c>
      <c r="C127" s="46">
        <v>14</v>
      </c>
      <c r="D127" s="53">
        <v>57</v>
      </c>
      <c r="E127" s="46">
        <f>D127*C127</f>
        <v>798</v>
      </c>
    </row>
    <row r="128" spans="2:6" ht="14.25">
      <c r="B128" s="47" t="s">
        <v>1924</v>
      </c>
      <c r="C128" s="46">
        <v>14</v>
      </c>
      <c r="D128" s="53">
        <v>54</v>
      </c>
      <c r="E128" s="46">
        <f>D128*C128</f>
        <v>756</v>
      </c>
    </row>
    <row r="129" spans="2:9" ht="14.25">
      <c r="B129" s="47"/>
      <c r="C129" s="46"/>
      <c r="D129" s="53"/>
      <c r="E129" s="46"/>
    </row>
    <row r="130" spans="2:9" ht="14.25">
      <c r="B130" s="47" t="s">
        <v>121</v>
      </c>
      <c r="C130" s="46">
        <v>13.7</v>
      </c>
      <c r="D130" s="53">
        <v>44</v>
      </c>
      <c r="E130" s="46">
        <f>D130*C130</f>
        <v>602.79999999999995</v>
      </c>
    </row>
    <row r="131" spans="2:9" ht="14.25">
      <c r="B131" s="47"/>
      <c r="C131" s="46"/>
      <c r="D131" s="53"/>
      <c r="E131" s="46"/>
    </row>
    <row r="132" spans="2:9" ht="14.25">
      <c r="B132" s="47" t="s">
        <v>2838</v>
      </c>
      <c r="C132" s="46">
        <v>13.7</v>
      </c>
      <c r="D132" s="53">
        <v>99</v>
      </c>
      <c r="E132" s="46">
        <f>C132*D132</f>
        <v>1356.3</v>
      </c>
    </row>
    <row r="133" spans="2:9" ht="14.25">
      <c r="B133" s="47" t="s">
        <v>2839</v>
      </c>
      <c r="C133" s="46">
        <v>13.7</v>
      </c>
      <c r="D133" s="53">
        <v>99</v>
      </c>
      <c r="E133" s="46">
        <f>C133*D133</f>
        <v>1356.3</v>
      </c>
    </row>
    <row r="134" spans="2:9" ht="14.25">
      <c r="B134" s="47" t="s">
        <v>2840</v>
      </c>
      <c r="C134" s="46">
        <v>13.7</v>
      </c>
      <c r="D134" s="53">
        <v>128</v>
      </c>
      <c r="E134" s="46">
        <f>C134*D134</f>
        <v>1753.6</v>
      </c>
    </row>
    <row r="135" spans="2:9" ht="14.25">
      <c r="B135" s="47" t="s">
        <v>2841</v>
      </c>
      <c r="C135" s="46">
        <v>13.7</v>
      </c>
      <c r="D135" s="53">
        <v>77</v>
      </c>
      <c r="E135" s="46">
        <f>C135*D135</f>
        <v>1054.8999999999999</v>
      </c>
    </row>
    <row r="139" spans="2:9" ht="15.75">
      <c r="B139" s="935" t="s">
        <v>100</v>
      </c>
      <c r="C139" s="935" t="s">
        <v>163</v>
      </c>
      <c r="D139" s="935" t="s">
        <v>197</v>
      </c>
      <c r="E139" s="935" t="s">
        <v>198</v>
      </c>
      <c r="F139" s="205" t="s">
        <v>2816</v>
      </c>
      <c r="G139" s="205" t="s">
        <v>2842</v>
      </c>
      <c r="H139" s="936" t="s">
        <v>2843</v>
      </c>
      <c r="I139" s="937"/>
    </row>
    <row r="140" spans="2:9" ht="15">
      <c r="B140" s="938" t="s">
        <v>1964</v>
      </c>
      <c r="C140" s="938" t="s">
        <v>297</v>
      </c>
      <c r="D140" s="938" t="s">
        <v>2844</v>
      </c>
      <c r="E140" s="938" t="s">
        <v>2845</v>
      </c>
      <c r="F140" s="695">
        <v>1.9</v>
      </c>
      <c r="G140" s="2104" t="s">
        <v>2846</v>
      </c>
      <c r="H140" s="2091" t="s">
        <v>2847</v>
      </c>
      <c r="I140" s="939"/>
    </row>
    <row r="141" spans="2:9" ht="15">
      <c r="B141" s="938" t="s">
        <v>2848</v>
      </c>
      <c r="C141" s="938" t="s">
        <v>297</v>
      </c>
      <c r="D141" s="938" t="s">
        <v>2849</v>
      </c>
      <c r="E141" s="938" t="s">
        <v>2850</v>
      </c>
      <c r="F141" s="695">
        <v>1.9</v>
      </c>
      <c r="G141" s="2105"/>
      <c r="H141" s="2092"/>
      <c r="I141" s="939"/>
    </row>
    <row r="142" spans="2:9" ht="15">
      <c r="B142" s="938" t="s">
        <v>2851</v>
      </c>
      <c r="C142" s="938" t="s">
        <v>297</v>
      </c>
      <c r="D142" s="938" t="s">
        <v>2852</v>
      </c>
      <c r="E142" s="938" t="s">
        <v>2853</v>
      </c>
      <c r="F142" s="695">
        <v>1.9</v>
      </c>
      <c r="G142" s="2105"/>
      <c r="H142" s="2092"/>
      <c r="I142" s="939"/>
    </row>
    <row r="143" spans="2:9" ht="15">
      <c r="B143" s="938" t="s">
        <v>2854</v>
      </c>
      <c r="C143" s="938" t="s">
        <v>102</v>
      </c>
      <c r="D143" s="940"/>
      <c r="E143" s="940"/>
      <c r="F143" s="695">
        <v>90</v>
      </c>
      <c r="G143" s="2105"/>
      <c r="H143" s="2092"/>
      <c r="I143" s="939"/>
    </row>
    <row r="144" spans="2:9" ht="15">
      <c r="B144" s="940"/>
      <c r="C144" s="940"/>
      <c r="D144" s="940"/>
      <c r="E144" s="940"/>
      <c r="F144" s="58"/>
      <c r="G144" s="2105"/>
      <c r="H144" s="2092"/>
      <c r="I144" s="939"/>
    </row>
    <row r="145" spans="1:9" ht="15">
      <c r="B145" s="938" t="s">
        <v>2855</v>
      </c>
      <c r="C145" s="938" t="s">
        <v>297</v>
      </c>
      <c r="D145" s="938" t="s">
        <v>2856</v>
      </c>
      <c r="E145" s="938" t="s">
        <v>2857</v>
      </c>
      <c r="F145" s="695">
        <v>1.9</v>
      </c>
      <c r="G145" s="2105"/>
      <c r="H145" s="2092"/>
      <c r="I145" s="939"/>
    </row>
    <row r="146" spans="1:9" ht="15">
      <c r="B146" s="938" t="s">
        <v>2858</v>
      </c>
      <c r="C146" s="938" t="s">
        <v>297</v>
      </c>
      <c r="D146" s="938" t="s">
        <v>2856</v>
      </c>
      <c r="E146" s="938" t="s">
        <v>2857</v>
      </c>
      <c r="F146" s="695">
        <v>1.9</v>
      </c>
      <c r="G146" s="2105"/>
      <c r="H146" s="2092"/>
      <c r="I146" s="939"/>
    </row>
    <row r="147" spans="1:9" ht="15">
      <c r="B147" s="938" t="s">
        <v>2859</v>
      </c>
      <c r="C147" s="938" t="s">
        <v>297</v>
      </c>
      <c r="D147" s="938" t="s">
        <v>2860</v>
      </c>
      <c r="E147" s="938" t="s">
        <v>2861</v>
      </c>
      <c r="F147" s="695">
        <v>1.9</v>
      </c>
      <c r="G147" s="2105"/>
      <c r="H147" s="2092"/>
      <c r="I147" s="939"/>
    </row>
    <row r="148" spans="1:9" ht="15">
      <c r="B148" s="938" t="s">
        <v>2862</v>
      </c>
      <c r="C148" s="938" t="s">
        <v>297</v>
      </c>
      <c r="D148" s="938" t="s">
        <v>2863</v>
      </c>
      <c r="E148" s="938" t="s">
        <v>2864</v>
      </c>
      <c r="F148" s="695">
        <v>1.9</v>
      </c>
      <c r="G148" s="2106"/>
      <c r="H148" s="2093"/>
      <c r="I148" s="939"/>
    </row>
    <row r="149" spans="1:9" ht="14.25">
      <c r="B149" s="940"/>
      <c r="C149" s="940"/>
      <c r="D149" s="940"/>
      <c r="E149" s="940"/>
      <c r="F149" s="58"/>
      <c r="G149" s="207"/>
      <c r="H149" s="207"/>
      <c r="I149" s="161"/>
    </row>
    <row r="150" spans="1:9" ht="14.25">
      <c r="B150" s="938" t="s">
        <v>2865</v>
      </c>
      <c r="C150" s="938" t="s">
        <v>296</v>
      </c>
      <c r="D150" s="938" t="s">
        <v>2866</v>
      </c>
      <c r="E150" s="938" t="s">
        <v>2867</v>
      </c>
      <c r="F150" s="695">
        <v>1.08</v>
      </c>
      <c r="G150" s="2094" t="s">
        <v>2868</v>
      </c>
      <c r="H150" s="938" t="s">
        <v>231</v>
      </c>
      <c r="I150" s="941"/>
    </row>
    <row r="151" spans="1:9" ht="15">
      <c r="B151" s="938" t="s">
        <v>2869</v>
      </c>
      <c r="C151" s="938" t="s">
        <v>296</v>
      </c>
      <c r="D151" s="938" t="s">
        <v>2870</v>
      </c>
      <c r="E151" s="938" t="s">
        <v>2871</v>
      </c>
      <c r="F151" s="695">
        <v>1.08</v>
      </c>
      <c r="G151" s="2095"/>
      <c r="H151" s="942" t="s">
        <v>2847</v>
      </c>
      <c r="I151" s="943"/>
    </row>
    <row r="152" spans="1:9" ht="14.25">
      <c r="B152" s="940"/>
      <c r="C152" s="940"/>
      <c r="D152" s="940"/>
      <c r="E152" s="940"/>
      <c r="F152" s="58"/>
      <c r="G152" s="207"/>
      <c r="H152" s="207"/>
      <c r="I152" s="161"/>
    </row>
    <row r="153" spans="1:9" ht="15">
      <c r="B153" s="938" t="s">
        <v>2872</v>
      </c>
      <c r="C153" s="938" t="s">
        <v>297</v>
      </c>
      <c r="D153" s="938" t="s">
        <v>2849</v>
      </c>
      <c r="E153" s="938" t="s">
        <v>2850</v>
      </c>
      <c r="F153" s="695">
        <v>1.69</v>
      </c>
      <c r="G153" s="944" t="s">
        <v>2873</v>
      </c>
      <c r="H153" s="942" t="s">
        <v>2847</v>
      </c>
      <c r="I153" s="943"/>
    </row>
    <row r="158" spans="1:9" ht="15.75">
      <c r="A158" s="935" t="s">
        <v>39</v>
      </c>
      <c r="B158" s="935" t="s">
        <v>100</v>
      </c>
      <c r="C158" s="935" t="s">
        <v>163</v>
      </c>
      <c r="D158" s="935" t="s">
        <v>197</v>
      </c>
      <c r="E158" s="935" t="s">
        <v>198</v>
      </c>
      <c r="F158" s="205" t="s">
        <v>2816</v>
      </c>
      <c r="G158" s="205" t="s">
        <v>2874</v>
      </c>
    </row>
    <row r="159" spans="1:9" ht="15">
      <c r="A159" s="69" t="s">
        <v>1986</v>
      </c>
      <c r="B159" s="47" t="s">
        <v>2875</v>
      </c>
      <c r="C159" s="46">
        <v>13.7</v>
      </c>
      <c r="D159" s="53">
        <v>37</v>
      </c>
      <c r="E159" s="945">
        <v>506.9</v>
      </c>
      <c r="F159" s="695">
        <v>1.9</v>
      </c>
      <c r="G159" s="2096" t="s">
        <v>2876</v>
      </c>
    </row>
    <row r="160" spans="1:9" ht="15">
      <c r="A160" s="69" t="s">
        <v>1986</v>
      </c>
      <c r="B160" s="47" t="s">
        <v>2839</v>
      </c>
      <c r="C160" s="46">
        <v>13.7</v>
      </c>
      <c r="D160" s="53">
        <v>26</v>
      </c>
      <c r="E160" s="945">
        <v>356.2</v>
      </c>
      <c r="F160" s="695">
        <v>1.9</v>
      </c>
      <c r="G160" s="2097"/>
    </row>
    <row r="161" spans="1:7" ht="15">
      <c r="A161" s="69" t="s">
        <v>1986</v>
      </c>
      <c r="B161" s="47" t="s">
        <v>2838</v>
      </c>
      <c r="C161" s="46">
        <v>13.7</v>
      </c>
      <c r="D161" s="53">
        <v>26</v>
      </c>
      <c r="E161" s="945">
        <v>356.2</v>
      </c>
      <c r="F161" s="695">
        <v>1.9</v>
      </c>
      <c r="G161" s="2097"/>
    </row>
    <row r="162" spans="1:7" ht="15">
      <c r="A162" s="69" t="s">
        <v>1986</v>
      </c>
      <c r="B162" s="47" t="s">
        <v>2877</v>
      </c>
      <c r="C162" s="46">
        <v>13.7</v>
      </c>
      <c r="D162" s="53">
        <v>22</v>
      </c>
      <c r="E162" s="945">
        <v>301.39999999999998</v>
      </c>
      <c r="F162" s="695">
        <v>1.9</v>
      </c>
      <c r="G162" s="2098"/>
    </row>
    <row r="163" spans="1:7" ht="15.75">
      <c r="A163" s="935" t="s">
        <v>39</v>
      </c>
      <c r="B163" s="935" t="s">
        <v>100</v>
      </c>
      <c r="C163" s="935" t="s">
        <v>163</v>
      </c>
      <c r="D163" s="935" t="s">
        <v>197</v>
      </c>
      <c r="E163" s="935" t="s">
        <v>198</v>
      </c>
      <c r="F163" s="205" t="s">
        <v>2816</v>
      </c>
      <c r="G163" s="46"/>
    </row>
    <row r="164" spans="1:7" ht="14.25">
      <c r="A164" s="69" t="s">
        <v>1989</v>
      </c>
      <c r="B164" s="47" t="s">
        <v>2875</v>
      </c>
      <c r="C164" s="46">
        <v>13.7</v>
      </c>
      <c r="D164" s="53">
        <v>24</v>
      </c>
      <c r="E164" s="46">
        <v>328.79999999999995</v>
      </c>
      <c r="F164" s="695">
        <v>1.9</v>
      </c>
      <c r="G164" s="64" t="s">
        <v>2878</v>
      </c>
    </row>
    <row r="165" spans="1:7" ht="15">
      <c r="A165" s="69" t="s">
        <v>1989</v>
      </c>
      <c r="B165" s="47" t="s">
        <v>2839</v>
      </c>
      <c r="C165" s="46">
        <v>13.7</v>
      </c>
      <c r="D165" s="53">
        <v>10</v>
      </c>
      <c r="E165" s="945">
        <v>137</v>
      </c>
      <c r="F165" s="695">
        <v>1.9</v>
      </c>
      <c r="G165" s="64" t="s">
        <v>2876</v>
      </c>
    </row>
    <row r="166" spans="1:7" ht="14.25">
      <c r="A166" s="69" t="s">
        <v>1989</v>
      </c>
      <c r="B166" s="47" t="s">
        <v>2838</v>
      </c>
      <c r="C166" s="46">
        <v>13.7</v>
      </c>
      <c r="D166" s="53">
        <v>22</v>
      </c>
      <c r="E166" s="46">
        <v>301.39999999999998</v>
      </c>
      <c r="F166" s="695">
        <v>1.9</v>
      </c>
      <c r="G166" s="64" t="s">
        <v>2878</v>
      </c>
    </row>
    <row r="167" spans="1:7" ht="14.25">
      <c r="A167" s="69" t="s">
        <v>1989</v>
      </c>
      <c r="B167" s="47" t="s">
        <v>2877</v>
      </c>
      <c r="C167" s="46">
        <v>13.7</v>
      </c>
      <c r="D167" s="53">
        <v>19</v>
      </c>
      <c r="E167" s="46">
        <v>260.3</v>
      </c>
      <c r="F167" s="695">
        <v>1.9</v>
      </c>
      <c r="G167" s="64" t="s">
        <v>2878</v>
      </c>
    </row>
    <row r="171" spans="1:7" ht="15.75">
      <c r="A171" s="935" t="s">
        <v>162</v>
      </c>
      <c r="B171" s="935" t="s">
        <v>163</v>
      </c>
      <c r="C171" s="935" t="s">
        <v>197</v>
      </c>
      <c r="D171" s="935" t="s">
        <v>198</v>
      </c>
      <c r="E171" s="205" t="s">
        <v>2816</v>
      </c>
    </row>
    <row r="172" spans="1:7" ht="14.25" customHeight="1">
      <c r="A172" s="938" t="s">
        <v>2879</v>
      </c>
      <c r="B172" s="938" t="s">
        <v>297</v>
      </c>
      <c r="C172" s="938" t="s">
        <v>2844</v>
      </c>
      <c r="D172" s="938" t="s">
        <v>2845</v>
      </c>
      <c r="E172" s="695">
        <v>1.9</v>
      </c>
    </row>
    <row r="173" spans="1:7" ht="14.25" customHeight="1">
      <c r="A173" s="938" t="s">
        <v>2880</v>
      </c>
      <c r="B173" s="938" t="s">
        <v>297</v>
      </c>
      <c r="C173" s="938" t="s">
        <v>2849</v>
      </c>
      <c r="D173" s="938" t="s">
        <v>2850</v>
      </c>
      <c r="E173" s="695">
        <v>1.9</v>
      </c>
    </row>
    <row r="174" spans="1:7" ht="14.25" customHeight="1">
      <c r="A174" s="938" t="s">
        <v>2879</v>
      </c>
      <c r="B174" s="938" t="s">
        <v>297</v>
      </c>
      <c r="C174" s="938" t="s">
        <v>2852</v>
      </c>
      <c r="D174" s="938" t="s">
        <v>2853</v>
      </c>
      <c r="E174" s="695">
        <v>1.9</v>
      </c>
    </row>
    <row r="175" spans="1:7" ht="14.25" customHeight="1">
      <c r="A175" s="940"/>
      <c r="B175" s="938" t="s">
        <v>102</v>
      </c>
      <c r="C175" s="940"/>
      <c r="D175" s="940"/>
      <c r="E175" s="695">
        <v>90</v>
      </c>
    </row>
    <row r="176" spans="1:7" ht="15.75">
      <c r="A176" s="935" t="s">
        <v>162</v>
      </c>
      <c r="B176" s="940"/>
      <c r="C176" s="940"/>
      <c r="D176" s="940"/>
      <c r="E176" s="58"/>
    </row>
    <row r="177" spans="1:7" ht="14.25" customHeight="1">
      <c r="A177" s="938" t="s">
        <v>2881</v>
      </c>
      <c r="B177" s="938" t="s">
        <v>296</v>
      </c>
      <c r="C177" s="938" t="s">
        <v>2866</v>
      </c>
      <c r="D177" s="938" t="s">
        <v>2867</v>
      </c>
      <c r="E177" s="695">
        <v>1.08</v>
      </c>
    </row>
    <row r="178" spans="1:7" ht="14.25">
      <c r="A178" s="938" t="s">
        <v>2881</v>
      </c>
      <c r="B178" s="938" t="s">
        <v>296</v>
      </c>
      <c r="C178" s="938" t="s">
        <v>2870</v>
      </c>
      <c r="D178" s="938" t="s">
        <v>2871</v>
      </c>
      <c r="E178" s="695">
        <v>1.08</v>
      </c>
    </row>
    <row r="179" spans="1:7" ht="15.75">
      <c r="A179" s="935" t="s">
        <v>162</v>
      </c>
      <c r="B179" s="940"/>
      <c r="C179" s="940"/>
      <c r="D179" s="940"/>
      <c r="E179" s="58"/>
    </row>
    <row r="180" spans="1:7" ht="14.25">
      <c r="A180" s="938" t="s">
        <v>42</v>
      </c>
      <c r="B180" s="938" t="s">
        <v>297</v>
      </c>
      <c r="C180" s="938" t="s">
        <v>2849</v>
      </c>
      <c r="D180" s="938" t="s">
        <v>2850</v>
      </c>
      <c r="E180" s="695">
        <v>1.69</v>
      </c>
    </row>
    <row r="184" spans="1:7" ht="15.75">
      <c r="A184" s="935" t="s">
        <v>39</v>
      </c>
      <c r="B184" s="935" t="s">
        <v>100</v>
      </c>
      <c r="C184" s="935" t="s">
        <v>163</v>
      </c>
      <c r="D184" s="935" t="s">
        <v>197</v>
      </c>
      <c r="E184" s="935" t="s">
        <v>198</v>
      </c>
      <c r="F184" s="205" t="s">
        <v>2816</v>
      </c>
      <c r="G184" s="205" t="s">
        <v>2874</v>
      </c>
    </row>
    <row r="185" spans="1:7" ht="14.25">
      <c r="A185" s="69" t="s">
        <v>1991</v>
      </c>
      <c r="B185" s="47" t="s">
        <v>1924</v>
      </c>
      <c r="C185" s="46">
        <v>14</v>
      </c>
      <c r="D185" s="53">
        <v>36</v>
      </c>
      <c r="E185" s="46">
        <f>D185*C185</f>
        <v>504</v>
      </c>
      <c r="F185" s="695">
        <v>1.08</v>
      </c>
      <c r="G185" s="64" t="s">
        <v>2882</v>
      </c>
    </row>
    <row r="186" spans="1:7" ht="14.25">
      <c r="A186" s="69" t="s">
        <v>1991</v>
      </c>
      <c r="B186" s="47" t="s">
        <v>1940</v>
      </c>
      <c r="C186" s="46">
        <v>14</v>
      </c>
      <c r="D186" s="53">
        <v>36</v>
      </c>
      <c r="E186" s="46">
        <f>D186*C186</f>
        <v>504</v>
      </c>
      <c r="F186" s="695">
        <v>1.08</v>
      </c>
      <c r="G186" s="64" t="s">
        <v>2883</v>
      </c>
    </row>
    <row r="187" spans="1:7" ht="14.25">
      <c r="A187" s="69" t="s">
        <v>1991</v>
      </c>
      <c r="B187" s="47" t="s">
        <v>121</v>
      </c>
      <c r="C187" s="46">
        <v>13.7</v>
      </c>
      <c r="D187" s="53">
        <v>44</v>
      </c>
      <c r="E187" s="46">
        <f>D187*C187</f>
        <v>602.79999999999995</v>
      </c>
      <c r="F187" s="695">
        <v>1.69</v>
      </c>
      <c r="G187" s="64" t="s">
        <v>2883</v>
      </c>
    </row>
    <row r="190" spans="1:7" s="1" customFormat="1" ht="18" customHeight="1">
      <c r="A190" s="935" t="s">
        <v>39</v>
      </c>
      <c r="B190" s="935" t="s">
        <v>100</v>
      </c>
      <c r="C190" s="935" t="s">
        <v>163</v>
      </c>
      <c r="D190" s="935" t="s">
        <v>197</v>
      </c>
      <c r="E190" s="935" t="s">
        <v>198</v>
      </c>
      <c r="F190" s="205" t="s">
        <v>2816</v>
      </c>
      <c r="G190" s="205" t="s">
        <v>72</v>
      </c>
    </row>
    <row r="191" spans="1:7" s="1" customFormat="1" ht="18" customHeight="1">
      <c r="A191" s="69" t="s">
        <v>1962</v>
      </c>
      <c r="B191" s="47" t="s">
        <v>1941</v>
      </c>
      <c r="C191" s="46">
        <v>13.7</v>
      </c>
      <c r="D191" s="53">
        <v>220</v>
      </c>
      <c r="E191" s="46">
        <v>3014</v>
      </c>
      <c r="F191" s="695">
        <v>1.9</v>
      </c>
      <c r="G191" s="690" t="s">
        <v>2884</v>
      </c>
    </row>
    <row r="192" spans="1:7" s="1" customFormat="1" ht="18" customHeight="1">
      <c r="A192" s="69" t="s">
        <v>1962</v>
      </c>
      <c r="B192" s="47" t="s">
        <v>1970</v>
      </c>
      <c r="C192" s="46">
        <v>13.7</v>
      </c>
      <c r="D192" s="53">
        <v>19</v>
      </c>
      <c r="E192" s="46">
        <v>260.3</v>
      </c>
      <c r="F192" s="695">
        <v>1.9</v>
      </c>
      <c r="G192" s="690" t="s">
        <v>2885</v>
      </c>
    </row>
    <row r="193" spans="1:7" s="1" customFormat="1" ht="18" customHeight="1">
      <c r="A193" s="69" t="s">
        <v>1962</v>
      </c>
      <c r="B193" s="47" t="s">
        <v>1971</v>
      </c>
      <c r="C193" s="46">
        <v>13.7</v>
      </c>
      <c r="D193" s="53">
        <v>12</v>
      </c>
      <c r="E193" s="46">
        <v>164.39999999999998</v>
      </c>
      <c r="F193" s="695">
        <v>1.9</v>
      </c>
      <c r="G193" s="690" t="s">
        <v>2886</v>
      </c>
    </row>
    <row r="194" spans="1:7" s="1" customFormat="1" ht="18" customHeight="1">
      <c r="A194" s="935" t="s">
        <v>39</v>
      </c>
      <c r="B194" s="935" t="s">
        <v>100</v>
      </c>
      <c r="C194" s="935" t="s">
        <v>163</v>
      </c>
      <c r="D194" s="935" t="s">
        <v>197</v>
      </c>
      <c r="E194" s="935" t="s">
        <v>198</v>
      </c>
      <c r="F194" s="205" t="s">
        <v>2816</v>
      </c>
      <c r="G194" s="690"/>
    </row>
    <row r="195" spans="1:7" s="1" customFormat="1" ht="18" customHeight="1">
      <c r="A195" s="69" t="s">
        <v>1986</v>
      </c>
      <c r="B195" s="47" t="s">
        <v>1924</v>
      </c>
      <c r="C195" s="46">
        <v>13.7</v>
      </c>
      <c r="D195" s="53">
        <v>37</v>
      </c>
      <c r="E195" s="46">
        <v>506.9</v>
      </c>
      <c r="F195" s="695">
        <v>1.9</v>
      </c>
      <c r="G195" s="690" t="s">
        <v>2887</v>
      </c>
    </row>
    <row r="196" spans="1:7" s="1" customFormat="1" ht="18" customHeight="1">
      <c r="A196" s="69" t="s">
        <v>1986</v>
      </c>
      <c r="B196" s="47" t="s">
        <v>1941</v>
      </c>
      <c r="C196" s="46">
        <v>13.7</v>
      </c>
      <c r="D196" s="53">
        <v>26</v>
      </c>
      <c r="E196" s="46">
        <v>356.2</v>
      </c>
      <c r="F196" s="695">
        <v>1.9</v>
      </c>
      <c r="G196" s="690" t="s">
        <v>2887</v>
      </c>
    </row>
    <row r="197" spans="1:7" s="1" customFormat="1" ht="18" customHeight="1">
      <c r="A197" s="69" t="s">
        <v>1986</v>
      </c>
      <c r="B197" s="47" t="s">
        <v>1987</v>
      </c>
      <c r="C197" s="46">
        <v>13.7</v>
      </c>
      <c r="D197" s="53">
        <v>26</v>
      </c>
      <c r="E197" s="46">
        <v>356.2</v>
      </c>
      <c r="F197" s="695">
        <v>1.9</v>
      </c>
      <c r="G197" s="690" t="s">
        <v>2886</v>
      </c>
    </row>
    <row r="198" spans="1:7" s="1" customFormat="1" ht="18" customHeight="1">
      <c r="A198" s="69" t="s">
        <v>1986</v>
      </c>
      <c r="B198" s="47" t="s">
        <v>1988</v>
      </c>
      <c r="C198" s="46">
        <v>13.7</v>
      </c>
      <c r="D198" s="53">
        <v>22</v>
      </c>
      <c r="E198" s="46">
        <v>301.39999999999998</v>
      </c>
      <c r="F198" s="695">
        <v>1.9</v>
      </c>
      <c r="G198" s="690" t="s">
        <v>2886</v>
      </c>
    </row>
    <row r="199" spans="1:7" s="1" customFormat="1" ht="18" customHeight="1">
      <c r="A199" s="935" t="s">
        <v>39</v>
      </c>
      <c r="B199" s="935" t="s">
        <v>100</v>
      </c>
      <c r="C199" s="935" t="s">
        <v>163</v>
      </c>
      <c r="D199" s="935" t="s">
        <v>197</v>
      </c>
      <c r="E199" s="935" t="s">
        <v>198</v>
      </c>
      <c r="F199" s="205" t="s">
        <v>2816</v>
      </c>
      <c r="G199" s="690"/>
    </row>
    <row r="200" spans="1:7" s="1" customFormat="1" ht="18" customHeight="1">
      <c r="A200" s="69" t="s">
        <v>1989</v>
      </c>
      <c r="B200" s="47" t="s">
        <v>1924</v>
      </c>
      <c r="C200" s="46">
        <v>13.7</v>
      </c>
      <c r="D200" s="53">
        <v>24</v>
      </c>
      <c r="E200" s="46">
        <v>328.79999999999995</v>
      </c>
      <c r="F200" s="695">
        <v>1.9</v>
      </c>
      <c r="G200" s="690" t="s">
        <v>2888</v>
      </c>
    </row>
    <row r="201" spans="1:7" s="1" customFormat="1" ht="18" customHeight="1">
      <c r="A201" s="69" t="s">
        <v>1989</v>
      </c>
      <c r="B201" s="47" t="s">
        <v>1941</v>
      </c>
      <c r="C201" s="46">
        <v>13.7</v>
      </c>
      <c r="D201" s="53">
        <v>10</v>
      </c>
      <c r="E201" s="46">
        <v>137</v>
      </c>
      <c r="F201" s="695">
        <v>1.9</v>
      </c>
      <c r="G201" s="690" t="s">
        <v>2888</v>
      </c>
    </row>
    <row r="202" spans="1:7" s="1" customFormat="1" ht="18" customHeight="1">
      <c r="A202" s="69" t="s">
        <v>1989</v>
      </c>
      <c r="B202" s="47" t="s">
        <v>121</v>
      </c>
      <c r="C202" s="46">
        <v>13.7</v>
      </c>
      <c r="D202" s="53">
        <v>22</v>
      </c>
      <c r="E202" s="46">
        <v>301.39999999999998</v>
      </c>
      <c r="F202" s="695">
        <v>1.9</v>
      </c>
      <c r="G202" s="690" t="s">
        <v>2888</v>
      </c>
    </row>
    <row r="203" spans="1:7" s="1" customFormat="1" ht="18" customHeight="1">
      <c r="A203" s="69" t="s">
        <v>1989</v>
      </c>
      <c r="B203" s="47" t="s">
        <v>1988</v>
      </c>
      <c r="C203" s="46">
        <v>13.7</v>
      </c>
      <c r="D203" s="53">
        <v>19</v>
      </c>
      <c r="E203" s="46">
        <v>260.3</v>
      </c>
      <c r="F203" s="695">
        <v>1.9</v>
      </c>
      <c r="G203" s="690" t="s">
        <v>2888</v>
      </c>
    </row>
    <row r="204" spans="1:7">
      <c r="A204" s="161"/>
    </row>
    <row r="209" spans="1:7" ht="15.75">
      <c r="A209" s="935" t="s">
        <v>39</v>
      </c>
      <c r="B209" s="935" t="s">
        <v>100</v>
      </c>
      <c r="C209" s="935" t="s">
        <v>163</v>
      </c>
      <c r="D209" s="935" t="s">
        <v>197</v>
      </c>
      <c r="E209" s="935" t="s">
        <v>198</v>
      </c>
      <c r="F209" s="205" t="s">
        <v>2816</v>
      </c>
      <c r="G209" s="205" t="s">
        <v>72</v>
      </c>
    </row>
    <row r="210" spans="1:7" ht="14.25">
      <c r="A210" s="946" t="s">
        <v>1983</v>
      </c>
      <c r="B210" s="947" t="s">
        <v>1924</v>
      </c>
      <c r="C210" s="948">
        <v>14</v>
      </c>
      <c r="D210" s="949">
        <v>15</v>
      </c>
      <c r="E210" s="948">
        <v>210</v>
      </c>
      <c r="F210" s="950">
        <v>1.08</v>
      </c>
      <c r="G210" s="64" t="s">
        <v>2889</v>
      </c>
    </row>
    <row r="211" spans="1:7" ht="14.25">
      <c r="A211" s="946" t="s">
        <v>1983</v>
      </c>
      <c r="B211" s="951" t="s">
        <v>122</v>
      </c>
      <c r="C211" s="952" t="s">
        <v>28</v>
      </c>
      <c r="D211" s="949"/>
      <c r="E211" s="948"/>
      <c r="F211" s="950">
        <v>90</v>
      </c>
      <c r="G211" s="64"/>
    </row>
    <row r="212" spans="1:7" ht="15.75">
      <c r="A212" s="935" t="s">
        <v>39</v>
      </c>
      <c r="B212" s="935" t="s">
        <v>100</v>
      </c>
      <c r="C212" s="935" t="s">
        <v>163</v>
      </c>
      <c r="D212" s="935" t="s">
        <v>197</v>
      </c>
      <c r="E212" s="935" t="s">
        <v>198</v>
      </c>
      <c r="F212" s="205" t="s">
        <v>2816</v>
      </c>
      <c r="G212" s="205"/>
    </row>
    <row r="213" spans="1:7" ht="14.25">
      <c r="A213" s="953" t="s">
        <v>1991</v>
      </c>
      <c r="B213" s="954" t="s">
        <v>1924</v>
      </c>
      <c r="C213" s="955">
        <v>14</v>
      </c>
      <c r="D213" s="956">
        <v>36</v>
      </c>
      <c r="E213" s="955">
        <v>504</v>
      </c>
      <c r="F213" s="957">
        <v>1.08</v>
      </c>
      <c r="G213" s="64" t="s">
        <v>2890</v>
      </c>
    </row>
    <row r="214" spans="1:7" ht="14.25">
      <c r="A214" s="953" t="s">
        <v>1991</v>
      </c>
      <c r="B214" s="954" t="s">
        <v>1940</v>
      </c>
      <c r="C214" s="955">
        <v>14</v>
      </c>
      <c r="D214" s="956">
        <v>36</v>
      </c>
      <c r="E214" s="955">
        <v>504</v>
      </c>
      <c r="F214" s="957">
        <v>1.08</v>
      </c>
      <c r="G214" s="64" t="s">
        <v>2889</v>
      </c>
    </row>
    <row r="215" spans="1:7" ht="14.25">
      <c r="A215" s="953" t="s">
        <v>1991</v>
      </c>
      <c r="B215" s="954" t="s">
        <v>121</v>
      </c>
      <c r="C215" s="955">
        <v>13.7</v>
      </c>
      <c r="D215" s="956">
        <v>44</v>
      </c>
      <c r="E215" s="955">
        <v>602.79999999999995</v>
      </c>
      <c r="F215" s="957">
        <v>1.69</v>
      </c>
      <c r="G215" s="64" t="s">
        <v>2891</v>
      </c>
    </row>
    <row r="216" spans="1:7" ht="15.75">
      <c r="A216" s="935" t="s">
        <v>39</v>
      </c>
      <c r="B216" s="935" t="s">
        <v>100</v>
      </c>
      <c r="C216" s="935" t="s">
        <v>163</v>
      </c>
      <c r="D216" s="935" t="s">
        <v>197</v>
      </c>
      <c r="E216" s="935" t="s">
        <v>198</v>
      </c>
      <c r="F216" s="205" t="s">
        <v>2816</v>
      </c>
      <c r="G216" s="205"/>
    </row>
    <row r="217" spans="1:7" ht="15.75">
      <c r="A217" s="958" t="s">
        <v>1994</v>
      </c>
      <c r="B217" s="959" t="s">
        <v>1941</v>
      </c>
      <c r="C217" s="960">
        <v>810</v>
      </c>
      <c r="D217" s="960">
        <v>810</v>
      </c>
      <c r="E217" s="960">
        <v>810</v>
      </c>
      <c r="F217" s="961">
        <v>1.38</v>
      </c>
      <c r="G217" s="205"/>
    </row>
    <row r="218" spans="1:7">
      <c r="A218" s="161"/>
    </row>
    <row r="219" spans="1:7" ht="15.75">
      <c r="A219" s="935" t="s">
        <v>39</v>
      </c>
      <c r="B219" s="935" t="s">
        <v>100</v>
      </c>
      <c r="C219" s="935" t="s">
        <v>163</v>
      </c>
      <c r="D219" s="935" t="s">
        <v>197</v>
      </c>
      <c r="E219" s="935" t="s">
        <v>198</v>
      </c>
      <c r="F219" s="205" t="s">
        <v>2816</v>
      </c>
      <c r="G219" s="205" t="s">
        <v>72</v>
      </c>
    </row>
    <row r="220" spans="1:7" ht="15">
      <c r="A220" s="962" t="s">
        <v>2892</v>
      </c>
      <c r="B220" s="963" t="s">
        <v>1924</v>
      </c>
      <c r="C220" s="964">
        <v>14</v>
      </c>
      <c r="D220" s="965">
        <v>29</v>
      </c>
      <c r="E220" s="964">
        <v>406</v>
      </c>
      <c r="F220" s="695">
        <v>1.08</v>
      </c>
      <c r="G220" s="64" t="s">
        <v>2893</v>
      </c>
    </row>
    <row r="221" spans="1:7">
      <c r="A221" s="161"/>
    </row>
    <row r="223" spans="1:7" ht="15.75">
      <c r="A223" s="935" t="s">
        <v>39</v>
      </c>
      <c r="B223" s="935" t="s">
        <v>100</v>
      </c>
      <c r="C223" s="935" t="s">
        <v>163</v>
      </c>
      <c r="D223" s="935" t="s">
        <v>197</v>
      </c>
      <c r="E223" s="935" t="s">
        <v>198</v>
      </c>
      <c r="F223" s="205" t="s">
        <v>2816</v>
      </c>
      <c r="G223" s="205" t="s">
        <v>72</v>
      </c>
    </row>
    <row r="224" spans="1:7" ht="14.25">
      <c r="A224" s="946" t="s">
        <v>1983</v>
      </c>
      <c r="B224" s="947" t="s">
        <v>1924</v>
      </c>
      <c r="C224" s="948">
        <v>14</v>
      </c>
      <c r="D224" s="949">
        <v>15</v>
      </c>
      <c r="E224" s="948">
        <v>210</v>
      </c>
      <c r="F224" s="950">
        <v>1.08</v>
      </c>
      <c r="G224" s="64" t="s">
        <v>2894</v>
      </c>
    </row>
    <row r="225" spans="1:7" ht="14.25">
      <c r="A225" s="946" t="s">
        <v>1983</v>
      </c>
      <c r="B225" s="951" t="s">
        <v>122</v>
      </c>
      <c r="C225" s="952" t="s">
        <v>28</v>
      </c>
      <c r="D225" s="949"/>
      <c r="E225" s="948"/>
      <c r="F225" s="950">
        <v>90</v>
      </c>
      <c r="G225" s="64"/>
    </row>
    <row r="226" spans="1:7" ht="15.75">
      <c r="A226" s="935" t="s">
        <v>39</v>
      </c>
      <c r="B226" s="935" t="s">
        <v>100</v>
      </c>
      <c r="C226" s="935" t="s">
        <v>163</v>
      </c>
      <c r="D226" s="935" t="s">
        <v>197</v>
      </c>
      <c r="E226" s="935" t="s">
        <v>198</v>
      </c>
      <c r="F226" s="205" t="s">
        <v>2816</v>
      </c>
      <c r="G226" s="205"/>
    </row>
    <row r="227" spans="1:7" ht="14.25">
      <c r="A227" s="953" t="s">
        <v>1991</v>
      </c>
      <c r="B227" s="954" t="s">
        <v>1924</v>
      </c>
      <c r="C227" s="955">
        <v>14</v>
      </c>
      <c r="D227" s="956">
        <v>36</v>
      </c>
      <c r="E227" s="955">
        <v>504</v>
      </c>
      <c r="F227" s="957">
        <v>1.08</v>
      </c>
      <c r="G227" s="64" t="s">
        <v>2894</v>
      </c>
    </row>
    <row r="228" spans="1:7" ht="15.75">
      <c r="A228" s="935" t="s">
        <v>39</v>
      </c>
      <c r="B228" s="935" t="s">
        <v>100</v>
      </c>
      <c r="C228" s="935" t="s">
        <v>163</v>
      </c>
      <c r="D228" s="935" t="s">
        <v>197</v>
      </c>
      <c r="E228" s="935" t="s">
        <v>198</v>
      </c>
      <c r="F228" s="205" t="s">
        <v>2816</v>
      </c>
      <c r="G228" s="205" t="s">
        <v>72</v>
      </c>
    </row>
    <row r="229" spans="1:7" ht="14.25">
      <c r="A229" s="966" t="s">
        <v>2895</v>
      </c>
      <c r="B229" s="967" t="s">
        <v>1924</v>
      </c>
      <c r="C229" s="968">
        <v>14</v>
      </c>
      <c r="D229" s="969">
        <v>29</v>
      </c>
      <c r="E229" s="968">
        <v>406</v>
      </c>
      <c r="F229" s="970">
        <v>1.08</v>
      </c>
      <c r="G229" s="64" t="s">
        <v>2896</v>
      </c>
    </row>
    <row r="233" spans="1:7" ht="15.75">
      <c r="A233" s="935" t="s">
        <v>39</v>
      </c>
      <c r="B233" s="935" t="s">
        <v>100</v>
      </c>
      <c r="C233" s="935" t="s">
        <v>198</v>
      </c>
      <c r="D233" s="935" t="s">
        <v>163</v>
      </c>
      <c r="E233" s="935" t="s">
        <v>197</v>
      </c>
      <c r="F233" s="205" t="s">
        <v>2816</v>
      </c>
      <c r="G233" s="205" t="s">
        <v>72</v>
      </c>
    </row>
    <row r="234" spans="1:7" ht="14.25">
      <c r="A234" s="69" t="s">
        <v>1999</v>
      </c>
      <c r="B234" s="47" t="s">
        <v>1941</v>
      </c>
      <c r="C234" s="64">
        <f>D234*E234</f>
        <v>686</v>
      </c>
      <c r="D234" s="64">
        <v>14</v>
      </c>
      <c r="E234" s="930">
        <v>49</v>
      </c>
      <c r="F234" s="971">
        <v>1.58</v>
      </c>
      <c r="G234" s="64" t="s">
        <v>2897</v>
      </c>
    </row>
    <row r="235" spans="1:7" ht="14.25">
      <c r="A235" s="69" t="s">
        <v>2000</v>
      </c>
      <c r="B235" s="47" t="s">
        <v>2001</v>
      </c>
      <c r="C235" s="64">
        <f>D235*E235</f>
        <v>2506</v>
      </c>
      <c r="D235" s="64">
        <v>14</v>
      </c>
      <c r="E235" s="930">
        <v>179</v>
      </c>
      <c r="F235" s="971">
        <v>1.06</v>
      </c>
      <c r="G235" s="64" t="s">
        <v>2898</v>
      </c>
    </row>
    <row r="237" spans="1:7" ht="15.75">
      <c r="A237" s="68" t="s">
        <v>39</v>
      </c>
      <c r="B237" s="68" t="s">
        <v>100</v>
      </c>
      <c r="C237" s="68" t="s">
        <v>163</v>
      </c>
      <c r="D237" s="68" t="s">
        <v>197</v>
      </c>
      <c r="E237" s="68" t="s">
        <v>198</v>
      </c>
    </row>
    <row r="238" spans="1:7" ht="15">
      <c r="A238" s="972" t="s">
        <v>2895</v>
      </c>
      <c r="B238" s="74" t="s">
        <v>1924</v>
      </c>
      <c r="C238" s="925">
        <v>14</v>
      </c>
      <c r="D238" s="973">
        <v>29</v>
      </c>
      <c r="E238" s="925">
        <v>406</v>
      </c>
    </row>
    <row r="241" spans="1:7" ht="15.75">
      <c r="A241" s="68" t="s">
        <v>162</v>
      </c>
      <c r="B241" s="68" t="s">
        <v>100</v>
      </c>
      <c r="C241" s="68" t="s">
        <v>18</v>
      </c>
      <c r="D241" s="205" t="s">
        <v>2816</v>
      </c>
    </row>
    <row r="242" spans="1:7" ht="14.25">
      <c r="A242" s="47" t="s">
        <v>1854</v>
      </c>
      <c r="B242" s="47" t="s">
        <v>2005</v>
      </c>
      <c r="C242" s="46">
        <v>5</v>
      </c>
      <c r="D242" s="34">
        <v>9.5</v>
      </c>
    </row>
    <row r="243" spans="1:7" ht="14.25">
      <c r="A243" s="47" t="s">
        <v>1854</v>
      </c>
      <c r="B243" s="47" t="s">
        <v>2007</v>
      </c>
      <c r="C243" s="46">
        <v>5</v>
      </c>
      <c r="D243" s="34">
        <v>9.5</v>
      </c>
    </row>
    <row r="244" spans="1:7" ht="14.25">
      <c r="A244" s="61"/>
      <c r="B244" s="59" t="s">
        <v>24</v>
      </c>
      <c r="C244" s="30" t="s">
        <v>48</v>
      </c>
      <c r="D244" s="34">
        <v>24</v>
      </c>
    </row>
    <row r="245" spans="1:7" ht="14.25">
      <c r="A245" s="61"/>
      <c r="B245" s="59" t="s">
        <v>13</v>
      </c>
      <c r="C245" s="30" t="s">
        <v>28</v>
      </c>
      <c r="D245" s="34">
        <v>12</v>
      </c>
    </row>
    <row r="248" spans="1:7" ht="15.75">
      <c r="A248" s="935" t="s">
        <v>39</v>
      </c>
      <c r="B248" s="68" t="s">
        <v>100</v>
      </c>
      <c r="C248" s="68" t="s">
        <v>163</v>
      </c>
      <c r="D248" s="68" t="s">
        <v>197</v>
      </c>
      <c r="E248" s="935" t="s">
        <v>198</v>
      </c>
      <c r="F248" s="205" t="s">
        <v>2816</v>
      </c>
      <c r="G248" s="205" t="s">
        <v>72</v>
      </c>
    </row>
    <row r="249" spans="1:7" ht="15">
      <c r="A249" s="54" t="s">
        <v>1993</v>
      </c>
      <c r="B249" s="47" t="s">
        <v>1924</v>
      </c>
      <c r="C249" s="46">
        <v>13.7</v>
      </c>
      <c r="D249" s="53">
        <v>35</v>
      </c>
      <c r="E249" s="46">
        <v>479.5</v>
      </c>
      <c r="F249" s="695">
        <v>3.34</v>
      </c>
      <c r="G249" s="64" t="s">
        <v>2899</v>
      </c>
    </row>
    <row r="250" spans="1:7" ht="15">
      <c r="A250" s="54" t="s">
        <v>1993</v>
      </c>
      <c r="B250" s="47" t="s">
        <v>1926</v>
      </c>
      <c r="C250" s="46">
        <v>13.7</v>
      </c>
      <c r="D250" s="53">
        <v>35</v>
      </c>
      <c r="E250" s="46">
        <v>479.5</v>
      </c>
      <c r="F250" s="695">
        <v>3.34</v>
      </c>
      <c r="G250" s="64" t="s">
        <v>2900</v>
      </c>
    </row>
    <row r="251" spans="1:7" ht="15">
      <c r="A251" s="54" t="s">
        <v>1993</v>
      </c>
      <c r="B251" s="47" t="s">
        <v>1927</v>
      </c>
      <c r="C251" s="46">
        <v>13.7</v>
      </c>
      <c r="D251" s="53">
        <v>35</v>
      </c>
      <c r="E251" s="46">
        <v>479.5</v>
      </c>
      <c r="F251" s="695">
        <v>3.34</v>
      </c>
      <c r="G251" s="64" t="s">
        <v>2900</v>
      </c>
    </row>
    <row r="252" spans="1:7" ht="15">
      <c r="A252" s="54" t="s">
        <v>1993</v>
      </c>
      <c r="B252" s="47" t="s">
        <v>1929</v>
      </c>
      <c r="C252" s="46">
        <v>13.7</v>
      </c>
      <c r="D252" s="53">
        <v>35</v>
      </c>
      <c r="E252" s="46">
        <v>479.5</v>
      </c>
      <c r="F252" s="695">
        <v>3.34</v>
      </c>
      <c r="G252" s="64" t="s">
        <v>2900</v>
      </c>
    </row>
    <row r="259" spans="1:6" ht="15.75">
      <c r="A259" s="68" t="s">
        <v>162</v>
      </c>
      <c r="B259" s="68" t="s">
        <v>100</v>
      </c>
      <c r="C259" s="68" t="s">
        <v>163</v>
      </c>
      <c r="D259" s="68" t="s">
        <v>197</v>
      </c>
      <c r="E259" s="935" t="s">
        <v>198</v>
      </c>
      <c r="F259" s="205" t="s">
        <v>2816</v>
      </c>
    </row>
    <row r="260" spans="1:6" ht="14.25">
      <c r="A260" s="47">
        <v>3920</v>
      </c>
      <c r="B260" s="47" t="s">
        <v>82</v>
      </c>
      <c r="C260" s="46">
        <v>30</v>
      </c>
      <c r="D260" s="53">
        <v>1</v>
      </c>
      <c r="E260" s="46">
        <v>30</v>
      </c>
      <c r="F260" s="695">
        <v>0.28000000000000003</v>
      </c>
    </row>
    <row r="261" spans="1:6" ht="14.25">
      <c r="A261" s="47">
        <v>3920</v>
      </c>
      <c r="B261" s="47" t="s">
        <v>82</v>
      </c>
      <c r="C261" s="46">
        <v>30</v>
      </c>
      <c r="D261" s="53">
        <v>1</v>
      </c>
      <c r="E261" s="46">
        <v>30</v>
      </c>
      <c r="F261" s="695">
        <v>0.35</v>
      </c>
    </row>
    <row r="262" spans="1:6" ht="14.25">
      <c r="A262" s="47"/>
      <c r="B262" s="59" t="s">
        <v>13</v>
      </c>
      <c r="C262" s="30" t="s">
        <v>28</v>
      </c>
      <c r="D262" s="53"/>
      <c r="E262" s="46"/>
      <c r="F262" s="695">
        <v>12</v>
      </c>
    </row>
    <row r="264" spans="1:6" ht="15.75">
      <c r="A264" s="68" t="s">
        <v>162</v>
      </c>
      <c r="B264" s="68" t="s">
        <v>100</v>
      </c>
      <c r="C264" s="68" t="s">
        <v>163</v>
      </c>
      <c r="D264" s="68" t="s">
        <v>197</v>
      </c>
      <c r="E264" s="935" t="s">
        <v>198</v>
      </c>
      <c r="F264" s="205" t="s">
        <v>2816</v>
      </c>
    </row>
    <row r="265" spans="1:6" ht="14.25">
      <c r="A265" s="47">
        <v>3910</v>
      </c>
      <c r="B265" s="47" t="s">
        <v>2028</v>
      </c>
      <c r="C265" s="46">
        <v>30</v>
      </c>
      <c r="D265" s="53">
        <v>10</v>
      </c>
      <c r="E265" s="46">
        <v>300</v>
      </c>
      <c r="F265" s="695">
        <v>0.26</v>
      </c>
    </row>
    <row r="266" spans="1:6" ht="14.25">
      <c r="A266" s="61"/>
      <c r="B266" s="59" t="s">
        <v>13</v>
      </c>
      <c r="C266" s="30" t="s">
        <v>28</v>
      </c>
      <c r="D266" s="53"/>
      <c r="E266" s="46"/>
      <c r="F266" s="695">
        <v>12</v>
      </c>
    </row>
    <row r="269" spans="1:6" ht="15.75">
      <c r="A269" s="68" t="s">
        <v>162</v>
      </c>
      <c r="B269" s="935" t="s">
        <v>198</v>
      </c>
      <c r="C269" s="205" t="s">
        <v>2816</v>
      </c>
    </row>
    <row r="270" spans="1:6" ht="14.25">
      <c r="A270" s="47" t="s">
        <v>88</v>
      </c>
      <c r="B270" s="46">
        <v>5</v>
      </c>
      <c r="C270" s="695">
        <v>4.66</v>
      </c>
    </row>
    <row r="271" spans="1:6" ht="14.25">
      <c r="A271" s="47" t="s">
        <v>2020</v>
      </c>
      <c r="B271" s="46">
        <v>5</v>
      </c>
      <c r="C271" s="695">
        <v>1.61</v>
      </c>
    </row>
    <row r="272" spans="1:6" ht="14.25">
      <c r="A272" s="47" t="s">
        <v>2022</v>
      </c>
      <c r="B272" s="46">
        <v>5</v>
      </c>
      <c r="C272" s="695">
        <v>1.17</v>
      </c>
    </row>
    <row r="273" spans="1:6" ht="14.25">
      <c r="A273" s="47" t="s">
        <v>2024</v>
      </c>
      <c r="B273" s="46">
        <v>5</v>
      </c>
      <c r="C273" s="695">
        <v>2.56</v>
      </c>
    </row>
    <row r="274" spans="1:6" ht="14.25">
      <c r="A274" s="61"/>
      <c r="B274" s="30" t="s">
        <v>28</v>
      </c>
      <c r="C274" s="695">
        <v>12</v>
      </c>
    </row>
    <row r="277" spans="1:6" ht="15.75">
      <c r="A277" s="935" t="s">
        <v>39</v>
      </c>
      <c r="B277" s="68" t="s">
        <v>100</v>
      </c>
      <c r="C277" s="68" t="s">
        <v>163</v>
      </c>
      <c r="D277" s="68" t="s">
        <v>197</v>
      </c>
      <c r="E277" s="935" t="s">
        <v>198</v>
      </c>
      <c r="F277" s="205" t="s">
        <v>2816</v>
      </c>
    </row>
    <row r="278" spans="1:6" ht="14.25">
      <c r="A278" s="54" t="s">
        <v>2030</v>
      </c>
      <c r="B278" s="47" t="s">
        <v>2032</v>
      </c>
      <c r="C278" s="46">
        <v>13.7</v>
      </c>
      <c r="D278" s="53">
        <v>88</v>
      </c>
      <c r="E278" s="46">
        <v>1205.5999999999999</v>
      </c>
      <c r="F278" s="695">
        <v>1.73</v>
      </c>
    </row>
    <row r="281" spans="1:6" ht="15.75">
      <c r="A281" s="68" t="s">
        <v>162</v>
      </c>
      <c r="B281" s="68" t="s">
        <v>163</v>
      </c>
      <c r="C281" s="68" t="s">
        <v>197</v>
      </c>
      <c r="D281" s="935" t="s">
        <v>198</v>
      </c>
      <c r="E281" s="205" t="s">
        <v>2816</v>
      </c>
    </row>
    <row r="282" spans="1:6" ht="14.25">
      <c r="A282" s="47" t="s">
        <v>2034</v>
      </c>
      <c r="B282" s="46">
        <v>13.7</v>
      </c>
      <c r="C282" s="53">
        <v>1</v>
      </c>
      <c r="D282" s="46">
        <v>13.7</v>
      </c>
      <c r="E282" s="695">
        <v>5.9</v>
      </c>
    </row>
    <row r="283" spans="1:6" ht="14.25">
      <c r="A283" s="61"/>
      <c r="B283" s="30" t="s">
        <v>28</v>
      </c>
      <c r="C283" s="53"/>
      <c r="D283" s="46"/>
      <c r="E283" s="695">
        <v>12</v>
      </c>
    </row>
    <row r="285" spans="1:6" ht="15.75">
      <c r="A285" s="68" t="s">
        <v>162</v>
      </c>
      <c r="B285" s="68" t="s">
        <v>163</v>
      </c>
      <c r="C285" s="68" t="s">
        <v>197</v>
      </c>
      <c r="D285" s="935" t="s">
        <v>198</v>
      </c>
      <c r="E285" s="205" t="s">
        <v>2816</v>
      </c>
    </row>
    <row r="286" spans="1:6" ht="14.25">
      <c r="A286" s="47" t="s">
        <v>2039</v>
      </c>
      <c r="B286" s="46">
        <v>13.7</v>
      </c>
      <c r="C286" s="53">
        <v>1</v>
      </c>
      <c r="D286" s="46">
        <v>13.7</v>
      </c>
      <c r="E286" s="695">
        <v>14.65</v>
      </c>
    </row>
    <row r="287" spans="1:6" ht="14.25">
      <c r="A287" s="47" t="s">
        <v>2041</v>
      </c>
      <c r="B287" s="46">
        <v>10</v>
      </c>
      <c r="C287" s="46">
        <v>10</v>
      </c>
      <c r="D287" s="46">
        <v>10</v>
      </c>
      <c r="E287" s="695">
        <v>3.45</v>
      </c>
    </row>
    <row r="288" spans="1:6" ht="14.25">
      <c r="A288" s="47" t="s">
        <v>2043</v>
      </c>
      <c r="B288" s="46">
        <v>10</v>
      </c>
      <c r="C288" s="46">
        <v>10</v>
      </c>
      <c r="D288" s="46">
        <v>10</v>
      </c>
      <c r="E288" s="695">
        <v>3.31</v>
      </c>
    </row>
    <row r="289" spans="1:5" ht="14.25">
      <c r="A289" s="47" t="s">
        <v>1947</v>
      </c>
      <c r="B289" s="46">
        <v>10</v>
      </c>
      <c r="C289" s="46">
        <v>10</v>
      </c>
      <c r="D289" s="46">
        <v>10</v>
      </c>
      <c r="E289" s="695">
        <v>2.31</v>
      </c>
    </row>
    <row r="290" spans="1:5" ht="14.25">
      <c r="A290" s="47" t="s">
        <v>75</v>
      </c>
      <c r="B290" s="46">
        <v>10</v>
      </c>
      <c r="C290" s="46">
        <v>10</v>
      </c>
      <c r="D290" s="46">
        <v>10</v>
      </c>
      <c r="E290" s="695">
        <v>2.62</v>
      </c>
    </row>
    <row r="291" spans="1:5" ht="14.25">
      <c r="A291" s="47" t="s">
        <v>76</v>
      </c>
      <c r="B291" s="46">
        <v>10</v>
      </c>
      <c r="C291" s="46">
        <v>10</v>
      </c>
      <c r="D291" s="46">
        <v>10</v>
      </c>
      <c r="E291" s="695">
        <v>3.03</v>
      </c>
    </row>
    <row r="292" spans="1:5" ht="14.25">
      <c r="A292" s="47" t="s">
        <v>91</v>
      </c>
      <c r="B292" s="46">
        <v>10</v>
      </c>
      <c r="C292" s="46">
        <v>10</v>
      </c>
      <c r="D292" s="46">
        <v>10</v>
      </c>
      <c r="E292" s="695">
        <v>2.92</v>
      </c>
    </row>
    <row r="293" spans="1:5" ht="14.25">
      <c r="A293" s="47" t="s">
        <v>2045</v>
      </c>
      <c r="B293" s="46">
        <v>10</v>
      </c>
      <c r="C293" s="46">
        <v>10</v>
      </c>
      <c r="D293" s="46">
        <v>10</v>
      </c>
      <c r="E293" s="695">
        <v>1.06</v>
      </c>
    </row>
    <row r="294" spans="1:5" ht="14.25">
      <c r="A294" s="47" t="s">
        <v>2046</v>
      </c>
      <c r="B294" s="46">
        <v>13.7</v>
      </c>
      <c r="C294" s="53">
        <v>1</v>
      </c>
      <c r="D294" s="46">
        <v>13.7</v>
      </c>
      <c r="E294" s="695">
        <v>18.22</v>
      </c>
    </row>
    <row r="295" spans="1:5" ht="14.25">
      <c r="A295" s="47" t="s">
        <v>2047</v>
      </c>
      <c r="B295" s="46">
        <v>13.7</v>
      </c>
      <c r="C295" s="53">
        <v>1</v>
      </c>
      <c r="D295" s="46">
        <v>13.7</v>
      </c>
      <c r="E295" s="695">
        <v>5.6</v>
      </c>
    </row>
    <row r="296" spans="1:5" ht="14.25">
      <c r="A296" s="47" t="s">
        <v>2048</v>
      </c>
      <c r="B296" s="46">
        <v>13.7</v>
      </c>
      <c r="C296" s="53">
        <v>1</v>
      </c>
      <c r="D296" s="46">
        <v>13.7</v>
      </c>
      <c r="E296" s="695">
        <v>6.2</v>
      </c>
    </row>
    <row r="297" spans="1:5" ht="14.25">
      <c r="A297" s="47" t="s">
        <v>2049</v>
      </c>
      <c r="B297" s="46">
        <v>13.7</v>
      </c>
      <c r="C297" s="53">
        <v>1</v>
      </c>
      <c r="D297" s="46">
        <v>13.7</v>
      </c>
      <c r="E297" s="695">
        <v>9.9499999999999993</v>
      </c>
    </row>
    <row r="298" spans="1:5" ht="14.25">
      <c r="A298" s="47" t="s">
        <v>2051</v>
      </c>
      <c r="B298" s="46">
        <v>10</v>
      </c>
      <c r="C298" s="46">
        <v>10</v>
      </c>
      <c r="D298" s="46">
        <v>10</v>
      </c>
      <c r="E298" s="695">
        <v>4.53</v>
      </c>
    </row>
    <row r="299" spans="1:5" ht="14.25">
      <c r="A299" s="47">
        <v>4191</v>
      </c>
      <c r="B299" s="46">
        <v>30</v>
      </c>
      <c r="C299" s="53">
        <v>1</v>
      </c>
      <c r="D299" s="46">
        <v>30</v>
      </c>
      <c r="E299" s="695">
        <v>1.85</v>
      </c>
    </row>
    <row r="300" spans="1:5" ht="14.25">
      <c r="A300" s="47">
        <v>4191</v>
      </c>
      <c r="B300" s="46">
        <v>30</v>
      </c>
      <c r="C300" s="53">
        <v>1</v>
      </c>
      <c r="D300" s="46">
        <v>30</v>
      </c>
      <c r="E300" s="695">
        <v>1.85</v>
      </c>
    </row>
    <row r="301" spans="1:5" ht="14.25">
      <c r="A301" s="47" t="s">
        <v>2052</v>
      </c>
      <c r="B301" s="46">
        <v>100</v>
      </c>
      <c r="C301" s="53">
        <v>1</v>
      </c>
      <c r="D301" s="46">
        <v>100</v>
      </c>
      <c r="E301" s="695">
        <v>0.91</v>
      </c>
    </row>
    <row r="302" spans="1:5" ht="14.25">
      <c r="A302" s="47" t="s">
        <v>2052</v>
      </c>
      <c r="B302" s="46">
        <v>100</v>
      </c>
      <c r="C302" s="53">
        <v>1</v>
      </c>
      <c r="D302" s="46">
        <v>100</v>
      </c>
      <c r="E302" s="695">
        <v>0.91</v>
      </c>
    </row>
    <row r="303" spans="1:5" ht="14.25">
      <c r="A303" s="47" t="s">
        <v>13</v>
      </c>
      <c r="B303" s="46"/>
      <c r="C303" s="974" t="s">
        <v>28</v>
      </c>
      <c r="D303" s="46"/>
      <c r="E303" s="695">
        <v>50</v>
      </c>
    </row>
    <row r="306" spans="1:4" ht="15.75">
      <c r="A306" s="68" t="s">
        <v>162</v>
      </c>
      <c r="B306" s="68" t="s">
        <v>163</v>
      </c>
      <c r="C306" s="68" t="s">
        <v>197</v>
      </c>
      <c r="D306" s="935" t="s">
        <v>198</v>
      </c>
    </row>
    <row r="307" spans="1:4" ht="14.25">
      <c r="A307" s="47">
        <v>4191</v>
      </c>
      <c r="B307" s="46">
        <v>30</v>
      </c>
      <c r="C307" s="53">
        <v>1</v>
      </c>
      <c r="D307" s="46">
        <v>30</v>
      </c>
    </row>
    <row r="308" spans="1:4" ht="14.25">
      <c r="A308" s="47">
        <v>4191</v>
      </c>
      <c r="B308" s="46">
        <v>30</v>
      </c>
      <c r="C308" s="53">
        <v>1</v>
      </c>
      <c r="D308" s="46">
        <v>30</v>
      </c>
    </row>
    <row r="311" spans="1:4" ht="15.75">
      <c r="A311" s="68" t="s">
        <v>162</v>
      </c>
      <c r="B311" s="68" t="s">
        <v>163</v>
      </c>
      <c r="C311" s="68" t="s">
        <v>197</v>
      </c>
      <c r="D311" s="935" t="s">
        <v>198</v>
      </c>
    </row>
    <row r="312" spans="1:4" ht="14.25">
      <c r="A312" s="47">
        <v>4101</v>
      </c>
      <c r="B312" s="46">
        <v>100</v>
      </c>
      <c r="C312" s="53">
        <v>1</v>
      </c>
      <c r="D312" s="46">
        <v>100</v>
      </c>
    </row>
    <row r="313" spans="1:4" ht="14.25">
      <c r="A313" s="47">
        <v>4101</v>
      </c>
      <c r="B313" s="46">
        <v>100</v>
      </c>
      <c r="C313" s="53">
        <v>1</v>
      </c>
      <c r="D313" s="46">
        <v>100</v>
      </c>
    </row>
    <row r="316" spans="1:4" ht="28.5">
      <c r="A316" s="975" t="s">
        <v>153</v>
      </c>
      <c r="B316" s="975" t="s">
        <v>221</v>
      </c>
      <c r="C316" s="976" t="s">
        <v>2901</v>
      </c>
    </row>
    <row r="317" spans="1:4" ht="15">
      <c r="A317" s="975" t="s">
        <v>2902</v>
      </c>
      <c r="B317" s="975" t="s">
        <v>2903</v>
      </c>
      <c r="C317" s="977">
        <v>44.5</v>
      </c>
    </row>
    <row r="318" spans="1:4" ht="15">
      <c r="A318" s="975" t="s">
        <v>2904</v>
      </c>
      <c r="B318" s="975" t="s">
        <v>2905</v>
      </c>
      <c r="C318" s="977">
        <v>31.46</v>
      </c>
    </row>
    <row r="319" spans="1:4" ht="15">
      <c r="A319" s="975" t="s">
        <v>2906</v>
      </c>
      <c r="B319" s="975" t="s">
        <v>2905</v>
      </c>
      <c r="C319" s="977">
        <v>34.07</v>
      </c>
    </row>
    <row r="322" spans="1:5" ht="15.75">
      <c r="A322" s="68" t="s">
        <v>162</v>
      </c>
      <c r="B322" s="68" t="s">
        <v>18</v>
      </c>
    </row>
    <row r="323" spans="1:5" ht="14.25">
      <c r="A323" s="47" t="s">
        <v>2054</v>
      </c>
      <c r="B323" s="46">
        <v>13.7</v>
      </c>
    </row>
    <row r="325" spans="1:5" ht="15.75">
      <c r="A325" s="68" t="s">
        <v>162</v>
      </c>
      <c r="B325" s="68" t="s">
        <v>163</v>
      </c>
      <c r="C325" s="68" t="s">
        <v>197</v>
      </c>
      <c r="D325" s="935" t="s">
        <v>198</v>
      </c>
      <c r="E325" s="205" t="s">
        <v>2816</v>
      </c>
    </row>
    <row r="326" spans="1:5" ht="14.25">
      <c r="A326" s="47" t="s">
        <v>2034</v>
      </c>
      <c r="B326" s="46">
        <v>13.7</v>
      </c>
      <c r="C326" s="53">
        <v>1</v>
      </c>
      <c r="D326" s="46">
        <v>13.7</v>
      </c>
      <c r="E326" s="695">
        <v>5.9</v>
      </c>
    </row>
    <row r="327" spans="1:5" ht="14.25">
      <c r="A327" s="47" t="s">
        <v>2034</v>
      </c>
      <c r="B327" s="46">
        <v>9</v>
      </c>
      <c r="C327" s="53">
        <v>1</v>
      </c>
      <c r="D327" s="46">
        <v>9</v>
      </c>
      <c r="E327" s="695">
        <v>5.9</v>
      </c>
    </row>
    <row r="328" spans="1:5" ht="14.25">
      <c r="A328" s="47"/>
      <c r="B328" s="30" t="s">
        <v>28</v>
      </c>
      <c r="C328" s="53"/>
      <c r="D328" s="46"/>
      <c r="E328" s="695">
        <v>12</v>
      </c>
    </row>
    <row r="330" spans="1:5" ht="15.75">
      <c r="A330" s="68" t="s">
        <v>162</v>
      </c>
      <c r="B330" s="68" t="s">
        <v>100</v>
      </c>
      <c r="C330" s="68" t="s">
        <v>18</v>
      </c>
      <c r="D330" s="205" t="s">
        <v>2816</v>
      </c>
    </row>
    <row r="331" spans="1:5" ht="14.25">
      <c r="A331" s="47" t="s">
        <v>2063</v>
      </c>
      <c r="B331" s="47" t="s">
        <v>46</v>
      </c>
      <c r="C331" s="46">
        <v>6</v>
      </c>
      <c r="D331" s="695">
        <v>9.69</v>
      </c>
    </row>
    <row r="332" spans="1:5" ht="14.25">
      <c r="A332" s="61"/>
      <c r="B332" s="59" t="s">
        <v>154</v>
      </c>
      <c r="C332" s="30" t="s">
        <v>28</v>
      </c>
      <c r="D332" s="695">
        <v>12</v>
      </c>
    </row>
    <row r="333" spans="1:5" ht="14.25">
      <c r="A333" s="61"/>
      <c r="B333" s="59" t="s">
        <v>13</v>
      </c>
      <c r="C333" s="30" t="s">
        <v>28</v>
      </c>
      <c r="D333" s="695">
        <v>12</v>
      </c>
    </row>
    <row r="336" spans="1:5">
      <c r="A336" s="80" t="s">
        <v>22</v>
      </c>
      <c r="B336" s="80" t="s">
        <v>2907</v>
      </c>
      <c r="C336" s="978" t="s">
        <v>23</v>
      </c>
      <c r="D336" s="978" t="s">
        <v>2908</v>
      </c>
    </row>
    <row r="337" spans="1:6" ht="14.25">
      <c r="A337" s="47">
        <v>9027</v>
      </c>
      <c r="B337" s="207" t="s">
        <v>125</v>
      </c>
      <c r="C337" s="64">
        <v>6</v>
      </c>
      <c r="D337" s="979">
        <v>880</v>
      </c>
    </row>
    <row r="338" spans="1:6" ht="14.25">
      <c r="A338" s="61"/>
      <c r="B338" s="980" t="s">
        <v>86</v>
      </c>
      <c r="C338" s="65" t="s">
        <v>28</v>
      </c>
      <c r="D338" s="979">
        <v>500</v>
      </c>
    </row>
    <row r="339" spans="1:6" ht="14.25">
      <c r="A339" s="61"/>
      <c r="B339" s="980" t="s">
        <v>119</v>
      </c>
      <c r="C339" s="65" t="s">
        <v>28</v>
      </c>
      <c r="D339" s="979">
        <v>550</v>
      </c>
    </row>
    <row r="341" spans="1:6" ht="15.75">
      <c r="A341" s="68" t="s">
        <v>162</v>
      </c>
      <c r="B341" s="68" t="s">
        <v>100</v>
      </c>
      <c r="C341" s="68" t="s">
        <v>163</v>
      </c>
      <c r="D341" s="68" t="s">
        <v>197</v>
      </c>
      <c r="E341" s="935" t="s">
        <v>56</v>
      </c>
      <c r="F341" s="205" t="s">
        <v>2816</v>
      </c>
    </row>
    <row r="342" spans="1:6" ht="14.25">
      <c r="A342" s="47">
        <v>12720</v>
      </c>
      <c r="B342" s="47" t="s">
        <v>219</v>
      </c>
      <c r="C342" s="46">
        <v>10</v>
      </c>
      <c r="D342" s="53">
        <v>2</v>
      </c>
      <c r="E342" s="46">
        <v>20</v>
      </c>
      <c r="F342" s="695">
        <v>0.63</v>
      </c>
    </row>
    <row r="343" spans="1:6" ht="14.25">
      <c r="A343" s="61"/>
      <c r="B343" s="59" t="s">
        <v>13</v>
      </c>
      <c r="C343" s="30" t="s">
        <v>28</v>
      </c>
      <c r="D343" s="53"/>
      <c r="E343" s="46"/>
      <c r="F343" s="695">
        <v>12</v>
      </c>
    </row>
    <row r="346" spans="1:6" ht="15.75">
      <c r="A346" s="68" t="s">
        <v>162</v>
      </c>
      <c r="B346" s="68" t="s">
        <v>100</v>
      </c>
      <c r="C346" s="68" t="s">
        <v>163</v>
      </c>
      <c r="D346" s="68" t="s">
        <v>197</v>
      </c>
      <c r="E346" s="935" t="s">
        <v>56</v>
      </c>
      <c r="F346" s="205" t="s">
        <v>2816</v>
      </c>
    </row>
    <row r="347" spans="1:6" ht="14.25">
      <c r="A347" s="47">
        <v>3910</v>
      </c>
      <c r="B347" s="47" t="s">
        <v>2028</v>
      </c>
      <c r="C347" s="46">
        <v>30</v>
      </c>
      <c r="D347" s="53">
        <v>7</v>
      </c>
      <c r="E347" s="46">
        <v>210</v>
      </c>
      <c r="F347" s="695">
        <v>0.26</v>
      </c>
    </row>
    <row r="348" spans="1:6" ht="14.25">
      <c r="A348" s="47">
        <v>14552</v>
      </c>
      <c r="B348" s="47" t="s">
        <v>258</v>
      </c>
      <c r="C348" s="46">
        <v>30</v>
      </c>
      <c r="D348" s="53">
        <v>1</v>
      </c>
      <c r="E348" s="46">
        <v>30</v>
      </c>
      <c r="F348" s="695">
        <v>0.38</v>
      </c>
    </row>
    <row r="349" spans="1:6" ht="14.25">
      <c r="A349" s="47">
        <v>14552</v>
      </c>
      <c r="B349" s="47" t="s">
        <v>258</v>
      </c>
      <c r="C349" s="46">
        <v>30</v>
      </c>
      <c r="D349" s="53">
        <v>1</v>
      </c>
      <c r="E349" s="46">
        <v>30</v>
      </c>
      <c r="F349" s="695">
        <v>0.41</v>
      </c>
    </row>
    <row r="350" spans="1:6" ht="14.25">
      <c r="A350" s="47">
        <v>14552</v>
      </c>
      <c r="B350" s="47" t="s">
        <v>258</v>
      </c>
      <c r="C350" s="46">
        <v>30</v>
      </c>
      <c r="D350" s="53">
        <v>1</v>
      </c>
      <c r="E350" s="46">
        <v>30</v>
      </c>
      <c r="F350" s="695">
        <v>0.46</v>
      </c>
    </row>
    <row r="351" spans="1:6" ht="14.25">
      <c r="A351" s="47"/>
      <c r="B351" s="59" t="s">
        <v>13</v>
      </c>
      <c r="C351" s="30" t="s">
        <v>28</v>
      </c>
      <c r="D351" s="53"/>
      <c r="E351" s="46"/>
      <c r="F351" s="695">
        <v>12</v>
      </c>
    </row>
    <row r="353" spans="1:5" ht="15.75">
      <c r="A353" s="68" t="s">
        <v>162</v>
      </c>
      <c r="B353" s="935" t="s">
        <v>56</v>
      </c>
      <c r="C353" s="978" t="s">
        <v>2908</v>
      </c>
    </row>
    <row r="354" spans="1:5" ht="14.25">
      <c r="A354" s="47" t="s">
        <v>2070</v>
      </c>
      <c r="B354" s="46">
        <v>13.7</v>
      </c>
      <c r="C354" s="979">
        <v>180</v>
      </c>
    </row>
    <row r="356" spans="1:5" ht="15.75">
      <c r="A356" s="68" t="s">
        <v>162</v>
      </c>
      <c r="B356" s="68" t="s">
        <v>163</v>
      </c>
      <c r="C356" s="68" t="s">
        <v>197</v>
      </c>
      <c r="D356" s="935" t="s">
        <v>198</v>
      </c>
      <c r="E356" s="205" t="s">
        <v>2816</v>
      </c>
    </row>
    <row r="357" spans="1:5" ht="14.25">
      <c r="A357" s="47" t="s">
        <v>2034</v>
      </c>
      <c r="B357" s="46">
        <v>13.7</v>
      </c>
      <c r="C357" s="53">
        <v>1</v>
      </c>
      <c r="D357" s="46">
        <v>13.7</v>
      </c>
      <c r="E357" s="695">
        <v>5.9</v>
      </c>
    </row>
    <row r="358" spans="1:5" ht="14.25">
      <c r="A358" s="47"/>
      <c r="B358" s="30" t="s">
        <v>28</v>
      </c>
      <c r="C358" s="53"/>
      <c r="D358" s="46"/>
      <c r="E358" s="695">
        <v>12</v>
      </c>
    </row>
    <row r="364" spans="1:5" ht="15.75">
      <c r="A364" s="68" t="s">
        <v>162</v>
      </c>
      <c r="B364" s="68" t="s">
        <v>163</v>
      </c>
      <c r="C364" s="68" t="s">
        <v>197</v>
      </c>
      <c r="D364" s="935" t="s">
        <v>198</v>
      </c>
      <c r="E364" s="205" t="s">
        <v>2909</v>
      </c>
    </row>
    <row r="365" spans="1:5" ht="14.25">
      <c r="A365" s="47" t="s">
        <v>2034</v>
      </c>
      <c r="B365" s="46">
        <v>13.7</v>
      </c>
      <c r="C365" s="53">
        <v>1</v>
      </c>
      <c r="D365" s="46">
        <v>13.7</v>
      </c>
      <c r="E365" s="695">
        <v>5.9</v>
      </c>
    </row>
    <row r="366" spans="1:5" ht="14.25">
      <c r="A366" s="47" t="s">
        <v>2034</v>
      </c>
      <c r="B366" s="46">
        <v>13.7</v>
      </c>
      <c r="C366" s="53">
        <v>1</v>
      </c>
      <c r="D366" s="46">
        <v>13.7</v>
      </c>
      <c r="E366" s="695">
        <v>5.9</v>
      </c>
    </row>
    <row r="367" spans="1:5" ht="14.25">
      <c r="A367" s="47" t="s">
        <v>2034</v>
      </c>
      <c r="B367" s="46">
        <v>13.7</v>
      </c>
      <c r="C367" s="53">
        <v>1</v>
      </c>
      <c r="D367" s="46">
        <v>13.7</v>
      </c>
      <c r="E367" s="695">
        <v>5.9</v>
      </c>
    </row>
    <row r="368" spans="1:5" ht="14.25">
      <c r="A368" s="47"/>
      <c r="B368" s="981" t="s">
        <v>2910</v>
      </c>
      <c r="C368" s="695">
        <v>270</v>
      </c>
      <c r="D368" s="30" t="s">
        <v>2911</v>
      </c>
      <c r="E368" s="971" t="s">
        <v>2912</v>
      </c>
    </row>
    <row r="369" spans="1:5" ht="15.75">
      <c r="A369" s="68" t="s">
        <v>162</v>
      </c>
      <c r="B369" s="68" t="s">
        <v>163</v>
      </c>
      <c r="C369" s="68" t="s">
        <v>197</v>
      </c>
      <c r="D369" s="935" t="s">
        <v>198</v>
      </c>
      <c r="E369" s="205" t="s">
        <v>2913</v>
      </c>
    </row>
    <row r="370" spans="1:5" ht="14.25">
      <c r="A370" s="47" t="s">
        <v>2034</v>
      </c>
      <c r="B370" s="46">
        <v>13.7</v>
      </c>
      <c r="C370" s="53">
        <v>204</v>
      </c>
      <c r="D370" s="46">
        <v>2794.7999999999997</v>
      </c>
      <c r="E370" s="695">
        <v>5.24</v>
      </c>
    </row>
    <row r="371" spans="1:5" ht="14.25">
      <c r="A371" s="47" t="s">
        <v>2034</v>
      </c>
      <c r="B371" s="46">
        <v>13.7</v>
      </c>
      <c r="C371" s="53">
        <v>354</v>
      </c>
      <c r="D371" s="46">
        <v>4849.8</v>
      </c>
      <c r="E371" s="695">
        <v>5.24</v>
      </c>
    </row>
    <row r="372" spans="1:5" ht="14.25">
      <c r="A372" s="47" t="s">
        <v>2034</v>
      </c>
      <c r="B372" s="46">
        <v>13.7</v>
      </c>
      <c r="C372" s="53">
        <v>143</v>
      </c>
      <c r="D372" s="46">
        <v>1959.1</v>
      </c>
      <c r="E372" s="695">
        <v>5.24</v>
      </c>
    </row>
    <row r="374" spans="1:5" ht="15.75">
      <c r="A374" s="68" t="s">
        <v>162</v>
      </c>
      <c r="B374" s="68" t="s">
        <v>163</v>
      </c>
      <c r="C374" s="68" t="s">
        <v>197</v>
      </c>
      <c r="D374" s="935" t="s">
        <v>198</v>
      </c>
      <c r="E374" s="205" t="s">
        <v>2909</v>
      </c>
    </row>
    <row r="375" spans="1:5" ht="14.25">
      <c r="A375" s="47" t="s">
        <v>2034</v>
      </c>
      <c r="B375" s="46">
        <v>13.7</v>
      </c>
      <c r="C375" s="53">
        <v>1</v>
      </c>
      <c r="D375" s="46">
        <v>13.7</v>
      </c>
      <c r="E375" s="695">
        <v>5.9</v>
      </c>
    </row>
    <row r="376" spans="1:5" ht="14.25">
      <c r="A376" s="47" t="s">
        <v>2034</v>
      </c>
      <c r="B376" s="46">
        <v>13.7</v>
      </c>
      <c r="C376" s="53">
        <v>1</v>
      </c>
      <c r="D376" s="46">
        <v>13.7</v>
      </c>
      <c r="E376" s="695">
        <v>5.9</v>
      </c>
    </row>
    <row r="377" spans="1:5" ht="14.25">
      <c r="A377" s="47" t="s">
        <v>2034</v>
      </c>
      <c r="B377" s="46">
        <v>13.7</v>
      </c>
      <c r="C377" s="53">
        <v>1</v>
      </c>
      <c r="D377" s="46">
        <v>13.7</v>
      </c>
      <c r="E377" s="695">
        <v>5.9</v>
      </c>
    </row>
    <row r="378" spans="1:5" ht="15.75">
      <c r="A378" s="68" t="s">
        <v>162</v>
      </c>
      <c r="B378" s="68" t="s">
        <v>163</v>
      </c>
      <c r="C378" s="68" t="s">
        <v>197</v>
      </c>
      <c r="D378" s="935" t="s">
        <v>198</v>
      </c>
      <c r="E378" s="205" t="s">
        <v>2913</v>
      </c>
    </row>
    <row r="379" spans="1:5" ht="14.25">
      <c r="A379" s="47" t="s">
        <v>2034</v>
      </c>
      <c r="B379" s="46">
        <v>13.7</v>
      </c>
      <c r="C379" s="53">
        <v>204</v>
      </c>
      <c r="D379" s="46">
        <v>2794.7999999999997</v>
      </c>
      <c r="E379" s="695">
        <v>5.24</v>
      </c>
    </row>
    <row r="380" spans="1:5" ht="14.25">
      <c r="A380" s="47" t="s">
        <v>2034</v>
      </c>
      <c r="B380" s="46">
        <v>13.7</v>
      </c>
      <c r="C380" s="53">
        <v>354</v>
      </c>
      <c r="D380" s="46">
        <v>4849.8</v>
      </c>
      <c r="E380" s="695">
        <v>5.24</v>
      </c>
    </row>
    <row r="381" spans="1:5" ht="14.25">
      <c r="A381" s="47" t="s">
        <v>2034</v>
      </c>
      <c r="B381" s="46">
        <v>13.7</v>
      </c>
      <c r="C381" s="53">
        <v>143</v>
      </c>
      <c r="D381" s="46">
        <v>1959.1</v>
      </c>
      <c r="E381" s="695">
        <v>5.24</v>
      </c>
    </row>
    <row r="383" spans="1:5" ht="15.75">
      <c r="A383" s="68" t="s">
        <v>162</v>
      </c>
      <c r="B383" s="935" t="s">
        <v>198</v>
      </c>
      <c r="C383" s="205" t="s">
        <v>2816</v>
      </c>
      <c r="D383" s="89" t="s">
        <v>2914</v>
      </c>
      <c r="E383" s="247"/>
    </row>
    <row r="384" spans="1:5" s="985" customFormat="1" ht="14.25">
      <c r="A384" s="982" t="s">
        <v>2915</v>
      </c>
      <c r="B384" s="983">
        <v>15</v>
      </c>
      <c r="C384" s="984">
        <v>2.4300000000000002</v>
      </c>
      <c r="D384" s="984">
        <f t="shared" ref="D384:D398" si="1">C384*B384</f>
        <v>36.450000000000003</v>
      </c>
    </row>
    <row r="385" spans="1:4" s="985" customFormat="1" ht="14.25">
      <c r="A385" s="982" t="s">
        <v>2916</v>
      </c>
      <c r="B385" s="983">
        <v>15</v>
      </c>
      <c r="C385" s="984">
        <v>1.1299999999999999</v>
      </c>
      <c r="D385" s="984">
        <f t="shared" si="1"/>
        <v>16.95</v>
      </c>
    </row>
    <row r="386" spans="1:4" ht="14.25">
      <c r="A386" s="47" t="s">
        <v>2917</v>
      </c>
      <c r="B386" s="46">
        <v>15</v>
      </c>
      <c r="C386" s="695">
        <v>1.25</v>
      </c>
      <c r="D386" s="695">
        <f t="shared" si="1"/>
        <v>18.75</v>
      </c>
    </row>
    <row r="387" spans="1:4" ht="14.25">
      <c r="A387" s="47" t="s">
        <v>2917</v>
      </c>
      <c r="B387" s="46">
        <v>15</v>
      </c>
      <c r="C387" s="695">
        <v>1.25</v>
      </c>
      <c r="D387" s="695">
        <f t="shared" si="1"/>
        <v>18.75</v>
      </c>
    </row>
    <row r="388" spans="1:4" ht="14.25">
      <c r="A388" s="47"/>
      <c r="B388" s="30" t="s">
        <v>21</v>
      </c>
      <c r="C388" s="695">
        <v>95</v>
      </c>
      <c r="D388" s="695">
        <v>190</v>
      </c>
    </row>
    <row r="389" spans="1:4" s="985" customFormat="1" ht="14.25">
      <c r="A389" s="982" t="s">
        <v>1947</v>
      </c>
      <c r="B389" s="983">
        <v>15</v>
      </c>
      <c r="C389" s="984">
        <v>2.31</v>
      </c>
      <c r="D389" s="984">
        <f t="shared" si="1"/>
        <v>34.65</v>
      </c>
    </row>
    <row r="390" spans="1:4" ht="14.25">
      <c r="A390" s="47" t="s">
        <v>1947</v>
      </c>
      <c r="B390" s="46">
        <v>15</v>
      </c>
      <c r="C390" s="695">
        <v>2.31</v>
      </c>
      <c r="D390" s="695">
        <f t="shared" si="1"/>
        <v>34.65</v>
      </c>
    </row>
    <row r="391" spans="1:4" ht="14.25">
      <c r="A391" s="47"/>
      <c r="B391" s="30" t="s">
        <v>28</v>
      </c>
      <c r="C391" s="695">
        <v>65</v>
      </c>
      <c r="D391" s="695">
        <v>65</v>
      </c>
    </row>
    <row r="392" spans="1:4" ht="14.25">
      <c r="A392" s="47" t="s">
        <v>2918</v>
      </c>
      <c r="B392" s="46">
        <v>15</v>
      </c>
      <c r="C392" s="695">
        <v>1.6</v>
      </c>
      <c r="D392" s="695">
        <f t="shared" si="1"/>
        <v>24</v>
      </c>
    </row>
    <row r="393" spans="1:4" ht="14.25">
      <c r="A393" s="47" t="s">
        <v>2918</v>
      </c>
      <c r="B393" s="46">
        <v>15</v>
      </c>
      <c r="C393" s="695">
        <v>1.6</v>
      </c>
      <c r="D393" s="695">
        <f t="shared" si="1"/>
        <v>24</v>
      </c>
    </row>
    <row r="394" spans="1:4" ht="14.25">
      <c r="A394" s="47"/>
      <c r="B394" s="30" t="s">
        <v>21</v>
      </c>
      <c r="C394" s="695">
        <v>65</v>
      </c>
      <c r="D394" s="695">
        <v>130</v>
      </c>
    </row>
    <row r="395" spans="1:4" ht="14.25">
      <c r="A395" s="47" t="s">
        <v>2919</v>
      </c>
      <c r="B395" s="46">
        <v>15</v>
      </c>
      <c r="C395" s="695">
        <v>1.24</v>
      </c>
      <c r="D395" s="695">
        <f t="shared" si="1"/>
        <v>18.600000000000001</v>
      </c>
    </row>
    <row r="396" spans="1:4" ht="14.25">
      <c r="A396" s="47" t="s">
        <v>2919</v>
      </c>
      <c r="B396" s="46">
        <v>15</v>
      </c>
      <c r="C396" s="695">
        <v>1.24</v>
      </c>
      <c r="D396" s="695">
        <f t="shared" si="1"/>
        <v>18.600000000000001</v>
      </c>
    </row>
    <row r="397" spans="1:4" ht="14.25">
      <c r="A397" s="47"/>
      <c r="B397" s="30" t="s">
        <v>21</v>
      </c>
      <c r="C397" s="695">
        <v>65</v>
      </c>
      <c r="D397" s="695">
        <v>130</v>
      </c>
    </row>
    <row r="398" spans="1:4" s="985" customFormat="1" ht="14.25">
      <c r="A398" s="982" t="s">
        <v>2920</v>
      </c>
      <c r="B398" s="983">
        <v>15</v>
      </c>
      <c r="C398" s="984">
        <v>4.5199999999999996</v>
      </c>
      <c r="D398" s="984">
        <f t="shared" si="1"/>
        <v>67.8</v>
      </c>
    </row>
    <row r="399" spans="1:4" ht="15.75">
      <c r="A399" s="21"/>
      <c r="B399" s="8"/>
      <c r="C399" s="97" t="s">
        <v>95</v>
      </c>
      <c r="D399" s="986">
        <f>SUM(D384:D398)</f>
        <v>828.19999999999993</v>
      </c>
    </row>
    <row r="400" spans="1:4" ht="15.75">
      <c r="A400" s="11"/>
      <c r="B400" s="214"/>
      <c r="C400" s="987"/>
      <c r="D400" s="988"/>
    </row>
    <row r="401" spans="1:4" ht="15.75">
      <c r="A401" s="11"/>
      <c r="B401" s="214"/>
      <c r="C401" s="987"/>
      <c r="D401" s="988"/>
    </row>
    <row r="403" spans="1:4" ht="15.75">
      <c r="A403" s="68" t="s">
        <v>162</v>
      </c>
      <c r="B403" s="935" t="s">
        <v>198</v>
      </c>
      <c r="C403" s="205" t="s">
        <v>2816</v>
      </c>
      <c r="D403" s="89" t="s">
        <v>2914</v>
      </c>
    </row>
    <row r="404" spans="1:4" ht="14.25">
      <c r="A404" s="47" t="s">
        <v>2085</v>
      </c>
      <c r="B404" s="46">
        <v>15</v>
      </c>
      <c r="C404" s="695">
        <v>2.09</v>
      </c>
      <c r="D404" s="695">
        <f>C404*B404</f>
        <v>31.349999999999998</v>
      </c>
    </row>
    <row r="405" spans="1:4" ht="14.25">
      <c r="A405" s="47" t="s">
        <v>2088</v>
      </c>
      <c r="B405" s="46">
        <v>15</v>
      </c>
      <c r="C405" s="695">
        <v>0.92</v>
      </c>
      <c r="D405" s="695">
        <f t="shared" ref="D405:D412" si="2">C405*B405</f>
        <v>13.8</v>
      </c>
    </row>
    <row r="406" spans="1:4" ht="14.25">
      <c r="A406" s="47" t="s">
        <v>2090</v>
      </c>
      <c r="B406" s="46">
        <v>15</v>
      </c>
      <c r="C406" s="695">
        <v>2.98</v>
      </c>
      <c r="D406" s="695">
        <f t="shared" si="2"/>
        <v>44.7</v>
      </c>
    </row>
    <row r="407" spans="1:4" ht="14.25">
      <c r="A407" s="47" t="s">
        <v>2092</v>
      </c>
      <c r="B407" s="46">
        <v>15</v>
      </c>
      <c r="C407" s="695">
        <v>2.62</v>
      </c>
      <c r="D407" s="695">
        <f t="shared" si="2"/>
        <v>39.300000000000004</v>
      </c>
    </row>
    <row r="408" spans="1:4" ht="14.25">
      <c r="A408" s="47" t="s">
        <v>2093</v>
      </c>
      <c r="B408" s="46">
        <v>15</v>
      </c>
      <c r="C408" s="695">
        <v>1.45</v>
      </c>
      <c r="D408" s="695">
        <f t="shared" si="2"/>
        <v>21.75</v>
      </c>
    </row>
    <row r="409" spans="1:4" ht="14.25">
      <c r="A409" s="47" t="s">
        <v>2094</v>
      </c>
      <c r="B409" s="46">
        <v>15</v>
      </c>
      <c r="C409" s="695">
        <v>1.46</v>
      </c>
      <c r="D409" s="695">
        <f t="shared" si="2"/>
        <v>21.9</v>
      </c>
    </row>
    <row r="410" spans="1:4" ht="14.25">
      <c r="A410" s="47" t="s">
        <v>2096</v>
      </c>
      <c r="B410" s="46">
        <v>15</v>
      </c>
      <c r="C410" s="695">
        <v>0.84</v>
      </c>
      <c r="D410" s="695">
        <f t="shared" si="2"/>
        <v>12.6</v>
      </c>
    </row>
    <row r="411" spans="1:4" ht="14.25">
      <c r="A411" s="47" t="s">
        <v>2098</v>
      </c>
      <c r="B411" s="46">
        <v>15</v>
      </c>
      <c r="C411" s="695">
        <v>0.92</v>
      </c>
      <c r="D411" s="695">
        <f t="shared" si="2"/>
        <v>13.8</v>
      </c>
    </row>
    <row r="412" spans="1:4" ht="14.25">
      <c r="A412" s="47" t="s">
        <v>2099</v>
      </c>
      <c r="B412" s="704">
        <v>10</v>
      </c>
      <c r="C412" s="695">
        <v>2.5</v>
      </c>
      <c r="D412" s="695">
        <f t="shared" si="2"/>
        <v>25</v>
      </c>
    </row>
    <row r="413" spans="1:4" ht="14.25">
      <c r="A413" s="47"/>
      <c r="B413" s="30" t="s">
        <v>28</v>
      </c>
      <c r="C413" s="695">
        <v>25</v>
      </c>
      <c r="D413" s="695">
        <v>25</v>
      </c>
    </row>
    <row r="414" spans="1:4" ht="15.75">
      <c r="A414" s="21"/>
      <c r="B414" s="8"/>
      <c r="C414" s="97" t="s">
        <v>95</v>
      </c>
      <c r="D414" s="986">
        <f>SUM(D404:D413)</f>
        <v>249.20000000000002</v>
      </c>
    </row>
    <row r="417" spans="1:5" ht="15.75">
      <c r="A417" s="68" t="s">
        <v>162</v>
      </c>
      <c r="B417" s="935" t="s">
        <v>198</v>
      </c>
      <c r="C417" s="205" t="s">
        <v>2816</v>
      </c>
      <c r="D417" s="89" t="s">
        <v>2914</v>
      </c>
      <c r="E417" s="247"/>
    </row>
    <row r="418" spans="1:5" ht="14.25">
      <c r="A418" s="47" t="s">
        <v>2915</v>
      </c>
      <c r="B418" s="46">
        <v>15</v>
      </c>
      <c r="C418" s="695">
        <v>2.4300000000000002</v>
      </c>
      <c r="D418" s="695">
        <v>36.450000000000003</v>
      </c>
    </row>
    <row r="419" spans="1:5" ht="14.25">
      <c r="A419" s="47" t="s">
        <v>2916</v>
      </c>
      <c r="B419" s="46">
        <v>15</v>
      </c>
      <c r="C419" s="695">
        <v>1.1299999999999999</v>
      </c>
      <c r="D419" s="695">
        <v>16.95</v>
      </c>
    </row>
    <row r="420" spans="1:5" ht="14.25">
      <c r="A420" s="47" t="s">
        <v>1947</v>
      </c>
      <c r="B420" s="46">
        <v>15</v>
      </c>
      <c r="C420" s="695">
        <v>2.31</v>
      </c>
      <c r="D420" s="695">
        <v>34.65</v>
      </c>
    </row>
    <row r="421" spans="1:5" ht="14.25">
      <c r="A421" s="47" t="s">
        <v>2920</v>
      </c>
      <c r="B421" s="46">
        <v>15</v>
      </c>
      <c r="C421" s="695">
        <v>4.5199999999999996</v>
      </c>
      <c r="D421" s="695">
        <v>67.8</v>
      </c>
    </row>
    <row r="422" spans="1:5" ht="15.75">
      <c r="A422" s="21"/>
      <c r="B422" s="8"/>
      <c r="C422" s="97" t="s">
        <v>95</v>
      </c>
      <c r="D422" s="986">
        <f>SUM(D418:D421)</f>
        <v>155.85000000000002</v>
      </c>
    </row>
    <row r="424" spans="1:5" ht="15.75">
      <c r="A424" s="68" t="s">
        <v>162</v>
      </c>
      <c r="B424" s="935" t="s">
        <v>198</v>
      </c>
    </row>
    <row r="425" spans="1:5" ht="14.25">
      <c r="A425" s="47" t="s">
        <v>2094</v>
      </c>
      <c r="B425" s="46">
        <v>15</v>
      </c>
    </row>
    <row r="426" spans="1:5" ht="14.25">
      <c r="A426" s="47" t="s">
        <v>2096</v>
      </c>
      <c r="B426" s="46">
        <v>15</v>
      </c>
    </row>
    <row r="427" spans="1:5" ht="14.25">
      <c r="A427" s="47" t="s">
        <v>2098</v>
      </c>
      <c r="B427" s="46">
        <v>15</v>
      </c>
    </row>
    <row r="430" spans="1:5" ht="14.25" thickBot="1"/>
    <row r="431" spans="1:5" ht="16.5" thickBot="1">
      <c r="A431" s="989" t="s">
        <v>162</v>
      </c>
      <c r="B431" s="990" t="s">
        <v>163</v>
      </c>
      <c r="C431" s="990" t="s">
        <v>197</v>
      </c>
      <c r="D431" s="98" t="s">
        <v>198</v>
      </c>
      <c r="E431" s="990" t="s">
        <v>2921</v>
      </c>
    </row>
    <row r="432" spans="1:5" ht="15" thickBot="1">
      <c r="A432" s="991" t="s">
        <v>2125</v>
      </c>
      <c r="B432" s="992" t="s">
        <v>297</v>
      </c>
      <c r="C432" s="992" t="s">
        <v>291</v>
      </c>
      <c r="D432" s="992" t="s">
        <v>297</v>
      </c>
      <c r="E432" s="993">
        <v>5.9</v>
      </c>
    </row>
    <row r="433" spans="1:5" ht="15" thickBot="1">
      <c r="A433" s="991" t="s">
        <v>2125</v>
      </c>
      <c r="B433" s="992" t="s">
        <v>297</v>
      </c>
      <c r="C433" s="992" t="s">
        <v>291</v>
      </c>
      <c r="D433" s="992" t="s">
        <v>297</v>
      </c>
      <c r="E433" s="993">
        <v>5.9</v>
      </c>
    </row>
    <row r="434" spans="1:5" ht="15" thickBot="1">
      <c r="A434" s="991" t="s">
        <v>2125</v>
      </c>
      <c r="B434" s="992" t="s">
        <v>297</v>
      </c>
      <c r="C434" s="992" t="s">
        <v>291</v>
      </c>
      <c r="D434" s="992" t="s">
        <v>297</v>
      </c>
      <c r="E434" s="993">
        <v>5.9</v>
      </c>
    </row>
    <row r="435" spans="1:5" ht="15" thickBot="1">
      <c r="A435" s="994"/>
      <c r="B435" s="992" t="s">
        <v>2922</v>
      </c>
      <c r="C435" s="992" t="s">
        <v>2923</v>
      </c>
      <c r="D435" s="995">
        <v>270</v>
      </c>
      <c r="E435" s="996" t="s">
        <v>2924</v>
      </c>
    </row>
    <row r="436" spans="1:5" ht="16.5" thickBot="1">
      <c r="A436" s="997" t="s">
        <v>162</v>
      </c>
      <c r="B436" s="998" t="s">
        <v>163</v>
      </c>
      <c r="C436" s="998" t="s">
        <v>197</v>
      </c>
      <c r="D436" s="999" t="s">
        <v>198</v>
      </c>
      <c r="E436" s="998" t="s">
        <v>2925</v>
      </c>
    </row>
    <row r="437" spans="1:5" ht="15" thickBot="1">
      <c r="A437" s="991" t="s">
        <v>2125</v>
      </c>
      <c r="B437" s="992" t="s">
        <v>297</v>
      </c>
      <c r="C437" s="992" t="s">
        <v>2926</v>
      </c>
      <c r="D437" s="992" t="s">
        <v>2927</v>
      </c>
      <c r="E437" s="993">
        <v>5.24</v>
      </c>
    </row>
    <row r="438" spans="1:5" ht="15" thickBot="1">
      <c r="A438" s="991" t="s">
        <v>2125</v>
      </c>
      <c r="B438" s="992" t="s">
        <v>297</v>
      </c>
      <c r="C438" s="992" t="s">
        <v>2928</v>
      </c>
      <c r="D438" s="992" t="s">
        <v>2929</v>
      </c>
      <c r="E438" s="993">
        <v>5.24</v>
      </c>
    </row>
    <row r="439" spans="1:5" ht="15" thickBot="1">
      <c r="A439" s="991" t="s">
        <v>2125</v>
      </c>
      <c r="B439" s="992" t="s">
        <v>297</v>
      </c>
      <c r="C439" s="992" t="s">
        <v>2930</v>
      </c>
      <c r="D439" s="992" t="s">
        <v>2931</v>
      </c>
      <c r="E439" s="993">
        <v>5.24</v>
      </c>
    </row>
    <row r="441" spans="1:5" ht="15.75">
      <c r="A441" s="68" t="s">
        <v>162</v>
      </c>
      <c r="B441" s="68" t="s">
        <v>163</v>
      </c>
      <c r="C441" s="68" t="s">
        <v>197</v>
      </c>
      <c r="D441" s="99" t="s">
        <v>198</v>
      </c>
      <c r="E441" s="68" t="s">
        <v>2925</v>
      </c>
    </row>
    <row r="442" spans="1:5" ht="14.25">
      <c r="A442" s="47" t="s">
        <v>2125</v>
      </c>
      <c r="B442" s="703" t="s">
        <v>297</v>
      </c>
      <c r="C442" s="703" t="s">
        <v>2926</v>
      </c>
      <c r="D442" s="703" t="s">
        <v>2927</v>
      </c>
      <c r="E442" s="1000">
        <v>5.24</v>
      </c>
    </row>
    <row r="443" spans="1:5" ht="14.25">
      <c r="A443" s="47" t="s">
        <v>2125</v>
      </c>
      <c r="B443" s="703" t="s">
        <v>297</v>
      </c>
      <c r="C443" s="703" t="s">
        <v>2928</v>
      </c>
      <c r="D443" s="703" t="s">
        <v>2929</v>
      </c>
      <c r="E443" s="1000">
        <v>5.24</v>
      </c>
    </row>
    <row r="444" spans="1:5" ht="14.25">
      <c r="A444" s="47" t="s">
        <v>2125</v>
      </c>
      <c r="B444" s="703" t="s">
        <v>297</v>
      </c>
      <c r="C444" s="703" t="s">
        <v>2930</v>
      </c>
      <c r="D444" s="703" t="s">
        <v>2931</v>
      </c>
      <c r="E444" s="1000">
        <v>5.24</v>
      </c>
    </row>
    <row r="446" spans="1:5" ht="15.75">
      <c r="A446" s="68" t="s">
        <v>162</v>
      </c>
      <c r="B446" s="68" t="s">
        <v>163</v>
      </c>
      <c r="C446" s="68" t="s">
        <v>197</v>
      </c>
      <c r="D446" s="99" t="s">
        <v>198</v>
      </c>
      <c r="E446" s="68" t="s">
        <v>2921</v>
      </c>
    </row>
    <row r="447" spans="1:5" ht="14.25">
      <c r="A447" s="47" t="s">
        <v>2125</v>
      </c>
      <c r="B447" s="703" t="s">
        <v>297</v>
      </c>
      <c r="C447" s="703" t="s">
        <v>291</v>
      </c>
      <c r="D447" s="703" t="s">
        <v>297</v>
      </c>
      <c r="E447" s="1000">
        <v>5.9</v>
      </c>
    </row>
    <row r="448" spans="1:5" ht="14.25">
      <c r="A448" s="47" t="s">
        <v>2125</v>
      </c>
      <c r="B448" s="703" t="s">
        <v>297</v>
      </c>
      <c r="C448" s="703" t="s">
        <v>291</v>
      </c>
      <c r="D448" s="703" t="s">
        <v>297</v>
      </c>
      <c r="E448" s="1000">
        <v>5.9</v>
      </c>
    </row>
    <row r="449" spans="1:5" ht="14.25">
      <c r="A449" s="47" t="s">
        <v>2125</v>
      </c>
      <c r="B449" s="703" t="s">
        <v>297</v>
      </c>
      <c r="C449" s="703" t="s">
        <v>291</v>
      </c>
      <c r="D449" s="703" t="s">
        <v>297</v>
      </c>
      <c r="E449" s="1000">
        <v>5.9</v>
      </c>
    </row>
    <row r="450" spans="1:5" ht="14.25">
      <c r="A450" s="1001"/>
      <c r="B450" s="703" t="s">
        <v>2922</v>
      </c>
      <c r="C450" s="703" t="s">
        <v>2923</v>
      </c>
      <c r="D450" s="1002">
        <v>270</v>
      </c>
      <c r="E450" s="47" t="s">
        <v>2924</v>
      </c>
    </row>
    <row r="453" spans="1:5" ht="15.75">
      <c r="A453" s="68" t="s">
        <v>162</v>
      </c>
      <c r="B453" s="935" t="s">
        <v>18</v>
      </c>
      <c r="C453" s="205" t="s">
        <v>2816</v>
      </c>
    </row>
    <row r="454" spans="1:5" ht="14.25">
      <c r="A454" s="47" t="s">
        <v>2034</v>
      </c>
      <c r="B454" s="46">
        <v>2</v>
      </c>
      <c r="C454" s="695">
        <v>5.9</v>
      </c>
    </row>
    <row r="455" spans="1:5" ht="14.25">
      <c r="A455" s="47"/>
      <c r="B455" s="30" t="s">
        <v>28</v>
      </c>
      <c r="C455" s="695">
        <v>12</v>
      </c>
    </row>
    <row r="460" spans="1:5" ht="15.75">
      <c r="A460" s="68" t="s">
        <v>162</v>
      </c>
      <c r="B460" s="935" t="s">
        <v>18</v>
      </c>
      <c r="C460" s="205" t="s">
        <v>2816</v>
      </c>
      <c r="D460" s="89" t="s">
        <v>2914</v>
      </c>
    </row>
    <row r="461" spans="1:5" ht="14.25">
      <c r="A461" s="47" t="s">
        <v>2118</v>
      </c>
      <c r="B461" s="46">
        <v>5</v>
      </c>
      <c r="C461" s="695">
        <v>1.4</v>
      </c>
      <c r="D461" s="695">
        <f>C461*B461</f>
        <v>7</v>
      </c>
    </row>
    <row r="462" spans="1:5" ht="14.25">
      <c r="A462" s="47" t="s">
        <v>2119</v>
      </c>
      <c r="B462" s="46">
        <v>5</v>
      </c>
      <c r="C462" s="695">
        <v>1.23</v>
      </c>
      <c r="D462" s="695">
        <f>C462*B462</f>
        <v>6.15</v>
      </c>
    </row>
    <row r="463" spans="1:5" ht="14.25">
      <c r="A463" s="61"/>
      <c r="B463" s="30" t="s">
        <v>28</v>
      </c>
      <c r="C463" s="695">
        <v>75</v>
      </c>
      <c r="D463" s="695">
        <v>75</v>
      </c>
    </row>
    <row r="464" spans="1:5" ht="14.25">
      <c r="A464" s="61"/>
      <c r="B464" s="30" t="s">
        <v>28</v>
      </c>
      <c r="C464" s="695">
        <v>12</v>
      </c>
      <c r="D464" s="695">
        <v>12</v>
      </c>
    </row>
    <row r="465" spans="1:6" ht="15.75">
      <c r="A465" s="21"/>
      <c r="B465" s="8"/>
      <c r="C465" s="97" t="s">
        <v>95</v>
      </c>
      <c r="D465" s="986">
        <f>SUM(D461:D464)</f>
        <v>100.15</v>
      </c>
    </row>
    <row r="468" spans="1:6" ht="15.75">
      <c r="A468" s="68" t="s">
        <v>162</v>
      </c>
      <c r="B468" s="68" t="s">
        <v>163</v>
      </c>
      <c r="C468" s="68" t="s">
        <v>197</v>
      </c>
      <c r="D468" s="99" t="s">
        <v>198</v>
      </c>
      <c r="E468" s="68" t="s">
        <v>2932</v>
      </c>
      <c r="F468" s="89" t="s">
        <v>89</v>
      </c>
    </row>
    <row r="469" spans="1:6" ht="15">
      <c r="A469" s="47" t="s">
        <v>2125</v>
      </c>
      <c r="B469" s="703" t="s">
        <v>297</v>
      </c>
      <c r="C469" s="703" t="s">
        <v>2926</v>
      </c>
      <c r="D469" s="1003">
        <v>2794.8</v>
      </c>
      <c r="E469" s="1000">
        <v>4.16</v>
      </c>
      <c r="F469" s="1004">
        <f>E469*D469</f>
        <v>11626.368</v>
      </c>
    </row>
    <row r="471" spans="1:6" ht="15.75">
      <c r="A471" s="68" t="s">
        <v>162</v>
      </c>
      <c r="B471" s="68" t="s">
        <v>163</v>
      </c>
      <c r="C471" s="68" t="s">
        <v>197</v>
      </c>
      <c r="D471" s="99" t="s">
        <v>198</v>
      </c>
      <c r="E471" s="68" t="s">
        <v>2932</v>
      </c>
      <c r="F471" s="89"/>
    </row>
    <row r="472" spans="1:6" ht="15.75">
      <c r="A472" s="47" t="s">
        <v>2034</v>
      </c>
      <c r="B472" s="46">
        <v>13.7</v>
      </c>
      <c r="C472" s="53">
        <v>110</v>
      </c>
      <c r="D472" s="46">
        <v>1507</v>
      </c>
      <c r="E472" s="695">
        <v>4.16</v>
      </c>
      <c r="F472" s="147" t="s">
        <v>2933</v>
      </c>
    </row>
    <row r="473" spans="1:6" ht="15.75">
      <c r="A473" s="47" t="s">
        <v>2034</v>
      </c>
      <c r="B473" s="46">
        <v>13.7</v>
      </c>
      <c r="C473" s="53">
        <v>244</v>
      </c>
      <c r="D473" s="46">
        <v>3342.7999999999997</v>
      </c>
      <c r="E473" s="695">
        <v>4.4800000000000004</v>
      </c>
      <c r="F473" s="147" t="s">
        <v>2934</v>
      </c>
    </row>
    <row r="475" spans="1:6" ht="15.75">
      <c r="A475" s="68" t="s">
        <v>162</v>
      </c>
      <c r="B475" s="68" t="s">
        <v>163</v>
      </c>
      <c r="C475" s="68" t="s">
        <v>197</v>
      </c>
      <c r="D475" s="99" t="s">
        <v>198</v>
      </c>
      <c r="E475" s="68" t="s">
        <v>2935</v>
      </c>
      <c r="F475" s="89" t="s">
        <v>2914</v>
      </c>
    </row>
    <row r="476" spans="1:6" ht="14.25">
      <c r="A476" s="47" t="s">
        <v>2034</v>
      </c>
      <c r="B476" s="46">
        <v>13.7</v>
      </c>
      <c r="C476" s="53">
        <v>1</v>
      </c>
      <c r="D476" s="46">
        <v>13.7</v>
      </c>
      <c r="E476" s="695">
        <v>5.9</v>
      </c>
      <c r="F476" s="695">
        <f>E476*D476</f>
        <v>80.83</v>
      </c>
    </row>
    <row r="477" spans="1:6" ht="14.25">
      <c r="A477" s="47" t="s">
        <v>2034</v>
      </c>
      <c r="B477" s="46">
        <v>13.7</v>
      </c>
      <c r="C477" s="53">
        <v>1</v>
      </c>
      <c r="D477" s="46">
        <v>13.7</v>
      </c>
      <c r="E477" s="695">
        <v>5.9</v>
      </c>
      <c r="F477" s="695">
        <f>E477*D477</f>
        <v>80.83</v>
      </c>
    </row>
    <row r="478" spans="1:6" ht="15">
      <c r="A478" s="47" t="s">
        <v>2034</v>
      </c>
      <c r="B478" s="46"/>
      <c r="C478" s="974" t="s">
        <v>48</v>
      </c>
      <c r="D478" s="46"/>
      <c r="E478" s="695">
        <v>90</v>
      </c>
      <c r="F478" s="695" t="s">
        <v>2936</v>
      </c>
    </row>
    <row r="479" spans="1:6" ht="15.75">
      <c r="A479" s="21"/>
      <c r="B479" s="8"/>
      <c r="C479" s="97"/>
      <c r="D479" s="986"/>
      <c r="E479" s="97" t="s">
        <v>95</v>
      </c>
      <c r="F479" s="986">
        <f>SUM(F476:F478)</f>
        <v>161.66</v>
      </c>
    </row>
    <row r="484" spans="1:6" ht="15.75">
      <c r="A484" s="68" t="s">
        <v>39</v>
      </c>
      <c r="B484" s="68" t="s">
        <v>100</v>
      </c>
      <c r="C484" s="68" t="s">
        <v>163</v>
      </c>
      <c r="D484" s="68" t="s">
        <v>197</v>
      </c>
      <c r="E484" s="99" t="s">
        <v>198</v>
      </c>
      <c r="F484" s="68" t="s">
        <v>2937</v>
      </c>
    </row>
    <row r="485" spans="1:6" ht="14.25">
      <c r="A485" s="54" t="s">
        <v>2122</v>
      </c>
      <c r="B485" s="47" t="s">
        <v>1926</v>
      </c>
      <c r="C485" s="46">
        <v>13.7</v>
      </c>
      <c r="D485" s="53">
        <v>110</v>
      </c>
      <c r="E485" s="46">
        <v>1507</v>
      </c>
      <c r="F485" s="695">
        <v>4.16</v>
      </c>
    </row>
    <row r="486" spans="1:6" ht="14.25">
      <c r="A486" s="54" t="s">
        <v>2122</v>
      </c>
      <c r="B486" s="47" t="s">
        <v>1927</v>
      </c>
      <c r="C486" s="46">
        <v>13.7</v>
      </c>
      <c r="D486" s="53">
        <v>73</v>
      </c>
      <c r="E486" s="46">
        <v>1000.0999999999999</v>
      </c>
      <c r="F486" s="695">
        <v>4.16</v>
      </c>
    </row>
    <row r="488" spans="1:6" ht="15.75">
      <c r="A488" s="68" t="s">
        <v>162</v>
      </c>
      <c r="B488" s="68" t="s">
        <v>163</v>
      </c>
      <c r="C488" s="68" t="s">
        <v>197</v>
      </c>
      <c r="D488" s="99" t="s">
        <v>198</v>
      </c>
      <c r="E488" s="68" t="s">
        <v>2937</v>
      </c>
    </row>
    <row r="489" spans="1:6" ht="14.25">
      <c r="A489" s="47" t="s">
        <v>2125</v>
      </c>
      <c r="B489" s="46">
        <v>13.7</v>
      </c>
      <c r="C489" s="53">
        <v>110</v>
      </c>
      <c r="D489" s="46">
        <v>1507</v>
      </c>
      <c r="E489" s="695">
        <v>4.16</v>
      </c>
    </row>
    <row r="490" spans="1:6" ht="14.25">
      <c r="A490" s="47" t="s">
        <v>2125</v>
      </c>
      <c r="B490" s="46">
        <v>13.7</v>
      </c>
      <c r="C490" s="53">
        <v>88</v>
      </c>
      <c r="D490" s="46">
        <v>1205.5999999999999</v>
      </c>
      <c r="E490" s="695">
        <v>4.16</v>
      </c>
    </row>
    <row r="492" spans="1:6" ht="15.75">
      <c r="A492" s="68" t="s">
        <v>39</v>
      </c>
      <c r="B492" s="68" t="s">
        <v>100</v>
      </c>
      <c r="C492" s="68" t="s">
        <v>163</v>
      </c>
      <c r="D492" s="68" t="s">
        <v>197</v>
      </c>
      <c r="E492" s="99" t="s">
        <v>198</v>
      </c>
      <c r="F492" s="68" t="s">
        <v>2937</v>
      </c>
    </row>
    <row r="493" spans="1:6" ht="14.25">
      <c r="A493" s="54" t="s">
        <v>2130</v>
      </c>
      <c r="B493" s="47" t="s">
        <v>2126</v>
      </c>
      <c r="C493" s="46">
        <v>13.7</v>
      </c>
      <c r="D493" s="53">
        <v>88</v>
      </c>
      <c r="E493" s="46">
        <v>1205.5999999999999</v>
      </c>
      <c r="F493" s="695">
        <v>4.16</v>
      </c>
    </row>
    <row r="494" spans="1:6" ht="14.25">
      <c r="A494" s="54" t="s">
        <v>2130</v>
      </c>
      <c r="B494" s="47" t="s">
        <v>2129</v>
      </c>
      <c r="C494" s="46">
        <v>13.7</v>
      </c>
      <c r="D494" s="53">
        <v>110</v>
      </c>
      <c r="E494" s="46">
        <v>1507</v>
      </c>
      <c r="F494" s="695">
        <v>4.16</v>
      </c>
    </row>
    <row r="496" spans="1:6" ht="15.75">
      <c r="A496" s="68" t="s">
        <v>162</v>
      </c>
      <c r="B496" s="99" t="s">
        <v>198</v>
      </c>
      <c r="C496" s="68" t="s">
        <v>2932</v>
      </c>
    </row>
    <row r="497" spans="1:4" ht="14.25">
      <c r="A497" s="47" t="s">
        <v>2132</v>
      </c>
      <c r="B497" s="46">
        <v>10</v>
      </c>
      <c r="C497" s="695">
        <v>3.3</v>
      </c>
    </row>
    <row r="498" spans="1:4" ht="14.25">
      <c r="A498" s="61"/>
      <c r="B498" s="30" t="s">
        <v>28</v>
      </c>
      <c r="C498" s="695">
        <v>12</v>
      </c>
    </row>
    <row r="502" spans="1:4" ht="15.75">
      <c r="A502" s="68" t="s">
        <v>162</v>
      </c>
      <c r="B502" s="99" t="s">
        <v>198</v>
      </c>
      <c r="C502" s="68" t="s">
        <v>2932</v>
      </c>
    </row>
    <row r="503" spans="1:4" ht="14.25">
      <c r="A503" s="47" t="s">
        <v>2135</v>
      </c>
      <c r="B503" s="46">
        <v>10</v>
      </c>
      <c r="C503" s="695">
        <v>0.85</v>
      </c>
    </row>
    <row r="504" spans="1:4" ht="14.25">
      <c r="A504" s="61"/>
      <c r="B504" s="30" t="s">
        <v>28</v>
      </c>
      <c r="C504" s="695">
        <v>12</v>
      </c>
    </row>
    <row r="507" spans="1:4" ht="15.75">
      <c r="A507" s="68" t="s">
        <v>162</v>
      </c>
      <c r="B507" s="99" t="s">
        <v>198</v>
      </c>
      <c r="C507" s="201" t="s">
        <v>2938</v>
      </c>
    </row>
    <row r="508" spans="1:4" ht="14.25">
      <c r="A508" s="47" t="s">
        <v>2141</v>
      </c>
      <c r="B508" s="46">
        <v>5</v>
      </c>
      <c r="C508" s="50">
        <v>58</v>
      </c>
      <c r="D508" s="1" t="s">
        <v>106</v>
      </c>
    </row>
    <row r="509" spans="1:4" ht="14.25">
      <c r="A509" s="47" t="s">
        <v>2143</v>
      </c>
      <c r="B509" s="46">
        <v>5</v>
      </c>
      <c r="C509" s="50">
        <v>85</v>
      </c>
      <c r="D509" s="1" t="s">
        <v>2036</v>
      </c>
    </row>
    <row r="510" spans="1:4" ht="14.25">
      <c r="A510" s="47" t="s">
        <v>2144</v>
      </c>
      <c r="B510" s="46">
        <v>5</v>
      </c>
      <c r="C510" s="50">
        <v>187</v>
      </c>
      <c r="D510" s="1" t="s">
        <v>2036</v>
      </c>
    </row>
    <row r="511" spans="1:4" ht="14.25">
      <c r="A511" s="47" t="s">
        <v>2135</v>
      </c>
      <c r="B511" s="46">
        <v>5</v>
      </c>
      <c r="C511" s="50">
        <v>25</v>
      </c>
      <c r="D511" s="1" t="s">
        <v>44</v>
      </c>
    </row>
    <row r="512" spans="1:4" ht="14.25">
      <c r="A512" s="47" t="s">
        <v>2145</v>
      </c>
      <c r="B512" s="46">
        <v>5</v>
      </c>
      <c r="C512" s="703">
        <v>103</v>
      </c>
      <c r="D512" s="1" t="s">
        <v>2147</v>
      </c>
    </row>
    <row r="514" spans="1:4" ht="15.75">
      <c r="A514" s="68" t="s">
        <v>162</v>
      </c>
      <c r="B514" s="99" t="s">
        <v>198</v>
      </c>
      <c r="C514" s="201" t="s">
        <v>2938</v>
      </c>
    </row>
    <row r="515" spans="1:4" ht="14.25">
      <c r="A515" s="47" t="s">
        <v>2143</v>
      </c>
      <c r="B515" s="46">
        <v>5</v>
      </c>
      <c r="C515" s="50">
        <v>85</v>
      </c>
    </row>
    <row r="516" spans="1:4" ht="14.25">
      <c r="A516" s="47" t="s">
        <v>2144</v>
      </c>
      <c r="B516" s="46">
        <v>5</v>
      </c>
      <c r="C516" s="50">
        <v>187</v>
      </c>
    </row>
    <row r="519" spans="1:4" ht="15.75">
      <c r="A519" s="68" t="s">
        <v>162</v>
      </c>
      <c r="B519" s="99" t="s">
        <v>198</v>
      </c>
      <c r="C519" s="201" t="s">
        <v>2938</v>
      </c>
    </row>
    <row r="520" spans="1:4" ht="14.25">
      <c r="A520" s="47" t="s">
        <v>2135</v>
      </c>
      <c r="B520" s="46">
        <v>5</v>
      </c>
      <c r="C520" s="50">
        <v>25</v>
      </c>
    </row>
    <row r="521" spans="1:4" ht="14.25">
      <c r="A521" s="47" t="s">
        <v>2145</v>
      </c>
      <c r="B521" s="46">
        <v>5</v>
      </c>
      <c r="C521" s="703">
        <v>103</v>
      </c>
    </row>
    <row r="524" spans="1:4" ht="15.75">
      <c r="A524" s="68" t="s">
        <v>162</v>
      </c>
      <c r="B524" s="99" t="s">
        <v>198</v>
      </c>
      <c r="C524" s="68" t="s">
        <v>2932</v>
      </c>
    </row>
    <row r="525" spans="1:4" ht="14.25">
      <c r="A525" s="47" t="s">
        <v>2141</v>
      </c>
      <c r="B525" s="46">
        <v>5</v>
      </c>
      <c r="C525" s="695">
        <v>1.78</v>
      </c>
      <c r="D525" s="695">
        <f>C525*B525</f>
        <v>8.9</v>
      </c>
    </row>
    <row r="526" spans="1:4" ht="14.25">
      <c r="A526" s="47" t="s">
        <v>2143</v>
      </c>
      <c r="B526" s="46">
        <v>5</v>
      </c>
      <c r="C526" s="695">
        <v>1.74</v>
      </c>
      <c r="D526" s="695">
        <f>C526*B526</f>
        <v>8.6999999999999993</v>
      </c>
    </row>
    <row r="527" spans="1:4" ht="14.25">
      <c r="A527" s="47" t="s">
        <v>2144</v>
      </c>
      <c r="B527" s="46">
        <v>5</v>
      </c>
      <c r="C527" s="695">
        <v>3.16</v>
      </c>
      <c r="D527" s="695">
        <f>C527*B527</f>
        <v>15.8</v>
      </c>
    </row>
    <row r="528" spans="1:4" ht="14.25">
      <c r="A528" s="47" t="s">
        <v>2135</v>
      </c>
      <c r="B528" s="46">
        <v>5</v>
      </c>
      <c r="C528" s="695">
        <v>0.85</v>
      </c>
      <c r="D528" s="695">
        <f>C528*B528</f>
        <v>4.25</v>
      </c>
    </row>
    <row r="529" spans="1:4" ht="14.25">
      <c r="A529" s="47" t="s">
        <v>2145</v>
      </c>
      <c r="B529" s="46">
        <v>5</v>
      </c>
      <c r="C529" s="695">
        <v>1.95</v>
      </c>
      <c r="D529" s="695">
        <f>C529*B529</f>
        <v>9.75</v>
      </c>
    </row>
    <row r="530" spans="1:4" ht="14.25">
      <c r="A530" s="61"/>
      <c r="B530" s="30" t="s">
        <v>28</v>
      </c>
      <c r="C530" s="695">
        <v>12</v>
      </c>
      <c r="D530" s="695">
        <v>12</v>
      </c>
    </row>
    <row r="533" spans="1:4" ht="15.75">
      <c r="A533" s="68" t="s">
        <v>162</v>
      </c>
      <c r="B533" s="99" t="s">
        <v>198</v>
      </c>
      <c r="C533" s="68" t="s">
        <v>2939</v>
      </c>
    </row>
    <row r="534" spans="1:4" ht="14.25">
      <c r="A534" s="47" t="s">
        <v>2034</v>
      </c>
      <c r="B534" s="46">
        <v>10</v>
      </c>
      <c r="C534" s="695">
        <v>5.9</v>
      </c>
    </row>
    <row r="535" spans="1:4" ht="14.25">
      <c r="A535" s="47" t="s">
        <v>2034</v>
      </c>
      <c r="B535" s="46">
        <v>10</v>
      </c>
      <c r="C535" s="695">
        <v>5.9</v>
      </c>
    </row>
    <row r="536" spans="1:4" ht="14.25">
      <c r="A536" s="59" t="s">
        <v>13</v>
      </c>
      <c r="B536" s="30" t="s">
        <v>28</v>
      </c>
      <c r="C536" s="695">
        <v>12</v>
      </c>
    </row>
    <row r="540" spans="1:4" ht="15.75">
      <c r="A540" s="68" t="s">
        <v>162</v>
      </c>
      <c r="B540" s="99" t="s">
        <v>198</v>
      </c>
      <c r="C540" s="68" t="s">
        <v>2939</v>
      </c>
    </row>
    <row r="541" spans="1:4" ht="14.25">
      <c r="A541" s="47" t="s">
        <v>2125</v>
      </c>
      <c r="B541" s="46">
        <v>6.5</v>
      </c>
      <c r="C541" s="695">
        <v>5.9</v>
      </c>
    </row>
    <row r="542" spans="1:4" ht="14.25">
      <c r="A542" s="47" t="s">
        <v>2125</v>
      </c>
      <c r="B542" s="46">
        <v>6.5</v>
      </c>
      <c r="C542" s="695">
        <v>5.9</v>
      </c>
    </row>
    <row r="543" spans="1:4" ht="14.25">
      <c r="A543" s="59" t="s">
        <v>13</v>
      </c>
      <c r="B543" s="30" t="s">
        <v>28</v>
      </c>
      <c r="C543" s="695">
        <v>12</v>
      </c>
    </row>
    <row r="544" spans="1:4" ht="14.25">
      <c r="A544" s="59" t="s">
        <v>2940</v>
      </c>
      <c r="B544" s="30" t="s">
        <v>48</v>
      </c>
      <c r="C544" s="695">
        <v>90</v>
      </c>
    </row>
    <row r="546" spans="1:7" ht="15.75">
      <c r="A546" s="68" t="s">
        <v>162</v>
      </c>
      <c r="B546" s="68" t="s">
        <v>100</v>
      </c>
      <c r="C546" s="68" t="s">
        <v>163</v>
      </c>
      <c r="D546" s="68" t="s">
        <v>197</v>
      </c>
      <c r="E546" s="99" t="s">
        <v>198</v>
      </c>
      <c r="F546" s="68" t="s">
        <v>2941</v>
      </c>
    </row>
    <row r="547" spans="1:7" ht="15">
      <c r="A547" s="21">
        <v>11700</v>
      </c>
      <c r="B547" s="21" t="s">
        <v>58</v>
      </c>
      <c r="C547" s="55">
        <v>40</v>
      </c>
      <c r="D547" s="56">
        <v>1</v>
      </c>
      <c r="E547" s="55">
        <v>40</v>
      </c>
      <c r="F547" s="695">
        <v>0.88</v>
      </c>
      <c r="G547" s="695">
        <f>F547*E547</f>
        <v>35.200000000000003</v>
      </c>
    </row>
    <row r="548" spans="1:7" ht="15">
      <c r="A548" s="21">
        <v>11700</v>
      </c>
      <c r="B548" s="21" t="s">
        <v>2153</v>
      </c>
      <c r="C548" s="55">
        <v>40</v>
      </c>
      <c r="D548" s="56">
        <v>1</v>
      </c>
      <c r="E548" s="55">
        <v>40</v>
      </c>
      <c r="F548" s="695">
        <v>0.88</v>
      </c>
      <c r="G548" s="695">
        <f>F548*E548</f>
        <v>35.200000000000003</v>
      </c>
    </row>
    <row r="549" spans="1:7" ht="15">
      <c r="A549" s="21">
        <v>11700</v>
      </c>
      <c r="B549" s="21" t="s">
        <v>58</v>
      </c>
      <c r="C549" s="55">
        <v>10</v>
      </c>
      <c r="D549" s="56">
        <v>1</v>
      </c>
      <c r="E549" s="55">
        <v>10</v>
      </c>
      <c r="F549" s="695">
        <v>0.92</v>
      </c>
      <c r="G549" s="695">
        <f>F549*E549</f>
        <v>9.2000000000000011</v>
      </c>
    </row>
    <row r="550" spans="1:7" ht="15">
      <c r="A550" s="21">
        <v>11700</v>
      </c>
      <c r="B550" s="21" t="s">
        <v>2153</v>
      </c>
      <c r="C550" s="55">
        <v>10</v>
      </c>
      <c r="D550" s="56">
        <v>1</v>
      </c>
      <c r="E550" s="55">
        <v>10</v>
      </c>
      <c r="F550" s="695">
        <v>0.92</v>
      </c>
      <c r="G550" s="695">
        <f>F550*E550</f>
        <v>9.2000000000000011</v>
      </c>
    </row>
    <row r="551" spans="1:7" ht="14.25">
      <c r="A551" s="47"/>
      <c r="B551" s="59" t="s">
        <v>13</v>
      </c>
      <c r="C551" s="30"/>
      <c r="D551" s="30" t="s">
        <v>28</v>
      </c>
      <c r="E551" s="46"/>
      <c r="F551" s="695">
        <v>12</v>
      </c>
      <c r="G551" s="695">
        <v>12</v>
      </c>
    </row>
    <row r="554" spans="1:7" ht="15.75">
      <c r="A554" s="68" t="s">
        <v>162</v>
      </c>
      <c r="B554" s="68" t="s">
        <v>100</v>
      </c>
      <c r="C554" s="68" t="s">
        <v>163</v>
      </c>
      <c r="D554" s="68" t="s">
        <v>197</v>
      </c>
      <c r="E554" s="99" t="s">
        <v>198</v>
      </c>
      <c r="F554" s="68" t="s">
        <v>2941</v>
      </c>
      <c r="G554" s="68" t="s">
        <v>72</v>
      </c>
    </row>
    <row r="555" spans="1:7" ht="15">
      <c r="A555" s="21">
        <v>11700</v>
      </c>
      <c r="B555" s="21" t="s">
        <v>58</v>
      </c>
      <c r="C555" s="55">
        <v>10</v>
      </c>
      <c r="D555" s="56">
        <v>3</v>
      </c>
      <c r="E555" s="55">
        <v>30</v>
      </c>
      <c r="F555" s="695">
        <v>1.76</v>
      </c>
      <c r="G555" s="21" t="s">
        <v>50</v>
      </c>
    </row>
    <row r="556" spans="1:7" ht="15">
      <c r="A556" s="21">
        <v>11700</v>
      </c>
      <c r="B556" s="21" t="s">
        <v>2157</v>
      </c>
      <c r="C556" s="55">
        <v>10</v>
      </c>
      <c r="D556" s="56">
        <v>1</v>
      </c>
      <c r="E556" s="55">
        <v>10</v>
      </c>
      <c r="F556" s="695">
        <v>1.76</v>
      </c>
      <c r="G556" s="21" t="s">
        <v>50</v>
      </c>
    </row>
    <row r="557" spans="1:7" ht="15">
      <c r="A557" s="21">
        <v>11700</v>
      </c>
      <c r="B557" s="21" t="s">
        <v>2158</v>
      </c>
      <c r="C557" s="55">
        <v>10</v>
      </c>
      <c r="D557" s="56">
        <v>1</v>
      </c>
      <c r="E557" s="55">
        <v>10</v>
      </c>
      <c r="F557" s="695">
        <v>1.76</v>
      </c>
      <c r="G557" s="21" t="s">
        <v>50</v>
      </c>
    </row>
    <row r="558" spans="1:7" ht="15">
      <c r="A558" s="21">
        <v>11700</v>
      </c>
      <c r="B558" s="21" t="s">
        <v>2159</v>
      </c>
      <c r="C558" s="55">
        <v>10</v>
      </c>
      <c r="D558" s="56">
        <v>2</v>
      </c>
      <c r="E558" s="55">
        <v>20</v>
      </c>
      <c r="F558" s="695">
        <v>1.76</v>
      </c>
      <c r="G558" s="21" t="s">
        <v>50</v>
      </c>
    </row>
    <row r="559" spans="1:7" ht="15">
      <c r="A559" s="21">
        <v>11700</v>
      </c>
      <c r="B559" s="21" t="s">
        <v>2160</v>
      </c>
      <c r="C559" s="55">
        <v>10</v>
      </c>
      <c r="D559" s="56">
        <v>1</v>
      </c>
      <c r="E559" s="55">
        <v>10</v>
      </c>
      <c r="F559" s="695">
        <v>1.76</v>
      </c>
      <c r="G559" s="21" t="s">
        <v>50</v>
      </c>
    </row>
    <row r="560" spans="1:7" ht="15">
      <c r="A560" s="21">
        <v>11700</v>
      </c>
      <c r="B560" s="21" t="s">
        <v>2161</v>
      </c>
      <c r="C560" s="55">
        <v>10</v>
      </c>
      <c r="D560" s="56">
        <v>2</v>
      </c>
      <c r="E560" s="55">
        <v>20</v>
      </c>
      <c r="F560" s="695">
        <v>1.76</v>
      </c>
      <c r="G560" s="21" t="s">
        <v>50</v>
      </c>
    </row>
    <row r="561" spans="1:7" ht="15">
      <c r="A561" s="21">
        <v>11700</v>
      </c>
      <c r="B561" s="21" t="s">
        <v>2162</v>
      </c>
      <c r="C561" s="55">
        <v>10</v>
      </c>
      <c r="D561" s="56">
        <v>1</v>
      </c>
      <c r="E561" s="55">
        <v>10</v>
      </c>
      <c r="F561" s="695">
        <v>1.76</v>
      </c>
      <c r="G561" s="21" t="s">
        <v>50</v>
      </c>
    </row>
    <row r="562" spans="1:7" ht="15">
      <c r="A562" s="21">
        <v>11700</v>
      </c>
      <c r="B562" s="21" t="s">
        <v>2163</v>
      </c>
      <c r="C562" s="55">
        <v>10</v>
      </c>
      <c r="D562" s="56">
        <v>1</v>
      </c>
      <c r="E562" s="55">
        <v>10</v>
      </c>
      <c r="F562" s="695">
        <v>1.76</v>
      </c>
      <c r="G562" s="21" t="s">
        <v>50</v>
      </c>
    </row>
    <row r="563" spans="1:7" ht="15">
      <c r="A563" s="21">
        <v>11700</v>
      </c>
      <c r="B563" s="21" t="s">
        <v>2164</v>
      </c>
      <c r="C563" s="55">
        <v>10</v>
      </c>
      <c r="D563" s="56">
        <v>1</v>
      </c>
      <c r="E563" s="55">
        <v>10</v>
      </c>
      <c r="F563" s="695">
        <v>1.76</v>
      </c>
      <c r="G563" s="21" t="s">
        <v>50</v>
      </c>
    </row>
    <row r="564" spans="1:7" ht="15">
      <c r="A564" s="21">
        <v>11700</v>
      </c>
      <c r="B564" s="21" t="s">
        <v>81</v>
      </c>
      <c r="C564" s="55">
        <v>10</v>
      </c>
      <c r="D564" s="56">
        <v>1</v>
      </c>
      <c r="E564" s="55">
        <v>10</v>
      </c>
      <c r="F564" s="695">
        <v>2.93</v>
      </c>
      <c r="G564" s="21" t="s">
        <v>50</v>
      </c>
    </row>
    <row r="565" spans="1:7" ht="15.75">
      <c r="A565" s="68" t="s">
        <v>162</v>
      </c>
      <c r="B565" s="68" t="s">
        <v>100</v>
      </c>
      <c r="C565" s="68" t="s">
        <v>163</v>
      </c>
      <c r="D565" s="68" t="s">
        <v>197</v>
      </c>
      <c r="E565" s="99" t="s">
        <v>198</v>
      </c>
      <c r="F565" s="68" t="s">
        <v>2941</v>
      </c>
      <c r="G565" s="68" t="s">
        <v>72</v>
      </c>
    </row>
    <row r="566" spans="1:7" ht="15">
      <c r="A566" s="21">
        <v>3705</v>
      </c>
      <c r="B566" s="21" t="s">
        <v>94</v>
      </c>
      <c r="C566" s="55">
        <v>30</v>
      </c>
      <c r="D566" s="56">
        <v>1</v>
      </c>
      <c r="E566" s="55">
        <v>30</v>
      </c>
      <c r="F566" s="695">
        <v>3</v>
      </c>
      <c r="G566" s="21" t="s">
        <v>50</v>
      </c>
    </row>
    <row r="567" spans="1:7" ht="15">
      <c r="A567" s="21">
        <v>3705</v>
      </c>
      <c r="B567" s="21" t="s">
        <v>2165</v>
      </c>
      <c r="C567" s="55">
        <v>30</v>
      </c>
      <c r="D567" s="56">
        <v>1</v>
      </c>
      <c r="E567" s="55">
        <v>30</v>
      </c>
      <c r="F567" s="695">
        <v>3</v>
      </c>
      <c r="G567" s="21" t="s">
        <v>50</v>
      </c>
    </row>
    <row r="568" spans="1:7" ht="15">
      <c r="A568" s="21">
        <v>3705</v>
      </c>
      <c r="B568" s="21" t="s">
        <v>2942</v>
      </c>
      <c r="C568" s="8">
        <v>30</v>
      </c>
      <c r="D568" s="35">
        <v>1</v>
      </c>
      <c r="E568" s="8">
        <v>30</v>
      </c>
      <c r="F568" s="695">
        <v>3</v>
      </c>
      <c r="G568" s="24" t="s">
        <v>2943</v>
      </c>
    </row>
    <row r="569" spans="1:7" ht="15">
      <c r="A569" s="21">
        <v>3705</v>
      </c>
      <c r="B569" s="21" t="s">
        <v>2166</v>
      </c>
      <c r="C569" s="55">
        <v>30</v>
      </c>
      <c r="D569" s="56">
        <v>1</v>
      </c>
      <c r="E569" s="55">
        <v>30</v>
      </c>
      <c r="F569" s="695">
        <v>3</v>
      </c>
      <c r="G569" s="21" t="s">
        <v>50</v>
      </c>
    </row>
    <row r="570" spans="1:7" ht="15">
      <c r="A570" s="21">
        <v>3705</v>
      </c>
      <c r="B570" s="21" t="s">
        <v>2167</v>
      </c>
      <c r="C570" s="55">
        <v>30</v>
      </c>
      <c r="D570" s="56">
        <v>1</v>
      </c>
      <c r="E570" s="55">
        <v>30</v>
      </c>
      <c r="F570" s="695">
        <v>3</v>
      </c>
      <c r="G570" s="21" t="s">
        <v>50</v>
      </c>
    </row>
    <row r="571" spans="1:7" ht="15">
      <c r="A571" s="21">
        <v>3705</v>
      </c>
      <c r="B571" s="21" t="s">
        <v>2168</v>
      </c>
      <c r="C571" s="55">
        <v>30</v>
      </c>
      <c r="D571" s="56">
        <v>1</v>
      </c>
      <c r="E571" s="55">
        <v>30</v>
      </c>
      <c r="F571" s="695">
        <v>3</v>
      </c>
      <c r="G571" s="21" t="s">
        <v>50</v>
      </c>
    </row>
    <row r="572" spans="1:7" ht="15">
      <c r="A572" s="21">
        <v>3705</v>
      </c>
      <c r="B572" s="21" t="s">
        <v>220</v>
      </c>
      <c r="C572" s="55">
        <v>30</v>
      </c>
      <c r="D572" s="56">
        <v>1</v>
      </c>
      <c r="E572" s="55">
        <v>30</v>
      </c>
      <c r="F572" s="695">
        <v>3</v>
      </c>
      <c r="G572" s="21" t="s">
        <v>50</v>
      </c>
    </row>
    <row r="573" spans="1:7" ht="15">
      <c r="A573" s="21">
        <v>3705</v>
      </c>
      <c r="B573" s="21" t="s">
        <v>36</v>
      </c>
      <c r="C573" s="55">
        <v>30</v>
      </c>
      <c r="D573" s="56">
        <v>1</v>
      </c>
      <c r="E573" s="55">
        <v>30</v>
      </c>
      <c r="F573" s="695">
        <v>3</v>
      </c>
      <c r="G573" s="21" t="s">
        <v>50</v>
      </c>
    </row>
    <row r="574" spans="1:7" ht="15">
      <c r="A574" s="21">
        <v>3705</v>
      </c>
      <c r="B574" s="21" t="s">
        <v>65</v>
      </c>
      <c r="C574" s="55">
        <v>30</v>
      </c>
      <c r="D574" s="56">
        <v>1</v>
      </c>
      <c r="E574" s="55">
        <v>30</v>
      </c>
      <c r="F574" s="695">
        <v>3</v>
      </c>
      <c r="G574" s="21" t="s">
        <v>50</v>
      </c>
    </row>
    <row r="577" spans="1:5" ht="15.75">
      <c r="A577" s="68" t="s">
        <v>162</v>
      </c>
      <c r="B577" s="68" t="s">
        <v>163</v>
      </c>
      <c r="C577" s="68" t="s">
        <v>197</v>
      </c>
      <c r="D577" s="99" t="s">
        <v>198</v>
      </c>
      <c r="E577" s="68" t="s">
        <v>2941</v>
      </c>
    </row>
    <row r="578" spans="1:5" ht="15">
      <c r="A578" s="47" t="s">
        <v>2174</v>
      </c>
      <c r="B578" s="46">
        <v>13.7</v>
      </c>
      <c r="C578" s="53">
        <v>1</v>
      </c>
      <c r="D578" s="17">
        <v>13.7</v>
      </c>
      <c r="E578" s="695">
        <v>4.46</v>
      </c>
    </row>
    <row r="579" spans="1:5" ht="15">
      <c r="A579" s="47" t="s">
        <v>2176</v>
      </c>
      <c r="B579" s="17">
        <v>7</v>
      </c>
      <c r="C579" s="53">
        <v>1</v>
      </c>
      <c r="D579" s="17">
        <v>7</v>
      </c>
      <c r="E579" s="695">
        <v>2.59</v>
      </c>
    </row>
    <row r="580" spans="1:5" ht="14.25">
      <c r="A580" s="61"/>
      <c r="B580" s="59"/>
      <c r="C580" s="30" t="s">
        <v>28</v>
      </c>
      <c r="D580" s="46"/>
      <c r="E580" s="695">
        <v>12</v>
      </c>
    </row>
    <row r="583" spans="1:5" ht="15.75">
      <c r="A583" s="68" t="s">
        <v>162</v>
      </c>
      <c r="B583" s="99" t="s">
        <v>198</v>
      </c>
      <c r="C583" s="68" t="s">
        <v>2941</v>
      </c>
    </row>
    <row r="584" spans="1:5" ht="15">
      <c r="A584" s="47" t="s">
        <v>2179</v>
      </c>
      <c r="B584" s="17">
        <v>10</v>
      </c>
      <c r="C584" s="695">
        <v>2.5</v>
      </c>
    </row>
    <row r="585" spans="1:5" ht="14.25">
      <c r="A585" s="61"/>
      <c r="B585" s="30" t="s">
        <v>28</v>
      </c>
      <c r="C585" s="695">
        <v>12</v>
      </c>
    </row>
    <row r="588" spans="1:5" ht="15.75">
      <c r="A588" s="68" t="s">
        <v>162</v>
      </c>
      <c r="B588" s="99" t="s">
        <v>198</v>
      </c>
      <c r="C588" s="68" t="s">
        <v>2941</v>
      </c>
    </row>
    <row r="589" spans="1:5" ht="15">
      <c r="A589" s="21" t="s">
        <v>2188</v>
      </c>
      <c r="B589" s="55">
        <v>5</v>
      </c>
      <c r="C589" s="611">
        <v>4.17</v>
      </c>
    </row>
    <row r="590" spans="1:5" ht="15">
      <c r="A590" s="48"/>
      <c r="B590" s="39" t="s">
        <v>28</v>
      </c>
      <c r="C590" s="611">
        <v>12</v>
      </c>
    </row>
    <row r="593" spans="1:7" ht="15.75">
      <c r="A593" s="68" t="s">
        <v>162</v>
      </c>
      <c r="B593" s="99" t="s">
        <v>198</v>
      </c>
      <c r="C593" s="68" t="s">
        <v>2941</v>
      </c>
    </row>
    <row r="594" spans="1:7" ht="15">
      <c r="A594" s="21" t="s">
        <v>2198</v>
      </c>
      <c r="B594" s="55">
        <v>5</v>
      </c>
      <c r="C594" s="611">
        <v>1.53</v>
      </c>
    </row>
    <row r="595" spans="1:7" ht="15">
      <c r="A595" s="21" t="s">
        <v>2200</v>
      </c>
      <c r="B595" s="55">
        <v>5</v>
      </c>
      <c r="C595" s="611">
        <v>1.57</v>
      </c>
    </row>
    <row r="596" spans="1:7" ht="15">
      <c r="A596" s="21" t="s">
        <v>2201</v>
      </c>
      <c r="B596" s="55">
        <v>5</v>
      </c>
      <c r="C596" s="611">
        <v>2.4900000000000002</v>
      </c>
    </row>
    <row r="597" spans="1:7" ht="15">
      <c r="A597" s="48"/>
      <c r="B597" s="39" t="s">
        <v>28</v>
      </c>
      <c r="C597" s="611">
        <v>12</v>
      </c>
    </row>
    <row r="601" spans="1:7" ht="15.75">
      <c r="A601" s="68" t="s">
        <v>39</v>
      </c>
      <c r="B601" s="68" t="s">
        <v>100</v>
      </c>
      <c r="C601" s="68" t="s">
        <v>163</v>
      </c>
      <c r="D601" s="68" t="s">
        <v>197</v>
      </c>
      <c r="E601" s="99" t="s">
        <v>198</v>
      </c>
      <c r="F601" s="68" t="s">
        <v>2941</v>
      </c>
      <c r="G601" s="68" t="s">
        <v>72</v>
      </c>
    </row>
    <row r="602" spans="1:7" ht="15">
      <c r="A602" s="6" t="s">
        <v>2206</v>
      </c>
      <c r="B602" s="21" t="s">
        <v>25</v>
      </c>
      <c r="C602" s="93"/>
      <c r="D602" s="93"/>
      <c r="E602" s="93">
        <v>100</v>
      </c>
      <c r="F602" s="611">
        <v>4.53</v>
      </c>
      <c r="G602" s="21" t="s">
        <v>2944</v>
      </c>
    </row>
    <row r="603" spans="1:7" ht="15">
      <c r="A603" s="6" t="s">
        <v>2206</v>
      </c>
      <c r="B603" s="21" t="s">
        <v>25</v>
      </c>
      <c r="C603" s="93"/>
      <c r="D603" s="93"/>
      <c r="E603" s="93">
        <v>200</v>
      </c>
      <c r="F603" s="611">
        <v>2.31</v>
      </c>
      <c r="G603" s="21" t="s">
        <v>2944</v>
      </c>
    </row>
    <row r="604" spans="1:7" ht="15">
      <c r="A604" s="6" t="s">
        <v>2206</v>
      </c>
      <c r="B604" s="21" t="s">
        <v>25</v>
      </c>
      <c r="C604" s="93"/>
      <c r="D604" s="93"/>
      <c r="E604" s="93">
        <v>100</v>
      </c>
      <c r="F604" s="611">
        <v>2.62</v>
      </c>
      <c r="G604" s="21" t="s">
        <v>2944</v>
      </c>
    </row>
    <row r="605" spans="1:7" ht="15">
      <c r="A605" s="6" t="s">
        <v>2206</v>
      </c>
      <c r="B605" s="21" t="s">
        <v>25</v>
      </c>
      <c r="C605" s="93">
        <v>13.7</v>
      </c>
      <c r="D605" s="94">
        <v>8</v>
      </c>
      <c r="E605" s="17">
        <v>109.6</v>
      </c>
      <c r="F605" s="611">
        <v>6.2</v>
      </c>
      <c r="G605" s="21" t="s">
        <v>2945</v>
      </c>
    </row>
    <row r="608" spans="1:7" ht="15.75">
      <c r="A608" s="68" t="s">
        <v>162</v>
      </c>
      <c r="B608" s="68" t="s">
        <v>100</v>
      </c>
      <c r="C608" s="99" t="s">
        <v>18</v>
      </c>
      <c r="D608" s="68" t="s">
        <v>2941</v>
      </c>
    </row>
    <row r="609" spans="1:13" ht="15">
      <c r="A609" s="18" t="s">
        <v>2210</v>
      </c>
      <c r="B609" s="21" t="s">
        <v>25</v>
      </c>
      <c r="C609" s="93">
        <v>10</v>
      </c>
      <c r="D609" s="611">
        <v>3.43</v>
      </c>
    </row>
    <row r="610" spans="1:13" ht="15">
      <c r="A610" s="18" t="s">
        <v>2214</v>
      </c>
      <c r="B610" s="21" t="s">
        <v>25</v>
      </c>
      <c r="C610" s="93">
        <v>6</v>
      </c>
      <c r="D610" s="611">
        <v>12.18</v>
      </c>
    </row>
    <row r="611" spans="1:13" ht="15">
      <c r="A611" s="18" t="s">
        <v>88</v>
      </c>
      <c r="B611" s="21" t="s">
        <v>25</v>
      </c>
      <c r="C611" s="93">
        <v>6</v>
      </c>
      <c r="D611" s="611">
        <v>4.8600000000000003</v>
      </c>
    </row>
    <row r="612" spans="1:13" ht="15">
      <c r="A612" s="48"/>
      <c r="B612" s="38" t="s">
        <v>13</v>
      </c>
      <c r="C612" s="39" t="s">
        <v>28</v>
      </c>
      <c r="D612" s="611">
        <v>15</v>
      </c>
    </row>
    <row r="616" spans="1:13" ht="15.75">
      <c r="A616" s="68" t="s">
        <v>162</v>
      </c>
      <c r="B616" s="68" t="s">
        <v>163</v>
      </c>
      <c r="C616" s="68" t="s">
        <v>197</v>
      </c>
      <c r="D616" s="99" t="s">
        <v>198</v>
      </c>
      <c r="E616" s="68" t="s">
        <v>2941</v>
      </c>
    </row>
    <row r="617" spans="1:13" ht="15">
      <c r="A617" s="21" t="s">
        <v>140</v>
      </c>
      <c r="B617" s="46">
        <v>14</v>
      </c>
      <c r="C617" s="31">
        <v>1</v>
      </c>
      <c r="D617" s="62">
        <v>14</v>
      </c>
      <c r="E617" s="611">
        <v>1.83</v>
      </c>
    </row>
    <row r="618" spans="1:13" ht="15">
      <c r="A618" s="21" t="s">
        <v>2219</v>
      </c>
      <c r="B618" s="46">
        <v>13.7</v>
      </c>
      <c r="C618" s="31">
        <v>1</v>
      </c>
      <c r="D618" s="57">
        <v>13.7</v>
      </c>
      <c r="E618" s="611">
        <v>1.61</v>
      </c>
    </row>
    <row r="619" spans="1:13" ht="15">
      <c r="A619" s="48"/>
      <c r="B619" s="39" t="s">
        <v>28</v>
      </c>
      <c r="C619" s="94"/>
      <c r="D619" s="93"/>
      <c r="E619" s="611">
        <v>12</v>
      </c>
    </row>
    <row r="621" spans="1:13" ht="15.75">
      <c r="A621" s="68" t="s">
        <v>162</v>
      </c>
      <c r="B621" s="68" t="s">
        <v>163</v>
      </c>
      <c r="C621" s="201" t="s">
        <v>2938</v>
      </c>
      <c r="D621" s="13"/>
      <c r="E621" s="10"/>
      <c r="F621" s="13"/>
      <c r="G621" s="6" t="s">
        <v>3</v>
      </c>
      <c r="H621" s="100"/>
      <c r="I621" s="100"/>
      <c r="J621" s="100"/>
      <c r="K621" s="7"/>
      <c r="L621" s="7"/>
      <c r="M621" s="7"/>
    </row>
    <row r="622" spans="1:13" ht="15.75">
      <c r="A622" s="21" t="s">
        <v>140</v>
      </c>
      <c r="B622" s="46">
        <v>14</v>
      </c>
      <c r="C622" s="1005" t="s">
        <v>2946</v>
      </c>
      <c r="D622" s="694"/>
      <c r="E622" s="688"/>
      <c r="F622" s="689"/>
      <c r="G622" s="6" t="s">
        <v>3</v>
      </c>
      <c r="H622" s="40"/>
      <c r="I622" s="104"/>
      <c r="J622" s="719"/>
      <c r="K622" s="11">
        <v>100</v>
      </c>
      <c r="L622" s="63" t="s">
        <v>44</v>
      </c>
      <c r="M622" s="7" t="s">
        <v>2193</v>
      </c>
    </row>
    <row r="623" spans="1:13" ht="15">
      <c r="A623" s="21" t="s">
        <v>2219</v>
      </c>
      <c r="B623" s="46">
        <v>13.7</v>
      </c>
      <c r="C623" s="1005" t="s">
        <v>2947</v>
      </c>
      <c r="D623" s="694"/>
      <c r="E623" s="688"/>
      <c r="F623" s="689"/>
      <c r="G623" s="22"/>
      <c r="H623" s="22"/>
      <c r="I623" s="22"/>
      <c r="J623" s="13">
        <v>129</v>
      </c>
      <c r="K623" s="11">
        <v>99</v>
      </c>
      <c r="L623" s="63" t="s">
        <v>44</v>
      </c>
      <c r="M623" s="7"/>
    </row>
    <row r="624" spans="1:13" ht="15">
      <c r="A624" s="48"/>
      <c r="B624" s="39" t="s">
        <v>28</v>
      </c>
      <c r="C624" s="611">
        <v>12</v>
      </c>
      <c r="D624" s="694"/>
      <c r="E624" s="688"/>
      <c r="F624" s="689"/>
      <c r="G624" s="6"/>
      <c r="H624" s="22"/>
      <c r="I624" s="22"/>
      <c r="J624" s="22"/>
      <c r="K624" s="7"/>
      <c r="L624" s="7"/>
      <c r="M624" s="7"/>
    </row>
    <row r="626" spans="1:6" ht="15.75">
      <c r="A626" s="68" t="s">
        <v>162</v>
      </c>
      <c r="B626" s="99" t="s">
        <v>18</v>
      </c>
      <c r="C626" s="68" t="s">
        <v>2941</v>
      </c>
    </row>
    <row r="627" spans="1:6" ht="15">
      <c r="A627" s="21" t="s">
        <v>2223</v>
      </c>
      <c r="B627" s="93">
        <v>13.7</v>
      </c>
      <c r="C627" s="611">
        <v>1.74</v>
      </c>
    </row>
    <row r="628" spans="1:6" ht="15">
      <c r="A628" s="21" t="s">
        <v>2226</v>
      </c>
      <c r="B628" s="107">
        <v>5</v>
      </c>
      <c r="C628" s="611">
        <v>1.74</v>
      </c>
    </row>
    <row r="629" spans="1:6" ht="15">
      <c r="A629" s="21"/>
      <c r="B629" s="39" t="s">
        <v>28</v>
      </c>
      <c r="C629" s="611">
        <v>12</v>
      </c>
    </row>
    <row r="632" spans="1:6" ht="51.75" customHeight="1">
      <c r="A632" s="68" t="s">
        <v>39</v>
      </c>
      <c r="B632" s="68" t="s">
        <v>100</v>
      </c>
      <c r="C632" s="68" t="s">
        <v>163</v>
      </c>
      <c r="D632" s="68" t="s">
        <v>197</v>
      </c>
      <c r="E632" s="99" t="s">
        <v>198</v>
      </c>
      <c r="F632" s="1006" t="s">
        <v>2948</v>
      </c>
    </row>
    <row r="633" spans="1:6" ht="15">
      <c r="A633" s="6" t="s">
        <v>2227</v>
      </c>
      <c r="B633" s="21" t="s">
        <v>2228</v>
      </c>
      <c r="C633" s="46">
        <v>13.7</v>
      </c>
      <c r="D633" s="31">
        <v>145</v>
      </c>
      <c r="E633" s="57">
        <f t="shared" ref="E633:E640" si="3">C633*D633</f>
        <v>1986.5</v>
      </c>
      <c r="F633" s="611">
        <v>1.45</v>
      </c>
    </row>
    <row r="634" spans="1:6" ht="15">
      <c r="A634" s="6" t="s">
        <v>2227</v>
      </c>
      <c r="B634" s="21" t="s">
        <v>1927</v>
      </c>
      <c r="C634" s="46">
        <v>13.7</v>
      </c>
      <c r="D634" s="31">
        <v>712</v>
      </c>
      <c r="E634" s="57">
        <f t="shared" si="3"/>
        <v>9754.4</v>
      </c>
      <c r="F634" s="611">
        <v>1.45</v>
      </c>
    </row>
    <row r="635" spans="1:6" ht="15">
      <c r="A635" s="6" t="s">
        <v>2227</v>
      </c>
      <c r="B635" s="21" t="s">
        <v>1926</v>
      </c>
      <c r="C635" s="46">
        <v>13.7</v>
      </c>
      <c r="D635" s="31">
        <v>514</v>
      </c>
      <c r="E635" s="57">
        <f t="shared" si="3"/>
        <v>7041.7999999999993</v>
      </c>
      <c r="F635" s="611">
        <v>1.45</v>
      </c>
    </row>
    <row r="636" spans="1:6" ht="15">
      <c r="A636" s="6" t="s">
        <v>2227</v>
      </c>
      <c r="B636" s="21" t="s">
        <v>2231</v>
      </c>
      <c r="C636" s="46">
        <v>13.7</v>
      </c>
      <c r="D636" s="31">
        <v>187</v>
      </c>
      <c r="E636" s="57">
        <f t="shared" si="3"/>
        <v>2561.9</v>
      </c>
      <c r="F636" s="611">
        <v>1.45</v>
      </c>
    </row>
    <row r="637" spans="1:6" ht="15">
      <c r="A637" s="6" t="s">
        <v>2227</v>
      </c>
      <c r="B637" s="21" t="s">
        <v>1927</v>
      </c>
      <c r="C637" s="46">
        <v>14</v>
      </c>
      <c r="D637" s="31">
        <v>1104</v>
      </c>
      <c r="E637" s="62">
        <f t="shared" si="3"/>
        <v>15456</v>
      </c>
      <c r="F637" s="611">
        <v>1.57</v>
      </c>
    </row>
    <row r="638" spans="1:6" ht="15">
      <c r="A638" s="6" t="s">
        <v>2227</v>
      </c>
      <c r="B638" s="21" t="s">
        <v>2228</v>
      </c>
      <c r="C638" s="46">
        <v>14</v>
      </c>
      <c r="D638" s="31">
        <v>262</v>
      </c>
      <c r="E638" s="62">
        <f t="shared" si="3"/>
        <v>3668</v>
      </c>
      <c r="F638" s="611">
        <v>1.57</v>
      </c>
    </row>
    <row r="639" spans="1:6" ht="15">
      <c r="A639" s="6" t="s">
        <v>2227</v>
      </c>
      <c r="B639" s="21" t="s">
        <v>2231</v>
      </c>
      <c r="C639" s="46">
        <v>14</v>
      </c>
      <c r="D639" s="31">
        <v>240</v>
      </c>
      <c r="E639" s="62">
        <f t="shared" si="3"/>
        <v>3360</v>
      </c>
      <c r="F639" s="611">
        <v>1.57</v>
      </c>
    </row>
    <row r="640" spans="1:6" ht="15">
      <c r="A640" s="6" t="s">
        <v>2227</v>
      </c>
      <c r="B640" s="21" t="s">
        <v>1926</v>
      </c>
      <c r="C640" s="46">
        <v>14</v>
      </c>
      <c r="D640" s="31">
        <v>660</v>
      </c>
      <c r="E640" s="62">
        <f t="shared" si="3"/>
        <v>9240</v>
      </c>
      <c r="F640" s="611">
        <v>1.57</v>
      </c>
    </row>
    <row r="644" spans="1:5" ht="15.75">
      <c r="A644" s="68" t="s">
        <v>162</v>
      </c>
      <c r="B644" s="99" t="s">
        <v>18</v>
      </c>
    </row>
    <row r="645" spans="1:5" ht="15">
      <c r="A645" s="21" t="s">
        <v>2194</v>
      </c>
      <c r="B645" s="62">
        <v>4</v>
      </c>
    </row>
    <row r="646" spans="1:5" ht="15">
      <c r="A646" s="21" t="s">
        <v>232</v>
      </c>
      <c r="B646" s="62">
        <v>5</v>
      </c>
    </row>
    <row r="648" spans="1:5" ht="15.75">
      <c r="A648" s="68" t="s">
        <v>162</v>
      </c>
      <c r="B648" s="99" t="s">
        <v>18</v>
      </c>
      <c r="C648" s="68" t="s">
        <v>2941</v>
      </c>
    </row>
    <row r="649" spans="1:5" ht="15">
      <c r="A649" s="21" t="s">
        <v>2194</v>
      </c>
      <c r="B649" s="62">
        <v>4</v>
      </c>
      <c r="C649" s="611">
        <v>1.61</v>
      </c>
    </row>
    <row r="650" spans="1:5" ht="15">
      <c r="A650" s="21" t="s">
        <v>232</v>
      </c>
      <c r="B650" s="62">
        <v>5</v>
      </c>
      <c r="C650" s="611">
        <v>1.83</v>
      </c>
    </row>
    <row r="651" spans="1:5" ht="15">
      <c r="A651" s="21"/>
      <c r="B651" s="39" t="s">
        <v>28</v>
      </c>
      <c r="C651" s="611">
        <v>12</v>
      </c>
    </row>
    <row r="654" spans="1:5" ht="15.75">
      <c r="A654" s="68" t="s">
        <v>162</v>
      </c>
      <c r="B654" s="68" t="s">
        <v>163</v>
      </c>
      <c r="C654" s="68" t="s">
        <v>197</v>
      </c>
      <c r="D654" s="99" t="s">
        <v>198</v>
      </c>
      <c r="E654" s="1006" t="s">
        <v>2941</v>
      </c>
    </row>
    <row r="655" spans="1:5" ht="15">
      <c r="A655" s="21" t="s">
        <v>2194</v>
      </c>
      <c r="B655" s="46">
        <v>13.7</v>
      </c>
      <c r="C655" s="31">
        <v>4</v>
      </c>
      <c r="D655" s="57">
        <v>54.8</v>
      </c>
      <c r="E655" s="611">
        <v>1.45</v>
      </c>
    </row>
    <row r="656" spans="1:5" ht="15">
      <c r="A656" s="21" t="s">
        <v>2194</v>
      </c>
      <c r="B656" s="46">
        <v>13.7</v>
      </c>
      <c r="C656" s="31">
        <v>2</v>
      </c>
      <c r="D656" s="57">
        <v>27.4</v>
      </c>
      <c r="E656" s="611">
        <v>1.45</v>
      </c>
    </row>
    <row r="657" spans="1:6" ht="15">
      <c r="A657" s="21" t="s">
        <v>2194</v>
      </c>
      <c r="B657" s="46">
        <v>13.7</v>
      </c>
      <c r="C657" s="31">
        <v>2</v>
      </c>
      <c r="D657" s="57">
        <v>27.4</v>
      </c>
      <c r="E657" s="611">
        <v>1.45</v>
      </c>
    </row>
    <row r="658" spans="1:6" ht="15">
      <c r="A658" s="21" t="s">
        <v>2194</v>
      </c>
      <c r="B658" s="46">
        <v>13.7</v>
      </c>
      <c r="C658" s="31">
        <v>2</v>
      </c>
      <c r="D658" s="57">
        <v>27.4</v>
      </c>
      <c r="E658" s="611">
        <v>1.45</v>
      </c>
    </row>
    <row r="659" spans="1:6" ht="15">
      <c r="A659" s="21" t="s">
        <v>232</v>
      </c>
      <c r="B659" s="46">
        <v>14</v>
      </c>
      <c r="C659" s="31">
        <v>5</v>
      </c>
      <c r="D659" s="62">
        <v>70</v>
      </c>
      <c r="E659" s="611">
        <v>1.57</v>
      </c>
    </row>
    <row r="660" spans="1:6" ht="15">
      <c r="A660" s="21" t="s">
        <v>232</v>
      </c>
      <c r="B660" s="46">
        <v>14</v>
      </c>
      <c r="C660" s="31">
        <v>3</v>
      </c>
      <c r="D660" s="62">
        <v>42</v>
      </c>
      <c r="E660" s="611">
        <v>1.57</v>
      </c>
    </row>
    <row r="661" spans="1:6" ht="15">
      <c r="A661" s="21" t="s">
        <v>232</v>
      </c>
      <c r="B661" s="46">
        <v>14</v>
      </c>
      <c r="C661" s="31">
        <v>2</v>
      </c>
      <c r="D661" s="62">
        <v>28</v>
      </c>
      <c r="E661" s="611">
        <v>1.57</v>
      </c>
    </row>
    <row r="662" spans="1:6" ht="15">
      <c r="A662" s="21" t="s">
        <v>232</v>
      </c>
      <c r="B662" s="46">
        <v>14</v>
      </c>
      <c r="C662" s="31">
        <v>2</v>
      </c>
      <c r="D662" s="62">
        <v>28</v>
      </c>
      <c r="E662" s="611">
        <v>1.57</v>
      </c>
    </row>
    <row r="663" spans="1:6" ht="15">
      <c r="A663" s="71"/>
      <c r="B663" s="64"/>
      <c r="C663" s="64" t="s">
        <v>120</v>
      </c>
      <c r="D663" s="62"/>
      <c r="E663" s="611">
        <v>800</v>
      </c>
    </row>
    <row r="666" spans="1:6" ht="15.75">
      <c r="A666" s="68" t="s">
        <v>162</v>
      </c>
      <c r="B666" s="68" t="s">
        <v>45</v>
      </c>
      <c r="C666" s="68" t="s">
        <v>163</v>
      </c>
      <c r="D666" s="68" t="s">
        <v>197</v>
      </c>
      <c r="E666" s="99" t="s">
        <v>198</v>
      </c>
      <c r="F666" s="1006" t="s">
        <v>2941</v>
      </c>
    </row>
    <row r="667" spans="1:6" ht="15">
      <c r="A667" s="21">
        <v>1962</v>
      </c>
      <c r="B667" s="21" t="s">
        <v>33</v>
      </c>
      <c r="C667" s="55">
        <v>30</v>
      </c>
      <c r="D667" s="56">
        <v>1</v>
      </c>
      <c r="E667" s="55">
        <v>30</v>
      </c>
      <c r="F667" s="611">
        <v>0.7</v>
      </c>
    </row>
    <row r="668" spans="1:6" ht="15">
      <c r="A668" s="21">
        <v>1962</v>
      </c>
      <c r="B668" s="21" t="s">
        <v>33</v>
      </c>
      <c r="C668" s="55">
        <v>30</v>
      </c>
      <c r="D668" s="56">
        <v>1</v>
      </c>
      <c r="E668" s="55">
        <v>30</v>
      </c>
      <c r="F668" s="611">
        <v>0.7</v>
      </c>
    </row>
    <row r="669" spans="1:6" ht="15">
      <c r="A669" s="21"/>
      <c r="B669" s="38" t="s">
        <v>13</v>
      </c>
      <c r="C669" s="39"/>
      <c r="D669" s="39" t="s">
        <v>28</v>
      </c>
      <c r="E669" s="93"/>
      <c r="F669" s="611">
        <v>12</v>
      </c>
    </row>
    <row r="672" spans="1:6" ht="15.75">
      <c r="A672" s="68" t="s">
        <v>162</v>
      </c>
      <c r="B672" s="99" t="s">
        <v>18</v>
      </c>
      <c r="C672" s="68" t="s">
        <v>2941</v>
      </c>
    </row>
    <row r="673" spans="1:6" ht="15">
      <c r="A673" s="21" t="s">
        <v>2219</v>
      </c>
      <c r="B673" s="62">
        <v>4</v>
      </c>
      <c r="C673" s="611">
        <v>1.61</v>
      </c>
    </row>
    <row r="674" spans="1:6" ht="15">
      <c r="A674" s="21"/>
      <c r="B674" s="39" t="s">
        <v>28</v>
      </c>
      <c r="C674" s="611">
        <v>12</v>
      </c>
    </row>
    <row r="677" spans="1:6" ht="15.75">
      <c r="A677" s="68" t="s">
        <v>39</v>
      </c>
      <c r="B677" s="68" t="s">
        <v>100</v>
      </c>
      <c r="C677" s="68" t="s">
        <v>163</v>
      </c>
      <c r="D677" s="68" t="s">
        <v>197</v>
      </c>
      <c r="E677" s="99" t="s">
        <v>198</v>
      </c>
    </row>
    <row r="678" spans="1:6" ht="15">
      <c r="A678" s="6" t="s">
        <v>2227</v>
      </c>
      <c r="B678" s="21" t="s">
        <v>2228</v>
      </c>
      <c r="C678" s="46">
        <v>13.7</v>
      </c>
      <c r="D678" s="31">
        <v>143</v>
      </c>
      <c r="E678" s="57">
        <v>1959.1</v>
      </c>
    </row>
    <row r="679" spans="1:6" ht="15">
      <c r="A679" s="6" t="s">
        <v>2227</v>
      </c>
      <c r="B679" s="21" t="s">
        <v>1927</v>
      </c>
      <c r="C679" s="46">
        <v>13.7</v>
      </c>
      <c r="D679" s="31">
        <v>708</v>
      </c>
      <c r="E679" s="57">
        <v>9699.6</v>
      </c>
    </row>
    <row r="680" spans="1:6" ht="15">
      <c r="A680" s="6" t="s">
        <v>2227</v>
      </c>
      <c r="B680" s="21" t="s">
        <v>1926</v>
      </c>
      <c r="C680" s="46">
        <v>13.7</v>
      </c>
      <c r="D680" s="31">
        <v>512</v>
      </c>
      <c r="E680" s="57">
        <v>7014.4</v>
      </c>
    </row>
    <row r="681" spans="1:6" ht="15">
      <c r="A681" s="6" t="s">
        <v>2227</v>
      </c>
      <c r="B681" s="21" t="s">
        <v>2231</v>
      </c>
      <c r="C681" s="46">
        <v>13.7</v>
      </c>
      <c r="D681" s="31">
        <v>185</v>
      </c>
      <c r="E681" s="57">
        <v>2534.5</v>
      </c>
    </row>
    <row r="682" spans="1:6" ht="15">
      <c r="A682" s="6" t="s">
        <v>2227</v>
      </c>
      <c r="B682" s="21" t="s">
        <v>1927</v>
      </c>
      <c r="C682" s="46">
        <v>14</v>
      </c>
      <c r="D682" s="31">
        <v>1099</v>
      </c>
      <c r="E682" s="62">
        <v>15386</v>
      </c>
    </row>
    <row r="683" spans="1:6" ht="15">
      <c r="A683" s="6" t="s">
        <v>2227</v>
      </c>
      <c r="B683" s="21" t="s">
        <v>2228</v>
      </c>
      <c r="C683" s="46">
        <v>14</v>
      </c>
      <c r="D683" s="31">
        <v>259</v>
      </c>
      <c r="E683" s="62">
        <v>3626</v>
      </c>
    </row>
    <row r="684" spans="1:6" ht="15">
      <c r="A684" s="6" t="s">
        <v>2227</v>
      </c>
      <c r="B684" s="21" t="s">
        <v>2231</v>
      </c>
      <c r="C684" s="46">
        <v>14</v>
      </c>
      <c r="D684" s="31">
        <v>238</v>
      </c>
      <c r="E684" s="62">
        <v>3332</v>
      </c>
    </row>
    <row r="685" spans="1:6" ht="15">
      <c r="A685" s="6" t="s">
        <v>2227</v>
      </c>
      <c r="B685" s="21" t="s">
        <v>1926</v>
      </c>
      <c r="C685" s="46">
        <v>14</v>
      </c>
      <c r="D685" s="31">
        <v>658</v>
      </c>
      <c r="E685" s="62">
        <v>9212</v>
      </c>
    </row>
    <row r="686" spans="1:6" ht="15">
      <c r="A686" s="133"/>
      <c r="B686" s="1007"/>
      <c r="C686" s="1008"/>
      <c r="D686" s="1009"/>
      <c r="E686" s="1010"/>
    </row>
    <row r="687" spans="1:6" ht="15">
      <c r="A687" s="133"/>
      <c r="B687" s="1011"/>
      <c r="C687" s="1012"/>
      <c r="D687" s="1013"/>
      <c r="E687" s="1014"/>
    </row>
    <row r="688" spans="1:6" ht="15.75">
      <c r="A688" s="68" t="s">
        <v>39</v>
      </c>
      <c r="B688" s="68" t="s">
        <v>100</v>
      </c>
      <c r="C688" s="68" t="s">
        <v>163</v>
      </c>
      <c r="D688" s="68" t="s">
        <v>197</v>
      </c>
      <c r="E688" s="99" t="s">
        <v>198</v>
      </c>
      <c r="F688" s="99" t="s">
        <v>2949</v>
      </c>
    </row>
    <row r="689" spans="1:11" ht="15">
      <c r="A689" s="6" t="s">
        <v>2950</v>
      </c>
      <c r="B689" s="21" t="s">
        <v>2228</v>
      </c>
      <c r="C689" s="46">
        <v>13.7</v>
      </c>
      <c r="D689" s="31">
        <v>2</v>
      </c>
      <c r="E689" s="57">
        <v>27.4</v>
      </c>
      <c r="F689" s="57" t="s">
        <v>2951</v>
      </c>
    </row>
    <row r="690" spans="1:11" ht="15">
      <c r="A690" s="6" t="s">
        <v>2950</v>
      </c>
      <c r="B690" s="21" t="s">
        <v>1927</v>
      </c>
      <c r="C690" s="46">
        <v>13.7</v>
      </c>
      <c r="D690" s="31">
        <v>4</v>
      </c>
      <c r="E690" s="57">
        <v>54.8</v>
      </c>
      <c r="F690" s="57" t="s">
        <v>2952</v>
      </c>
    </row>
    <row r="691" spans="1:11" ht="15">
      <c r="A691" s="6" t="s">
        <v>2950</v>
      </c>
      <c r="B691" s="21" t="s">
        <v>1926</v>
      </c>
      <c r="C691" s="46">
        <v>13.7</v>
      </c>
      <c r="D691" s="31">
        <v>2</v>
      </c>
      <c r="E691" s="57">
        <v>27.4</v>
      </c>
      <c r="F691" s="57" t="s">
        <v>2953</v>
      </c>
    </row>
    <row r="692" spans="1:11" ht="15">
      <c r="A692" s="6" t="s">
        <v>2950</v>
      </c>
      <c r="B692" s="21" t="s">
        <v>2231</v>
      </c>
      <c r="C692" s="46">
        <v>13.7</v>
      </c>
      <c r="D692" s="31">
        <v>2</v>
      </c>
      <c r="E692" s="57">
        <v>27.4</v>
      </c>
      <c r="F692" s="57" t="s">
        <v>2954</v>
      </c>
    </row>
    <row r="693" spans="1:11" ht="15">
      <c r="A693" s="6" t="s">
        <v>2950</v>
      </c>
      <c r="B693" s="21" t="s">
        <v>1927</v>
      </c>
      <c r="C693" s="46">
        <v>14</v>
      </c>
      <c r="D693" s="31">
        <v>5</v>
      </c>
      <c r="E693" s="62">
        <v>70</v>
      </c>
      <c r="F693" s="57" t="s">
        <v>2952</v>
      </c>
    </row>
    <row r="694" spans="1:11" ht="15">
      <c r="A694" s="6" t="s">
        <v>2950</v>
      </c>
      <c r="B694" s="21" t="s">
        <v>2228</v>
      </c>
      <c r="C694" s="46">
        <v>14</v>
      </c>
      <c r="D694" s="31">
        <v>3</v>
      </c>
      <c r="E694" s="62">
        <v>42</v>
      </c>
      <c r="F694" s="57" t="s">
        <v>2951</v>
      </c>
    </row>
    <row r="695" spans="1:11" ht="15">
      <c r="A695" s="6" t="s">
        <v>2950</v>
      </c>
      <c r="B695" s="21" t="s">
        <v>2231</v>
      </c>
      <c r="C695" s="46">
        <v>14</v>
      </c>
      <c r="D695" s="31">
        <v>2</v>
      </c>
      <c r="E695" s="62">
        <v>28</v>
      </c>
      <c r="F695" s="57" t="s">
        <v>2954</v>
      </c>
    </row>
    <row r="696" spans="1:11" ht="15">
      <c r="A696" s="6" t="s">
        <v>2950</v>
      </c>
      <c r="B696" s="21" t="s">
        <v>1926</v>
      </c>
      <c r="C696" s="46">
        <v>14</v>
      </c>
      <c r="D696" s="31">
        <v>2</v>
      </c>
      <c r="E696" s="62">
        <v>28</v>
      </c>
      <c r="F696" s="57" t="s">
        <v>2953</v>
      </c>
    </row>
    <row r="699" spans="1:11" ht="15.75">
      <c r="A699" s="68" t="s">
        <v>162</v>
      </c>
      <c r="B699" s="68" t="s">
        <v>18</v>
      </c>
      <c r="C699" s="68" t="s">
        <v>2941</v>
      </c>
    </row>
    <row r="700" spans="1:11" ht="15">
      <c r="A700" s="21" t="s">
        <v>2214</v>
      </c>
      <c r="B700" s="93">
        <v>6</v>
      </c>
      <c r="C700" s="611">
        <v>12.73</v>
      </c>
    </row>
    <row r="701" spans="1:11" ht="15.75">
      <c r="A701" s="21" t="s">
        <v>88</v>
      </c>
      <c r="B701" s="93">
        <v>6</v>
      </c>
      <c r="C701" s="611">
        <v>5.08</v>
      </c>
      <c r="E701" s="68" t="s">
        <v>162</v>
      </c>
      <c r="F701" s="68" t="s">
        <v>100</v>
      </c>
      <c r="G701" s="68" t="s">
        <v>163</v>
      </c>
      <c r="H701" s="68" t="s">
        <v>197</v>
      </c>
      <c r="I701" s="68"/>
      <c r="J701" s="99" t="s">
        <v>198</v>
      </c>
      <c r="K701" s="99" t="s">
        <v>2949</v>
      </c>
    </row>
    <row r="702" spans="1:11" ht="15">
      <c r="A702" s="48"/>
      <c r="B702" s="39" t="s">
        <v>28</v>
      </c>
      <c r="C702" s="611">
        <v>15</v>
      </c>
      <c r="E702" s="21" t="s">
        <v>2194</v>
      </c>
      <c r="F702" s="21" t="s">
        <v>1927</v>
      </c>
      <c r="G702" s="46">
        <v>13.7</v>
      </c>
      <c r="H702" s="31">
        <v>4</v>
      </c>
      <c r="I702" s="31"/>
      <c r="J702" s="57">
        <v>54.8</v>
      </c>
      <c r="K702" s="57" t="s">
        <v>2952</v>
      </c>
    </row>
    <row r="705" spans="1:4" ht="15.75">
      <c r="A705" s="68" t="s">
        <v>162</v>
      </c>
      <c r="B705" s="68" t="s">
        <v>18</v>
      </c>
      <c r="C705" s="68" t="s">
        <v>2955</v>
      </c>
    </row>
    <row r="706" spans="1:4" ht="15">
      <c r="A706" s="21" t="s">
        <v>2252</v>
      </c>
      <c r="B706" s="62">
        <v>5</v>
      </c>
      <c r="C706" s="823" t="s">
        <v>2956</v>
      </c>
    </row>
    <row r="707" spans="1:4" ht="15">
      <c r="A707" s="21" t="s">
        <v>2255</v>
      </c>
      <c r="B707" s="62">
        <v>5</v>
      </c>
      <c r="C707" s="823" t="s">
        <v>2957</v>
      </c>
    </row>
    <row r="708" spans="1:4" ht="15.75">
      <c r="A708" s="68" t="s">
        <v>162</v>
      </c>
      <c r="B708" s="68" t="s">
        <v>18</v>
      </c>
      <c r="C708" s="68" t="s">
        <v>2955</v>
      </c>
    </row>
    <row r="709" spans="1:4" ht="15">
      <c r="A709" s="21" t="s">
        <v>2259</v>
      </c>
      <c r="B709" s="62">
        <v>5</v>
      </c>
      <c r="C709" s="823" t="s">
        <v>2958</v>
      </c>
    </row>
    <row r="710" spans="1:4" ht="15">
      <c r="A710" s="21" t="s">
        <v>2261</v>
      </c>
      <c r="B710" s="62">
        <v>5</v>
      </c>
      <c r="C710" s="823" t="s">
        <v>2959</v>
      </c>
    </row>
    <row r="711" spans="1:4" ht="15.75">
      <c r="A711" s="68" t="s">
        <v>162</v>
      </c>
      <c r="B711" s="68" t="s">
        <v>18</v>
      </c>
      <c r="C711" s="68" t="s">
        <v>2955</v>
      </c>
    </row>
    <row r="712" spans="1:4" ht="15">
      <c r="A712" s="21" t="s">
        <v>2257</v>
      </c>
      <c r="B712" s="62">
        <v>5</v>
      </c>
      <c r="C712" s="823" t="s">
        <v>2960</v>
      </c>
    </row>
    <row r="718" spans="1:4" ht="15.75">
      <c r="A718" s="68" t="s">
        <v>162</v>
      </c>
      <c r="B718" s="68" t="s">
        <v>18</v>
      </c>
      <c r="C718" s="68" t="s">
        <v>2941</v>
      </c>
      <c r="D718" s="68" t="s">
        <v>221</v>
      </c>
    </row>
    <row r="719" spans="1:4" ht="15">
      <c r="A719" s="21" t="s">
        <v>2252</v>
      </c>
      <c r="B719" s="62">
        <v>5</v>
      </c>
      <c r="C719" s="611">
        <v>3.58</v>
      </c>
      <c r="D719" s="78" t="s">
        <v>1809</v>
      </c>
    </row>
    <row r="720" spans="1:4" ht="15">
      <c r="A720" s="21" t="s">
        <v>2255</v>
      </c>
      <c r="B720" s="62">
        <v>5</v>
      </c>
      <c r="C720" s="611">
        <v>6.45</v>
      </c>
      <c r="D720" s="78" t="s">
        <v>1809</v>
      </c>
    </row>
    <row r="721" spans="1:5" ht="15">
      <c r="A721" s="21" t="s">
        <v>2257</v>
      </c>
      <c r="B721" s="62">
        <v>5</v>
      </c>
      <c r="C721" s="611">
        <v>3.06</v>
      </c>
      <c r="D721" s="78" t="s">
        <v>1809</v>
      </c>
    </row>
    <row r="722" spans="1:5" ht="15">
      <c r="A722" s="21" t="s">
        <v>2259</v>
      </c>
      <c r="B722" s="62">
        <v>5</v>
      </c>
      <c r="C722" s="611">
        <v>2.4500000000000002</v>
      </c>
      <c r="D722" s="78" t="s">
        <v>2961</v>
      </c>
    </row>
    <row r="723" spans="1:5" ht="15">
      <c r="A723" s="21" t="s">
        <v>2261</v>
      </c>
      <c r="B723" s="62">
        <v>5</v>
      </c>
      <c r="C723" s="611">
        <v>2.23</v>
      </c>
      <c r="D723" s="78" t="s">
        <v>2962</v>
      </c>
    </row>
    <row r="724" spans="1:5" ht="15">
      <c r="A724" s="21"/>
      <c r="B724" s="39" t="s">
        <v>28</v>
      </c>
      <c r="C724" s="611">
        <v>20</v>
      </c>
      <c r="D724" s="131"/>
    </row>
    <row r="727" spans="1:5" ht="15.75">
      <c r="A727" s="68" t="s">
        <v>162</v>
      </c>
      <c r="B727" s="68" t="s">
        <v>100</v>
      </c>
      <c r="C727" s="68" t="s">
        <v>18</v>
      </c>
      <c r="D727" s="68" t="s">
        <v>2955</v>
      </c>
    </row>
    <row r="728" spans="1:5" ht="15">
      <c r="A728" s="21" t="s">
        <v>2004</v>
      </c>
      <c r="B728" s="21" t="s">
        <v>1937</v>
      </c>
      <c r="C728" s="93">
        <v>5</v>
      </c>
      <c r="D728" s="823" t="s">
        <v>2963</v>
      </c>
    </row>
    <row r="731" spans="1:5" ht="15.75">
      <c r="A731" s="68" t="s">
        <v>162</v>
      </c>
      <c r="B731" s="68" t="s">
        <v>163</v>
      </c>
      <c r="C731" s="68" t="s">
        <v>197</v>
      </c>
      <c r="D731" s="99" t="s">
        <v>198</v>
      </c>
      <c r="E731" s="99" t="s">
        <v>2964</v>
      </c>
    </row>
    <row r="732" spans="1:5" ht="15">
      <c r="A732" s="21" t="s">
        <v>2194</v>
      </c>
      <c r="B732" s="46">
        <v>13.7</v>
      </c>
      <c r="C732" s="31">
        <v>143</v>
      </c>
      <c r="D732" s="57">
        <v>1959.1</v>
      </c>
      <c r="E732" s="131"/>
    </row>
    <row r="733" spans="1:5" ht="15">
      <c r="A733" s="21" t="s">
        <v>2194</v>
      </c>
      <c r="B733" s="46">
        <v>13.7</v>
      </c>
      <c r="C733" s="31">
        <v>185</v>
      </c>
      <c r="D733" s="57">
        <v>2534.5</v>
      </c>
      <c r="E733" s="131"/>
    </row>
    <row r="734" spans="1:5" ht="15">
      <c r="A734" s="21" t="s">
        <v>2194</v>
      </c>
      <c r="B734" s="46">
        <v>13.7</v>
      </c>
      <c r="C734" s="31">
        <v>2</v>
      </c>
      <c r="D734" s="57">
        <v>27.4</v>
      </c>
      <c r="E734" s="57" t="s">
        <v>2951</v>
      </c>
    </row>
    <row r="735" spans="1:5" ht="15">
      <c r="A735" s="21" t="s">
        <v>2194</v>
      </c>
      <c r="B735" s="46">
        <v>13.7</v>
      </c>
      <c r="C735" s="31">
        <v>2</v>
      </c>
      <c r="D735" s="57">
        <v>27.4</v>
      </c>
      <c r="E735" s="57" t="s">
        <v>2953</v>
      </c>
    </row>
    <row r="736" spans="1:5" ht="15">
      <c r="A736" s="21" t="s">
        <v>2194</v>
      </c>
      <c r="B736" s="46">
        <v>13.7</v>
      </c>
      <c r="C736" s="31">
        <v>2</v>
      </c>
      <c r="D736" s="57">
        <v>27.4</v>
      </c>
      <c r="E736" s="57" t="s">
        <v>2954</v>
      </c>
    </row>
    <row r="737" spans="1:6" ht="15">
      <c r="A737" s="21" t="s">
        <v>232</v>
      </c>
      <c r="B737" s="46">
        <v>14</v>
      </c>
      <c r="C737" s="31">
        <v>3</v>
      </c>
      <c r="D737" s="62">
        <v>42</v>
      </c>
      <c r="E737" s="57" t="s">
        <v>2951</v>
      </c>
    </row>
    <row r="738" spans="1:6" ht="15">
      <c r="A738" s="21" t="s">
        <v>232</v>
      </c>
      <c r="B738" s="46">
        <v>14</v>
      </c>
      <c r="C738" s="31">
        <v>2</v>
      </c>
      <c r="D738" s="62">
        <v>28</v>
      </c>
      <c r="E738" s="57" t="s">
        <v>2953</v>
      </c>
    </row>
    <row r="740" spans="1:6" ht="15.75">
      <c r="A740" s="68" t="s">
        <v>162</v>
      </c>
      <c r="B740" s="68" t="s">
        <v>18</v>
      </c>
      <c r="C740" s="68" t="s">
        <v>2955</v>
      </c>
    </row>
    <row r="741" spans="1:6" ht="15">
      <c r="A741" s="21" t="s">
        <v>2965</v>
      </c>
      <c r="B741" s="62">
        <v>7</v>
      </c>
      <c r="C741" s="823" t="s">
        <v>2957</v>
      </c>
    </row>
    <row r="743" spans="1:6" ht="15.75">
      <c r="A743" s="68" t="s">
        <v>162</v>
      </c>
      <c r="B743" s="68" t="s">
        <v>100</v>
      </c>
      <c r="C743" s="68" t="s">
        <v>163</v>
      </c>
      <c r="D743" s="68" t="s">
        <v>197</v>
      </c>
      <c r="E743" s="99" t="s">
        <v>198</v>
      </c>
      <c r="F743" s="68" t="s">
        <v>2941</v>
      </c>
    </row>
    <row r="744" spans="1:6" ht="15">
      <c r="A744" s="21">
        <v>1050</v>
      </c>
      <c r="B744" s="21" t="s">
        <v>2272</v>
      </c>
      <c r="C744" s="93">
        <v>30</v>
      </c>
      <c r="D744" s="94">
        <v>1</v>
      </c>
      <c r="E744" s="8">
        <v>30</v>
      </c>
      <c r="F744" s="611">
        <v>0.94</v>
      </c>
    </row>
    <row r="745" spans="1:6" ht="15">
      <c r="A745" s="21">
        <v>1050</v>
      </c>
      <c r="B745" s="21" t="s">
        <v>2274</v>
      </c>
      <c r="C745" s="93">
        <v>30</v>
      </c>
      <c r="D745" s="94">
        <v>1</v>
      </c>
      <c r="E745" s="8">
        <v>30</v>
      </c>
      <c r="F745" s="611">
        <v>0.94</v>
      </c>
    </row>
    <row r="746" spans="1:6" ht="15">
      <c r="A746" s="21">
        <v>1050</v>
      </c>
      <c r="B746" s="21" t="s">
        <v>2275</v>
      </c>
      <c r="C746" s="93">
        <v>30</v>
      </c>
      <c r="D746" s="94">
        <v>1</v>
      </c>
      <c r="E746" s="8">
        <v>30</v>
      </c>
      <c r="F746" s="611">
        <v>0.94</v>
      </c>
    </row>
    <row r="747" spans="1:6" ht="15">
      <c r="A747" s="21"/>
      <c r="B747" s="38" t="s">
        <v>13</v>
      </c>
      <c r="C747" s="39"/>
      <c r="D747" s="39" t="s">
        <v>28</v>
      </c>
      <c r="E747" s="93"/>
      <c r="F747" s="611">
        <v>12</v>
      </c>
    </row>
    <row r="749" spans="1:6" ht="15.75">
      <c r="A749" s="1015" t="s">
        <v>162</v>
      </c>
      <c r="B749" s="1015" t="s">
        <v>163</v>
      </c>
      <c r="C749" s="1015" t="s">
        <v>197</v>
      </c>
      <c r="D749" s="1016" t="s">
        <v>198</v>
      </c>
      <c r="E749" s="1015" t="s">
        <v>2941</v>
      </c>
      <c r="F749" s="1015" t="s">
        <v>72</v>
      </c>
    </row>
    <row r="750" spans="1:6" ht="25.5" customHeight="1">
      <c r="A750" s="1017">
        <v>221184</v>
      </c>
      <c r="B750" s="93">
        <v>13.7</v>
      </c>
      <c r="C750" s="94">
        <v>4</v>
      </c>
      <c r="D750" s="108">
        <v>54.8</v>
      </c>
      <c r="E750" s="597">
        <v>9.2200000000000006</v>
      </c>
      <c r="F750" s="2077" t="s">
        <v>2966</v>
      </c>
    </row>
    <row r="751" spans="1:6" ht="15">
      <c r="A751" s="1017">
        <v>257830</v>
      </c>
      <c r="B751" s="93">
        <v>13.7</v>
      </c>
      <c r="C751" s="94">
        <v>4</v>
      </c>
      <c r="D751" s="108">
        <v>54.8</v>
      </c>
      <c r="E751" s="597">
        <v>1.49</v>
      </c>
      <c r="F751" s="2099"/>
    </row>
    <row r="752" spans="1:6" ht="15">
      <c r="A752" s="1017">
        <v>258176</v>
      </c>
      <c r="B752" s="93">
        <v>13.7</v>
      </c>
      <c r="C752" s="94">
        <v>4</v>
      </c>
      <c r="D752" s="108">
        <v>54.8</v>
      </c>
      <c r="E752" s="597">
        <v>2.27</v>
      </c>
      <c r="F752" s="2099"/>
    </row>
    <row r="753" spans="1:7" ht="15">
      <c r="A753" s="1017">
        <v>258151</v>
      </c>
      <c r="B753" s="93">
        <v>13.7</v>
      </c>
      <c r="C753" s="94">
        <v>4</v>
      </c>
      <c r="D753" s="108">
        <v>54.8</v>
      </c>
      <c r="E753" s="597">
        <v>3.88</v>
      </c>
      <c r="F753" s="2099"/>
    </row>
    <row r="754" spans="1:7" ht="15">
      <c r="A754" s="1017">
        <v>391791</v>
      </c>
      <c r="B754" s="93">
        <v>13.7</v>
      </c>
      <c r="C754" s="94">
        <v>4</v>
      </c>
      <c r="D754" s="108">
        <v>54.8</v>
      </c>
      <c r="E754" s="611">
        <v>7.16</v>
      </c>
      <c r="F754" s="2099"/>
    </row>
    <row r="755" spans="1:7" ht="15">
      <c r="A755" s="915">
        <v>25589</v>
      </c>
      <c r="B755" s="93">
        <v>13.7</v>
      </c>
      <c r="C755" s="94">
        <v>4</v>
      </c>
      <c r="D755" s="108">
        <v>54.8</v>
      </c>
      <c r="E755" s="597">
        <v>2.79</v>
      </c>
      <c r="F755" s="2099"/>
    </row>
    <row r="756" spans="1:7" ht="15">
      <c r="A756" s="915">
        <v>25445</v>
      </c>
      <c r="B756" s="93">
        <v>13.7</v>
      </c>
      <c r="C756" s="94">
        <v>4</v>
      </c>
      <c r="D756" s="108">
        <v>54.8</v>
      </c>
      <c r="E756" s="597">
        <v>4.1399999999999997</v>
      </c>
      <c r="F756" s="2099"/>
    </row>
    <row r="757" spans="1:7" ht="15">
      <c r="A757" s="1018">
        <v>71604</v>
      </c>
      <c r="B757" s="93">
        <v>13.7</v>
      </c>
      <c r="C757" s="94">
        <v>4</v>
      </c>
      <c r="D757" s="108">
        <v>54.8</v>
      </c>
      <c r="E757" s="597">
        <v>2.79</v>
      </c>
      <c r="F757" s="2099"/>
    </row>
    <row r="758" spans="1:7" ht="15">
      <c r="A758" s="1018">
        <v>24338</v>
      </c>
      <c r="B758" s="93">
        <v>13.7</v>
      </c>
      <c r="C758" s="94">
        <v>4</v>
      </c>
      <c r="D758" s="108">
        <v>54.8</v>
      </c>
      <c r="E758" s="597">
        <v>2.87</v>
      </c>
      <c r="F758" s="2100"/>
    </row>
    <row r="759" spans="1:7" ht="15.75">
      <c r="A759" s="1015" t="s">
        <v>162</v>
      </c>
      <c r="B759" s="1015" t="s">
        <v>163</v>
      </c>
      <c r="C759" s="1015" t="s">
        <v>197</v>
      </c>
      <c r="D759" s="1016" t="s">
        <v>198</v>
      </c>
      <c r="E759" s="1015" t="s">
        <v>2941</v>
      </c>
      <c r="F759" s="1015" t="s">
        <v>72</v>
      </c>
      <c r="G759" s="1015" t="s">
        <v>114</v>
      </c>
    </row>
    <row r="760" spans="1:7" ht="15">
      <c r="A760" s="1017">
        <v>261875</v>
      </c>
      <c r="B760" s="93">
        <v>13.7</v>
      </c>
      <c r="C760" s="94">
        <v>4</v>
      </c>
      <c r="D760" s="108">
        <v>54.8</v>
      </c>
      <c r="E760" s="597">
        <v>3.34</v>
      </c>
      <c r="F760" s="1019" t="s">
        <v>2967</v>
      </c>
      <c r="G760" s="2077" t="s">
        <v>2968</v>
      </c>
    </row>
    <row r="761" spans="1:7" ht="15">
      <c r="A761" s="915" t="s">
        <v>2280</v>
      </c>
      <c r="B761" s="93">
        <v>13.7</v>
      </c>
      <c r="C761" s="94">
        <v>4</v>
      </c>
      <c r="D761" s="108">
        <v>54.8</v>
      </c>
      <c r="E761" s="597">
        <v>5.46</v>
      </c>
      <c r="F761" s="1019" t="s">
        <v>2969</v>
      </c>
      <c r="G761" s="2078"/>
    </row>
    <row r="762" spans="1:7" ht="15">
      <c r="A762" s="915" t="s">
        <v>2281</v>
      </c>
      <c r="B762" s="93">
        <v>13.7</v>
      </c>
      <c r="C762" s="94">
        <v>4</v>
      </c>
      <c r="D762" s="108">
        <v>54.8</v>
      </c>
      <c r="E762" s="597">
        <v>2.85</v>
      </c>
      <c r="F762" s="1019" t="s">
        <v>2969</v>
      </c>
      <c r="G762" s="2078"/>
    </row>
    <row r="763" spans="1:7" ht="15">
      <c r="A763" s="1017">
        <v>391790</v>
      </c>
      <c r="B763" s="93">
        <v>13.7</v>
      </c>
      <c r="C763" s="94">
        <v>4</v>
      </c>
      <c r="D763" s="108">
        <v>54.8</v>
      </c>
      <c r="E763" s="611">
        <v>7.16</v>
      </c>
      <c r="F763" s="1019" t="s">
        <v>2967</v>
      </c>
      <c r="G763" s="2079"/>
    </row>
    <row r="766" spans="1:7" ht="15.75">
      <c r="A766" s="68" t="s">
        <v>162</v>
      </c>
      <c r="B766" s="68" t="s">
        <v>163</v>
      </c>
      <c r="C766" s="68" t="s">
        <v>197</v>
      </c>
      <c r="D766" s="99" t="s">
        <v>198</v>
      </c>
      <c r="E766" s="68" t="s">
        <v>2941</v>
      </c>
    </row>
    <row r="767" spans="1:7" ht="15">
      <c r="A767" s="47" t="s">
        <v>2176</v>
      </c>
      <c r="B767" s="46">
        <v>14</v>
      </c>
      <c r="C767" s="53">
        <v>72</v>
      </c>
      <c r="D767" s="55">
        <v>1008</v>
      </c>
      <c r="E767" s="695">
        <v>2.59</v>
      </c>
    </row>
    <row r="768" spans="1:7" ht="15">
      <c r="A768" s="47" t="s">
        <v>2176</v>
      </c>
      <c r="B768" s="46">
        <v>14</v>
      </c>
      <c r="C768" s="53">
        <v>32</v>
      </c>
      <c r="D768" s="55">
        <v>448</v>
      </c>
      <c r="E768" s="695">
        <v>2.59</v>
      </c>
    </row>
    <row r="772" spans="1:6" ht="15.75">
      <c r="A772" s="68" t="s">
        <v>162</v>
      </c>
      <c r="B772" s="68" t="s">
        <v>163</v>
      </c>
      <c r="C772" s="68" t="s">
        <v>197</v>
      </c>
      <c r="D772" s="99" t="s">
        <v>198</v>
      </c>
      <c r="E772" s="99" t="s">
        <v>2949</v>
      </c>
    </row>
    <row r="773" spans="1:6" ht="15">
      <c r="A773" s="21" t="s">
        <v>232</v>
      </c>
      <c r="B773" s="46">
        <v>14</v>
      </c>
      <c r="C773" s="31">
        <v>5</v>
      </c>
      <c r="D773" s="62">
        <v>70</v>
      </c>
      <c r="E773" s="57" t="s">
        <v>2952</v>
      </c>
    </row>
    <row r="774" spans="1:6" ht="15">
      <c r="A774" s="21" t="s">
        <v>232</v>
      </c>
      <c r="B774" s="46">
        <v>14</v>
      </c>
      <c r="C774" s="31">
        <v>2</v>
      </c>
      <c r="D774" s="62">
        <v>28</v>
      </c>
      <c r="E774" s="57" t="s">
        <v>2954</v>
      </c>
    </row>
    <row r="777" spans="1:6" ht="15.75">
      <c r="A777" s="68" t="s">
        <v>162</v>
      </c>
      <c r="B777" s="99" t="s">
        <v>198</v>
      </c>
      <c r="C777" s="68" t="s">
        <v>2941</v>
      </c>
    </row>
    <row r="778" spans="1:6" ht="15">
      <c r="A778" s="21" t="s">
        <v>2287</v>
      </c>
      <c r="B778" s="163">
        <v>50</v>
      </c>
      <c r="C778" s="611">
        <v>1.63</v>
      </c>
    </row>
    <row r="779" spans="1:6" ht="15">
      <c r="A779" s="21"/>
      <c r="B779" s="39" t="s">
        <v>28</v>
      </c>
      <c r="C779" s="611">
        <v>75</v>
      </c>
    </row>
    <row r="780" spans="1:6" ht="15">
      <c r="A780" s="21"/>
      <c r="B780" s="39" t="s">
        <v>28</v>
      </c>
      <c r="C780" s="611">
        <v>12</v>
      </c>
    </row>
    <row r="782" spans="1:6" ht="15.75">
      <c r="A782" s="68" t="s">
        <v>162</v>
      </c>
      <c r="B782" s="68" t="s">
        <v>100</v>
      </c>
      <c r="C782" s="68" t="s">
        <v>163</v>
      </c>
      <c r="D782" s="68" t="s">
        <v>197</v>
      </c>
      <c r="E782" s="99" t="s">
        <v>198</v>
      </c>
      <c r="F782" s="68" t="s">
        <v>2941</v>
      </c>
    </row>
    <row r="783" spans="1:6" ht="15">
      <c r="A783" s="21" t="s">
        <v>2270</v>
      </c>
      <c r="B783" s="21" t="s">
        <v>2293</v>
      </c>
      <c r="C783" s="93">
        <v>30</v>
      </c>
      <c r="D783" s="94">
        <v>1</v>
      </c>
      <c r="E783" s="8">
        <v>30</v>
      </c>
      <c r="F783" s="611">
        <v>0.94</v>
      </c>
    </row>
    <row r="784" spans="1:6" ht="15">
      <c r="A784" s="21"/>
      <c r="B784" s="38" t="s">
        <v>13</v>
      </c>
      <c r="C784" s="39"/>
      <c r="D784" s="39" t="s">
        <v>28</v>
      </c>
      <c r="E784" s="93"/>
      <c r="F784" s="611">
        <v>12</v>
      </c>
    </row>
    <row r="787" spans="1:5" ht="15.75">
      <c r="A787" s="68" t="s">
        <v>162</v>
      </c>
      <c r="B787" s="68" t="s">
        <v>18</v>
      </c>
    </row>
    <row r="788" spans="1:5" ht="15">
      <c r="A788" s="21" t="s">
        <v>2970</v>
      </c>
      <c r="B788" s="163">
        <v>3</v>
      </c>
    </row>
    <row r="789" spans="1:5" ht="15">
      <c r="A789" s="21">
        <v>32669</v>
      </c>
      <c r="B789" s="163">
        <v>3</v>
      </c>
    </row>
    <row r="792" spans="1:5" ht="15.75">
      <c r="A792" s="68" t="s">
        <v>162</v>
      </c>
      <c r="B792" s="68" t="s">
        <v>163</v>
      </c>
      <c r="C792" s="68" t="s">
        <v>197</v>
      </c>
      <c r="D792" s="99" t="s">
        <v>198</v>
      </c>
      <c r="E792" s="68" t="s">
        <v>2941</v>
      </c>
    </row>
    <row r="793" spans="1:5" ht="15">
      <c r="A793" s="21" t="s">
        <v>68</v>
      </c>
      <c r="B793" s="93">
        <v>13.7</v>
      </c>
      <c r="C793" s="94">
        <v>1</v>
      </c>
      <c r="D793" s="108">
        <v>13.7</v>
      </c>
      <c r="E793" s="611">
        <v>2.61</v>
      </c>
    </row>
    <row r="794" spans="1:5" ht="15">
      <c r="A794" s="21"/>
      <c r="B794" s="39"/>
      <c r="C794" s="39" t="s">
        <v>28</v>
      </c>
      <c r="D794" s="93"/>
      <c r="E794" s="611">
        <v>12</v>
      </c>
    </row>
    <row r="797" spans="1:5" ht="15.75">
      <c r="A797" s="68" t="s">
        <v>162</v>
      </c>
      <c r="B797" s="68" t="s">
        <v>18</v>
      </c>
      <c r="C797" s="68" t="s">
        <v>2941</v>
      </c>
    </row>
    <row r="798" spans="1:5" ht="15">
      <c r="A798" s="21" t="s">
        <v>2296</v>
      </c>
      <c r="B798" s="163">
        <v>5</v>
      </c>
      <c r="C798" s="611">
        <v>2.14</v>
      </c>
    </row>
    <row r="799" spans="1:5" ht="15">
      <c r="A799" s="21" t="s">
        <v>2298</v>
      </c>
      <c r="B799" s="163">
        <v>5</v>
      </c>
      <c r="C799" s="611">
        <v>4.5599999999999996</v>
      </c>
    </row>
    <row r="800" spans="1:5" ht="15">
      <c r="A800" s="21"/>
      <c r="B800" s="39" t="s">
        <v>28</v>
      </c>
      <c r="C800" s="611">
        <v>12</v>
      </c>
    </row>
    <row r="802" spans="1:6" ht="15.75">
      <c r="A802" s="68" t="s">
        <v>162</v>
      </c>
      <c r="B802" s="68" t="s">
        <v>18</v>
      </c>
      <c r="C802" s="68" t="s">
        <v>2941</v>
      </c>
      <c r="D802" s="68" t="s">
        <v>115</v>
      </c>
    </row>
    <row r="803" spans="1:6" ht="15">
      <c r="A803" s="21" t="s">
        <v>2305</v>
      </c>
      <c r="B803" s="93">
        <v>13.7</v>
      </c>
      <c r="C803" s="611">
        <v>3.19</v>
      </c>
      <c r="D803" s="611">
        <f>C803*B803</f>
        <v>43.702999999999996</v>
      </c>
    </row>
    <row r="804" spans="1:6" ht="15">
      <c r="A804" s="21" t="s">
        <v>2307</v>
      </c>
      <c r="B804" s="93">
        <v>13.7</v>
      </c>
      <c r="C804" s="611">
        <v>7.22</v>
      </c>
      <c r="D804" s="611">
        <f>C804*B804</f>
        <v>98.913999999999987</v>
      </c>
    </row>
    <row r="805" spans="1:6" ht="15">
      <c r="A805" s="21" t="s">
        <v>2308</v>
      </c>
      <c r="B805" s="93">
        <v>14</v>
      </c>
      <c r="C805" s="611">
        <v>1.43</v>
      </c>
      <c r="D805" s="611">
        <f>C805*B805</f>
        <v>20.02</v>
      </c>
    </row>
    <row r="806" spans="1:6" ht="15">
      <c r="A806" s="21"/>
      <c r="B806" s="39" t="s">
        <v>48</v>
      </c>
      <c r="C806" s="611">
        <v>12</v>
      </c>
      <c r="D806" s="611">
        <v>24</v>
      </c>
    </row>
    <row r="807" spans="1:6" ht="15.75">
      <c r="A807" s="2101" t="s">
        <v>89</v>
      </c>
      <c r="B807" s="2102"/>
      <c r="C807" s="2103"/>
      <c r="D807" s="611">
        <f>SUM(D803:D806)</f>
        <v>186.637</v>
      </c>
    </row>
    <row r="810" spans="1:6" ht="15.75">
      <c r="A810" s="68" t="s">
        <v>162</v>
      </c>
      <c r="B810" s="99" t="s">
        <v>198</v>
      </c>
      <c r="C810" s="68" t="s">
        <v>2941</v>
      </c>
      <c r="D810" s="68" t="s">
        <v>72</v>
      </c>
    </row>
    <row r="811" spans="1:6" ht="15">
      <c r="A811" s="21" t="s">
        <v>2310</v>
      </c>
      <c r="B811" s="108">
        <v>4</v>
      </c>
      <c r="C811" s="611">
        <v>3.79</v>
      </c>
      <c r="D811" s="2056" t="s">
        <v>2971</v>
      </c>
    </row>
    <row r="812" spans="1:6" ht="15">
      <c r="A812" s="21" t="s">
        <v>2312</v>
      </c>
      <c r="B812" s="108">
        <v>4</v>
      </c>
      <c r="C812" s="611">
        <v>3.11</v>
      </c>
      <c r="D812" s="2057"/>
    </row>
    <row r="813" spans="1:6" ht="15">
      <c r="A813" s="21"/>
      <c r="B813" s="39" t="s">
        <v>28</v>
      </c>
      <c r="C813" s="611">
        <v>12</v>
      </c>
      <c r="D813" s="2058"/>
      <c r="E813" s="694"/>
    </row>
    <row r="814" spans="1:6" ht="15">
      <c r="A814" s="21"/>
      <c r="B814" s="39"/>
      <c r="C814" s="611"/>
      <c r="D814" s="1020"/>
      <c r="E814" s="694"/>
    </row>
    <row r="815" spans="1:6" ht="15.75">
      <c r="A815" s="68" t="s">
        <v>162</v>
      </c>
      <c r="B815" s="68" t="s">
        <v>163</v>
      </c>
      <c r="C815" s="68" t="s">
        <v>197</v>
      </c>
      <c r="D815" s="99" t="s">
        <v>198</v>
      </c>
      <c r="E815" s="68" t="s">
        <v>2941</v>
      </c>
      <c r="F815" s="68" t="s">
        <v>72</v>
      </c>
    </row>
    <row r="816" spans="1:6" ht="15">
      <c r="A816" s="21" t="s">
        <v>2310</v>
      </c>
      <c r="B816" s="93">
        <v>13.7</v>
      </c>
      <c r="C816" s="35">
        <v>19</v>
      </c>
      <c r="D816" s="108">
        <v>260.3</v>
      </c>
      <c r="E816" s="611">
        <v>3.79</v>
      </c>
      <c r="F816" s="2056" t="s">
        <v>2972</v>
      </c>
    </row>
    <row r="817" spans="1:7" ht="15">
      <c r="A817" s="21" t="s">
        <v>2312</v>
      </c>
      <c r="B817" s="93">
        <v>13.7</v>
      </c>
      <c r="C817" s="35">
        <v>20</v>
      </c>
      <c r="D817" s="108">
        <v>274</v>
      </c>
      <c r="E817" s="611">
        <v>3.11</v>
      </c>
      <c r="F817" s="2058"/>
    </row>
    <row r="819" spans="1:7" ht="15.75">
      <c r="A819" s="68" t="s">
        <v>162</v>
      </c>
      <c r="B819" s="68" t="s">
        <v>18</v>
      </c>
      <c r="C819" s="68" t="s">
        <v>2941</v>
      </c>
    </row>
    <row r="820" spans="1:7" ht="14.25">
      <c r="A820" s="47" t="s">
        <v>2318</v>
      </c>
      <c r="B820" s="46">
        <v>100</v>
      </c>
      <c r="C820" s="84">
        <v>0.15</v>
      </c>
    </row>
    <row r="821" spans="1:7" ht="14.25">
      <c r="A821" s="47" t="s">
        <v>1909</v>
      </c>
      <c r="B821" s="46">
        <v>100</v>
      </c>
      <c r="C821" s="84">
        <v>0.25</v>
      </c>
    </row>
    <row r="822" spans="1:7" ht="14.25">
      <c r="A822" s="47"/>
      <c r="B822" s="30">
        <v>1</v>
      </c>
      <c r="C822" s="84">
        <v>12</v>
      </c>
    </row>
    <row r="824" spans="1:7" ht="15.75">
      <c r="A824" s="68" t="s">
        <v>39</v>
      </c>
      <c r="B824" s="68" t="s">
        <v>100</v>
      </c>
      <c r="C824" s="68" t="s">
        <v>163</v>
      </c>
      <c r="D824" s="68" t="s">
        <v>197</v>
      </c>
      <c r="E824" s="99" t="s">
        <v>198</v>
      </c>
      <c r="F824" s="68" t="s">
        <v>2941</v>
      </c>
      <c r="G824" s="68" t="s">
        <v>72</v>
      </c>
    </row>
    <row r="825" spans="1:7" ht="15.75">
      <c r="A825" s="27" t="s">
        <v>2320</v>
      </c>
      <c r="B825" s="21" t="s">
        <v>25</v>
      </c>
      <c r="C825" s="93">
        <v>13.7</v>
      </c>
      <c r="D825" s="94">
        <v>3</v>
      </c>
      <c r="E825" s="108">
        <f>D825*C825</f>
        <v>41.099999999999994</v>
      </c>
      <c r="F825" s="597">
        <v>2.79</v>
      </c>
      <c r="G825" s="72" t="s">
        <v>137</v>
      </c>
    </row>
    <row r="826" spans="1:7" ht="15.75">
      <c r="A826" s="27" t="s">
        <v>2320</v>
      </c>
      <c r="B826" s="21" t="s">
        <v>25</v>
      </c>
      <c r="C826" s="93">
        <v>13.7</v>
      </c>
      <c r="D826" s="94">
        <v>12</v>
      </c>
      <c r="E826" s="108">
        <f>D826*C826</f>
        <v>164.39999999999998</v>
      </c>
      <c r="F826" s="597">
        <v>2.79</v>
      </c>
      <c r="G826" s="72" t="s">
        <v>2973</v>
      </c>
    </row>
    <row r="827" spans="1:7" s="247" customFormat="1" ht="15.75">
      <c r="A827" s="27" t="s">
        <v>2320</v>
      </c>
      <c r="B827" s="38" t="s">
        <v>13</v>
      </c>
      <c r="C827" s="39"/>
      <c r="D827" s="39">
        <v>1</v>
      </c>
      <c r="E827" s="93"/>
      <c r="F827" s="1021">
        <v>12</v>
      </c>
      <c r="G827" s="72"/>
    </row>
    <row r="828" spans="1:7" ht="14.25" thickBot="1"/>
    <row r="829" spans="1:7" ht="16.5" thickBot="1">
      <c r="A829" s="990" t="s">
        <v>162</v>
      </c>
      <c r="B829" s="990" t="s">
        <v>163</v>
      </c>
      <c r="C829" s="990" t="s">
        <v>197</v>
      </c>
      <c r="D829" s="98" t="s">
        <v>198</v>
      </c>
      <c r="E829" s="98" t="s">
        <v>2974</v>
      </c>
    </row>
    <row r="830" spans="1:7" ht="15.75" thickBot="1">
      <c r="A830" s="1022" t="s">
        <v>2975</v>
      </c>
      <c r="B830" s="1023" t="s">
        <v>297</v>
      </c>
      <c r="C830" s="1023" t="s">
        <v>2976</v>
      </c>
      <c r="D830" s="1023" t="s">
        <v>2977</v>
      </c>
      <c r="E830" s="1023" t="s">
        <v>2978</v>
      </c>
    </row>
    <row r="831" spans="1:7" ht="14.25" thickBot="1"/>
    <row r="832" spans="1:7" ht="16.5" thickBot="1">
      <c r="A832" s="989" t="s">
        <v>39</v>
      </c>
      <c r="B832" s="989" t="s">
        <v>100</v>
      </c>
      <c r="C832" s="989" t="s">
        <v>163</v>
      </c>
      <c r="D832" s="989" t="s">
        <v>197</v>
      </c>
      <c r="E832" s="1024" t="s">
        <v>198</v>
      </c>
    </row>
    <row r="833" spans="1:6" ht="15.75" thickBot="1">
      <c r="A833" s="1025" t="s">
        <v>2320</v>
      </c>
      <c r="B833" s="1026" t="s">
        <v>25</v>
      </c>
      <c r="C833" s="1027">
        <v>13.7</v>
      </c>
      <c r="D833" s="1028">
        <v>15</v>
      </c>
      <c r="E833" s="1029">
        <v>205.5</v>
      </c>
    </row>
    <row r="834" spans="1:6" ht="15.75" thickBot="1">
      <c r="A834" s="1025" t="s">
        <v>2321</v>
      </c>
      <c r="B834" s="1026" t="s">
        <v>25</v>
      </c>
      <c r="C834" s="1027">
        <v>13.7</v>
      </c>
      <c r="D834" s="1028">
        <v>4</v>
      </c>
      <c r="E834" s="1029">
        <v>54.8</v>
      </c>
    </row>
    <row r="837" spans="1:6" ht="15.75">
      <c r="A837" s="68" t="s">
        <v>39</v>
      </c>
      <c r="B837" s="68" t="s">
        <v>100</v>
      </c>
      <c r="C837" s="68" t="s">
        <v>163</v>
      </c>
      <c r="D837" s="68" t="s">
        <v>197</v>
      </c>
      <c r="E837" s="99" t="s">
        <v>198</v>
      </c>
      <c r="F837" s="68" t="s">
        <v>2941</v>
      </c>
    </row>
    <row r="838" spans="1:6" ht="15">
      <c r="A838" s="27" t="s">
        <v>2320</v>
      </c>
      <c r="B838" s="21" t="s">
        <v>25</v>
      </c>
      <c r="C838" s="93">
        <v>13.7</v>
      </c>
      <c r="D838" s="94">
        <v>15</v>
      </c>
      <c r="E838" s="17">
        <v>205.5</v>
      </c>
      <c r="F838" s="611">
        <v>6.2</v>
      </c>
    </row>
    <row r="839" spans="1:6" ht="15">
      <c r="A839" s="27" t="s">
        <v>2321</v>
      </c>
      <c r="B839" s="21" t="s">
        <v>25</v>
      </c>
      <c r="C839" s="93">
        <v>13.7</v>
      </c>
      <c r="D839" s="94">
        <v>4</v>
      </c>
      <c r="E839" s="17">
        <v>54.8</v>
      </c>
      <c r="F839" s="611">
        <v>6.2</v>
      </c>
    </row>
    <row r="840" spans="1:6" ht="14.25" thickBot="1"/>
    <row r="841" spans="1:6" ht="16.5" thickBot="1">
      <c r="A841" s="989" t="s">
        <v>162</v>
      </c>
      <c r="B841" s="989" t="s">
        <v>163</v>
      </c>
      <c r="C841" s="989" t="s">
        <v>197</v>
      </c>
      <c r="D841" s="1024" t="s">
        <v>198</v>
      </c>
    </row>
    <row r="842" spans="1:6" ht="15">
      <c r="A842" s="21" t="s">
        <v>2310</v>
      </c>
      <c r="B842" s="93">
        <v>13.7</v>
      </c>
      <c r="C842" s="35">
        <v>19</v>
      </c>
      <c r="D842" s="108">
        <v>260.3</v>
      </c>
    </row>
    <row r="843" spans="1:6" ht="15">
      <c r="A843" s="21" t="s">
        <v>2312</v>
      </c>
      <c r="B843" s="93">
        <v>13.7</v>
      </c>
      <c r="C843" s="35">
        <v>20</v>
      </c>
      <c r="D843" s="108">
        <v>274</v>
      </c>
    </row>
    <row r="845" spans="1:6" ht="15.75">
      <c r="A845" s="68" t="s">
        <v>162</v>
      </c>
      <c r="B845" s="68" t="s">
        <v>163</v>
      </c>
      <c r="C845" s="68" t="s">
        <v>197</v>
      </c>
      <c r="D845" s="99" t="s">
        <v>198</v>
      </c>
      <c r="E845" s="68" t="s">
        <v>2941</v>
      </c>
    </row>
    <row r="846" spans="1:6" ht="15">
      <c r="A846" s="21" t="s">
        <v>2310</v>
      </c>
      <c r="B846" s="93">
        <v>13.7</v>
      </c>
      <c r="C846" s="35">
        <v>19</v>
      </c>
      <c r="D846" s="108">
        <v>260.3</v>
      </c>
      <c r="E846" s="611">
        <v>3.79</v>
      </c>
    </row>
    <row r="847" spans="1:6" ht="15">
      <c r="A847" s="21" t="s">
        <v>2312</v>
      </c>
      <c r="B847" s="93">
        <v>13.7</v>
      </c>
      <c r="C847" s="35">
        <v>20</v>
      </c>
      <c r="D847" s="108">
        <v>274</v>
      </c>
      <c r="E847" s="611">
        <v>3.11</v>
      </c>
    </row>
    <row r="850" spans="1:7" ht="15.75">
      <c r="A850" s="68" t="s">
        <v>162</v>
      </c>
      <c r="B850" s="68" t="s">
        <v>100</v>
      </c>
      <c r="C850" s="68" t="s">
        <v>163</v>
      </c>
      <c r="D850" s="68" t="s">
        <v>197</v>
      </c>
      <c r="E850" s="99" t="s">
        <v>198</v>
      </c>
      <c r="F850" s="68" t="s">
        <v>2941</v>
      </c>
      <c r="G850" s="68" t="s">
        <v>49</v>
      </c>
    </row>
    <row r="851" spans="1:7" ht="15.75">
      <c r="A851" s="27" t="s">
        <v>2313</v>
      </c>
      <c r="B851" s="21" t="s">
        <v>46</v>
      </c>
      <c r="C851" s="93">
        <v>13.7</v>
      </c>
      <c r="D851" s="35">
        <v>16</v>
      </c>
      <c r="E851" s="108">
        <v>219.2</v>
      </c>
      <c r="F851" s="611">
        <v>3.79</v>
      </c>
      <c r="G851" s="72" t="s">
        <v>126</v>
      </c>
    </row>
    <row r="852" spans="1:7" ht="15.75">
      <c r="A852" s="27" t="s">
        <v>2313</v>
      </c>
      <c r="B852" s="21" t="s">
        <v>46</v>
      </c>
      <c r="C852" s="93">
        <v>13.7</v>
      </c>
      <c r="D852" s="35">
        <v>3</v>
      </c>
      <c r="E852" s="108">
        <v>41.099999999999994</v>
      </c>
      <c r="F852" s="611">
        <v>3.79</v>
      </c>
      <c r="G852" s="72" t="s">
        <v>2979</v>
      </c>
    </row>
    <row r="854" spans="1:7" ht="15.75">
      <c r="A854" s="68" t="s">
        <v>162</v>
      </c>
      <c r="B854" s="68" t="s">
        <v>100</v>
      </c>
      <c r="C854" s="68" t="s">
        <v>163</v>
      </c>
      <c r="D854" s="68" t="s">
        <v>197</v>
      </c>
      <c r="E854" s="99" t="s">
        <v>198</v>
      </c>
      <c r="F854" s="68" t="s">
        <v>2941</v>
      </c>
    </row>
    <row r="855" spans="1:7" ht="15">
      <c r="A855" s="27" t="s">
        <v>2316</v>
      </c>
      <c r="B855" s="21" t="s">
        <v>46</v>
      </c>
      <c r="C855" s="93">
        <v>13.7</v>
      </c>
      <c r="D855" s="35">
        <v>20</v>
      </c>
      <c r="E855" s="108">
        <v>274</v>
      </c>
      <c r="F855" s="611">
        <v>3.11</v>
      </c>
    </row>
    <row r="858" spans="1:7" ht="15.75">
      <c r="A858" s="68" t="s">
        <v>162</v>
      </c>
      <c r="B858" s="68" t="s">
        <v>163</v>
      </c>
      <c r="C858" s="68" t="s">
        <v>197</v>
      </c>
      <c r="D858" s="99" t="s">
        <v>198</v>
      </c>
      <c r="E858" s="68" t="s">
        <v>2941</v>
      </c>
    </row>
    <row r="859" spans="1:7" ht="15">
      <c r="A859" s="21" t="s">
        <v>2305</v>
      </c>
      <c r="B859" s="93">
        <v>13.7</v>
      </c>
      <c r="C859" s="35">
        <v>3</v>
      </c>
      <c r="D859" s="17">
        <v>41.099999999999994</v>
      </c>
      <c r="E859" s="611">
        <v>3.19</v>
      </c>
    </row>
    <row r="860" spans="1:7" ht="15">
      <c r="A860" s="21" t="s">
        <v>2307</v>
      </c>
      <c r="B860" s="93">
        <v>13.7</v>
      </c>
      <c r="C860" s="35">
        <v>3</v>
      </c>
      <c r="D860" s="17">
        <v>41.099999999999994</v>
      </c>
      <c r="E860" s="611">
        <v>7.22</v>
      </c>
    </row>
    <row r="861" spans="1:7" ht="15">
      <c r="A861" s="21"/>
      <c r="B861" s="39" t="s">
        <v>28</v>
      </c>
      <c r="C861" s="94"/>
      <c r="D861" s="93"/>
      <c r="E861" s="611">
        <v>12</v>
      </c>
    </row>
    <row r="863" spans="1:7" ht="15.75">
      <c r="A863" s="68" t="s">
        <v>162</v>
      </c>
      <c r="B863" s="68" t="s">
        <v>18</v>
      </c>
      <c r="C863" s="99" t="s">
        <v>2974</v>
      </c>
    </row>
    <row r="864" spans="1:7" ht="15">
      <c r="A864" s="21" t="s">
        <v>2970</v>
      </c>
      <c r="B864" s="163">
        <v>5</v>
      </c>
      <c r="C864" s="70" t="s">
        <v>2980</v>
      </c>
    </row>
    <row r="868" spans="1:3" ht="15.75">
      <c r="A868" s="68" t="s">
        <v>162</v>
      </c>
      <c r="B868" s="68" t="s">
        <v>18</v>
      </c>
      <c r="C868" s="99" t="s">
        <v>2974</v>
      </c>
    </row>
    <row r="869" spans="1:3" ht="15">
      <c r="A869" s="21" t="s">
        <v>2342</v>
      </c>
      <c r="B869" s="163">
        <v>10</v>
      </c>
      <c r="C869" s="823" t="s">
        <v>2981</v>
      </c>
    </row>
    <row r="870" spans="1:3" ht="15">
      <c r="A870" s="21" t="s">
        <v>2344</v>
      </c>
      <c r="B870" s="163">
        <v>10</v>
      </c>
      <c r="C870" s="823" t="s">
        <v>2982</v>
      </c>
    </row>
    <row r="872" spans="1:3" ht="15.75">
      <c r="A872" s="68" t="s">
        <v>162</v>
      </c>
      <c r="B872" s="68" t="s">
        <v>18</v>
      </c>
      <c r="C872" s="99" t="s">
        <v>2974</v>
      </c>
    </row>
    <row r="873" spans="1:3" ht="15">
      <c r="A873" s="21" t="s">
        <v>2051</v>
      </c>
      <c r="B873" s="163">
        <v>10</v>
      </c>
      <c r="C873" s="823" t="s">
        <v>2983</v>
      </c>
    </row>
    <row r="875" spans="1:3" ht="15.75">
      <c r="A875" s="68" t="s">
        <v>162</v>
      </c>
      <c r="B875" s="68" t="s">
        <v>18</v>
      </c>
      <c r="C875" s="68" t="s">
        <v>2941</v>
      </c>
    </row>
    <row r="876" spans="1:3" ht="15">
      <c r="A876" s="21" t="s">
        <v>2342</v>
      </c>
      <c r="B876" s="163">
        <v>10</v>
      </c>
      <c r="C876" s="611">
        <v>4.03</v>
      </c>
    </row>
    <row r="877" spans="1:3" ht="15">
      <c r="A877" s="21" t="s">
        <v>2344</v>
      </c>
      <c r="B877" s="163">
        <v>10</v>
      </c>
      <c r="C877" s="611">
        <v>3.51</v>
      </c>
    </row>
    <row r="878" spans="1:3" ht="15">
      <c r="A878" s="21" t="s">
        <v>2051</v>
      </c>
      <c r="B878" s="163">
        <v>10</v>
      </c>
      <c r="C878" s="611">
        <v>4.9400000000000004</v>
      </c>
    </row>
    <row r="879" spans="1:3" ht="15">
      <c r="A879" s="21"/>
      <c r="B879" s="39" t="s">
        <v>28</v>
      </c>
      <c r="C879" s="611">
        <v>24</v>
      </c>
    </row>
    <row r="882" spans="1:6" ht="15.75">
      <c r="A882" s="68" t="s">
        <v>162</v>
      </c>
      <c r="B882" s="68" t="s">
        <v>45</v>
      </c>
      <c r="C882" s="68" t="s">
        <v>18</v>
      </c>
    </row>
    <row r="883" spans="1:6" ht="15">
      <c r="A883" s="21" t="s">
        <v>2270</v>
      </c>
      <c r="B883" s="21" t="s">
        <v>2275</v>
      </c>
      <c r="C883" s="135">
        <v>30</v>
      </c>
    </row>
    <row r="884" spans="1:6" ht="15">
      <c r="A884" s="21" t="s">
        <v>2270</v>
      </c>
      <c r="B884" s="21" t="s">
        <v>2293</v>
      </c>
      <c r="C884" s="135">
        <v>30</v>
      </c>
    </row>
    <row r="887" spans="1:6" ht="15.75">
      <c r="A887" s="68" t="s">
        <v>162</v>
      </c>
      <c r="B887" s="68" t="s">
        <v>45</v>
      </c>
      <c r="C887" s="68" t="s">
        <v>163</v>
      </c>
      <c r="D887" s="68" t="s">
        <v>197</v>
      </c>
      <c r="E887" s="99" t="s">
        <v>198</v>
      </c>
      <c r="F887" s="68" t="s">
        <v>2941</v>
      </c>
    </row>
    <row r="888" spans="1:6" ht="15">
      <c r="A888" s="21" t="s">
        <v>2270</v>
      </c>
      <c r="B888" s="21" t="s">
        <v>2275</v>
      </c>
      <c r="C888" s="93">
        <v>30</v>
      </c>
      <c r="D888" s="94">
        <v>1</v>
      </c>
      <c r="E888" s="8">
        <v>30</v>
      </c>
      <c r="F888" s="611">
        <v>0.94</v>
      </c>
    </row>
    <row r="889" spans="1:6" ht="15">
      <c r="A889" s="21" t="s">
        <v>2270</v>
      </c>
      <c r="B889" s="21" t="s">
        <v>2293</v>
      </c>
      <c r="C889" s="93">
        <v>30</v>
      </c>
      <c r="D889" s="94">
        <v>1</v>
      </c>
      <c r="E889" s="8">
        <v>30</v>
      </c>
      <c r="F889" s="611">
        <v>0.94</v>
      </c>
    </row>
    <row r="890" spans="1:6" ht="15">
      <c r="A890" s="21"/>
      <c r="B890" s="38" t="s">
        <v>13</v>
      </c>
      <c r="C890" s="39" t="s">
        <v>28</v>
      </c>
      <c r="D890" s="39" t="s">
        <v>28</v>
      </c>
      <c r="E890" s="93"/>
      <c r="F890" s="611">
        <v>12</v>
      </c>
    </row>
    <row r="893" spans="1:6" ht="15.75">
      <c r="A893" s="68" t="s">
        <v>162</v>
      </c>
      <c r="B893" s="68" t="s">
        <v>45</v>
      </c>
      <c r="C893" s="68" t="s">
        <v>2984</v>
      </c>
      <c r="D893" s="68" t="s">
        <v>2941</v>
      </c>
      <c r="E893" s="68" t="s">
        <v>302</v>
      </c>
    </row>
    <row r="894" spans="1:6" ht="15.75">
      <c r="A894" s="21">
        <v>4503</v>
      </c>
      <c r="B894" s="21" t="s">
        <v>258</v>
      </c>
      <c r="C894" s="135" t="s">
        <v>143</v>
      </c>
      <c r="D894" s="611">
        <v>0.28000000000000003</v>
      </c>
      <c r="E894" s="68" t="s">
        <v>2985</v>
      </c>
    </row>
    <row r="895" spans="1:6" ht="15.75">
      <c r="A895" s="21">
        <v>4503</v>
      </c>
      <c r="B895" s="21" t="s">
        <v>123</v>
      </c>
      <c r="C895" s="135" t="s">
        <v>143</v>
      </c>
      <c r="D895" s="611">
        <v>0.28000000000000003</v>
      </c>
      <c r="E895" s="68" t="s">
        <v>2986</v>
      </c>
    </row>
    <row r="896" spans="1:6" ht="15">
      <c r="A896" s="21"/>
      <c r="B896" s="38" t="s">
        <v>13</v>
      </c>
      <c r="C896" s="39" t="s">
        <v>28</v>
      </c>
      <c r="D896" s="611">
        <v>12</v>
      </c>
    </row>
    <row r="899" spans="1:13" ht="15.75">
      <c r="A899" s="68" t="s">
        <v>162</v>
      </c>
      <c r="B899" s="68" t="s">
        <v>18</v>
      </c>
      <c r="C899" s="68" t="s">
        <v>2987</v>
      </c>
      <c r="D899" s="13"/>
      <c r="E899" s="10"/>
      <c r="F899" s="13"/>
      <c r="G899" s="6" t="s">
        <v>3</v>
      </c>
      <c r="H899" s="100"/>
      <c r="I899" s="100"/>
      <c r="J899" s="100"/>
      <c r="K899" s="7"/>
      <c r="L899" s="7"/>
      <c r="M899" s="7"/>
    </row>
    <row r="900" spans="1:13" ht="15">
      <c r="A900" s="21" t="s">
        <v>2352</v>
      </c>
      <c r="B900" s="62">
        <v>4</v>
      </c>
      <c r="C900" s="21" t="s">
        <v>2988</v>
      </c>
      <c r="D900" s="690"/>
      <c r="E900" s="688"/>
      <c r="F900" s="689"/>
      <c r="G900" s="22"/>
      <c r="H900" s="22"/>
      <c r="I900" s="22"/>
      <c r="J900" s="13"/>
      <c r="K900" s="11">
        <v>54</v>
      </c>
      <c r="L900" s="63" t="s">
        <v>44</v>
      </c>
      <c r="M900" s="7" t="s">
        <v>2354</v>
      </c>
    </row>
    <row r="901" spans="1:13" ht="15">
      <c r="A901" s="21" t="s">
        <v>2610</v>
      </c>
      <c r="B901" s="62">
        <v>4</v>
      </c>
      <c r="C901" s="21" t="s">
        <v>2989</v>
      </c>
      <c r="D901" s="690"/>
      <c r="E901" s="688"/>
      <c r="F901" s="689"/>
      <c r="G901" s="22"/>
      <c r="H901" s="22"/>
      <c r="I901" s="22"/>
      <c r="J901" s="13"/>
      <c r="K901" s="11">
        <v>149</v>
      </c>
      <c r="L901" s="63" t="s">
        <v>44</v>
      </c>
      <c r="M901" s="7" t="s">
        <v>2356</v>
      </c>
    </row>
    <row r="902" spans="1:13" ht="15">
      <c r="A902" s="21" t="s">
        <v>2357</v>
      </c>
      <c r="B902" s="62">
        <v>4</v>
      </c>
      <c r="C902" s="21" t="s">
        <v>2990</v>
      </c>
      <c r="D902" s="690"/>
      <c r="E902" s="688"/>
      <c r="F902" s="689"/>
      <c r="G902" s="22"/>
      <c r="H902" s="22"/>
      <c r="I902" s="22"/>
      <c r="J902" s="13">
        <v>171</v>
      </c>
      <c r="K902" s="11">
        <v>141</v>
      </c>
      <c r="L902" s="63" t="s">
        <v>44</v>
      </c>
      <c r="M902" s="7"/>
    </row>
    <row r="903" spans="1:13" ht="15">
      <c r="A903" s="21" t="s">
        <v>2991</v>
      </c>
      <c r="B903" s="62">
        <v>4</v>
      </c>
      <c r="C903" s="21" t="s">
        <v>2992</v>
      </c>
      <c r="D903" s="690"/>
      <c r="E903" s="688"/>
      <c r="F903" s="689"/>
      <c r="G903" s="22"/>
      <c r="H903" s="22"/>
      <c r="I903" s="22"/>
      <c r="J903" s="13">
        <v>147</v>
      </c>
      <c r="K903" s="11">
        <v>112</v>
      </c>
      <c r="L903" s="63" t="s">
        <v>2254</v>
      </c>
      <c r="M903" s="7"/>
    </row>
    <row r="906" spans="1:13" ht="15.75">
      <c r="A906" s="68" t="s">
        <v>162</v>
      </c>
      <c r="B906" s="68" t="s">
        <v>18</v>
      </c>
      <c r="C906" s="68" t="s">
        <v>2941</v>
      </c>
    </row>
    <row r="907" spans="1:13" ht="15">
      <c r="A907" s="21" t="s">
        <v>2352</v>
      </c>
      <c r="B907" s="62">
        <v>4</v>
      </c>
      <c r="C907" s="611">
        <v>1.25</v>
      </c>
    </row>
    <row r="908" spans="1:13" ht="15">
      <c r="A908" s="21" t="s">
        <v>2610</v>
      </c>
      <c r="B908" s="62">
        <v>4</v>
      </c>
      <c r="C908" s="611">
        <v>2.39</v>
      </c>
    </row>
    <row r="909" spans="1:13" ht="15">
      <c r="A909" s="21" t="s">
        <v>2357</v>
      </c>
      <c r="B909" s="62">
        <v>4</v>
      </c>
      <c r="C909" s="611">
        <v>2.23</v>
      </c>
    </row>
    <row r="910" spans="1:13" ht="15">
      <c r="A910" s="21" t="s">
        <v>2993</v>
      </c>
      <c r="B910" s="62">
        <v>4</v>
      </c>
      <c r="C910" s="611">
        <v>1.91</v>
      </c>
    </row>
    <row r="911" spans="1:13" ht="15">
      <c r="A911" s="21"/>
      <c r="B911" s="39" t="s">
        <v>28</v>
      </c>
      <c r="C911" s="611">
        <v>12</v>
      </c>
    </row>
    <row r="913" spans="1:13" ht="15.75">
      <c r="A913" s="68" t="s">
        <v>162</v>
      </c>
      <c r="B913" s="68" t="s">
        <v>45</v>
      </c>
      <c r="C913" s="68" t="s">
        <v>163</v>
      </c>
      <c r="D913" s="68" t="s">
        <v>197</v>
      </c>
      <c r="E913" s="99" t="s">
        <v>198</v>
      </c>
      <c r="F913" s="68" t="s">
        <v>2941</v>
      </c>
    </row>
    <row r="914" spans="1:13" ht="15">
      <c r="A914" s="21">
        <v>4503</v>
      </c>
      <c r="B914" s="21" t="s">
        <v>258</v>
      </c>
      <c r="C914" s="93">
        <v>30</v>
      </c>
      <c r="D914" s="94">
        <v>7</v>
      </c>
      <c r="E914" s="55">
        <v>210</v>
      </c>
      <c r="F914" s="611">
        <v>0.28000000000000003</v>
      </c>
    </row>
    <row r="915" spans="1:13" ht="15">
      <c r="A915" s="21"/>
      <c r="B915" s="38" t="s">
        <v>13</v>
      </c>
      <c r="C915" s="39"/>
      <c r="D915" s="39" t="s">
        <v>28</v>
      </c>
      <c r="E915" s="93"/>
      <c r="F915" s="611">
        <v>12</v>
      </c>
    </row>
    <row r="918" spans="1:13" ht="15.75">
      <c r="A918" s="68" t="s">
        <v>162</v>
      </c>
      <c r="B918" s="68" t="s">
        <v>163</v>
      </c>
      <c r="C918" s="68" t="s">
        <v>197</v>
      </c>
      <c r="D918" s="99" t="s">
        <v>198</v>
      </c>
      <c r="E918" s="68" t="s">
        <v>2987</v>
      </c>
      <c r="F918" s="96" t="s">
        <v>2994</v>
      </c>
      <c r="G918" s="10"/>
      <c r="H918" s="13"/>
      <c r="I918" s="13"/>
      <c r="J918" s="6" t="s">
        <v>3</v>
      </c>
      <c r="K918" s="100"/>
      <c r="L918" s="100"/>
      <c r="M918" s="7"/>
    </row>
    <row r="919" spans="1:13" ht="15">
      <c r="A919" s="739">
        <v>221184</v>
      </c>
      <c r="B919" s="93">
        <v>13.7</v>
      </c>
      <c r="C919" s="94">
        <v>8</v>
      </c>
      <c r="D919" s="108">
        <v>109.6</v>
      </c>
      <c r="E919" s="21">
        <v>760</v>
      </c>
      <c r="F919" s="690"/>
      <c r="G919" s="688"/>
      <c r="H919" s="689"/>
      <c r="I919" s="689"/>
      <c r="J919" s="22"/>
      <c r="K919" s="22"/>
      <c r="L919" s="13"/>
      <c r="M919" s="11">
        <v>760</v>
      </c>
    </row>
    <row r="920" spans="1:13" ht="15">
      <c r="A920" s="739">
        <v>257830</v>
      </c>
      <c r="B920" s="93">
        <v>13.7</v>
      </c>
      <c r="C920" s="94">
        <v>15</v>
      </c>
      <c r="D920" s="108">
        <v>205.5</v>
      </c>
      <c r="E920" s="21">
        <v>123</v>
      </c>
      <c r="F920" s="690"/>
      <c r="G920" s="688"/>
      <c r="H920" s="689"/>
      <c r="I920" s="689"/>
      <c r="J920" s="22"/>
      <c r="K920" s="22"/>
      <c r="L920" s="13"/>
      <c r="M920" s="11">
        <v>123</v>
      </c>
    </row>
    <row r="921" spans="1:13" ht="15">
      <c r="A921" s="739">
        <v>258151</v>
      </c>
      <c r="B921" s="93">
        <v>13.7</v>
      </c>
      <c r="C921" s="94">
        <v>4</v>
      </c>
      <c r="D921" s="108">
        <v>54.8</v>
      </c>
      <c r="E921" s="21">
        <v>320</v>
      </c>
      <c r="F921" s="690"/>
      <c r="G921" s="688"/>
      <c r="H921" s="689"/>
      <c r="I921" s="689"/>
      <c r="J921" s="22"/>
      <c r="K921" s="22"/>
      <c r="L921" s="13"/>
      <c r="M921" s="11">
        <v>320</v>
      </c>
    </row>
    <row r="922" spans="1:13" ht="15">
      <c r="A922" s="739">
        <v>258176</v>
      </c>
      <c r="B922" s="93">
        <v>13.7</v>
      </c>
      <c r="C922" s="94">
        <v>19</v>
      </c>
      <c r="D922" s="108">
        <v>260.3</v>
      </c>
      <c r="E922" s="21">
        <v>187</v>
      </c>
      <c r="F922" s="690"/>
      <c r="G922" s="688"/>
      <c r="H922" s="689"/>
      <c r="I922" s="689"/>
      <c r="J922" s="22"/>
      <c r="K922" s="22"/>
      <c r="L922" s="13"/>
      <c r="M922" s="11">
        <v>187</v>
      </c>
    </row>
    <row r="923" spans="1:13" ht="15">
      <c r="A923" s="739">
        <v>261875</v>
      </c>
      <c r="B923" s="93">
        <v>13.7</v>
      </c>
      <c r="C923" s="94">
        <v>22</v>
      </c>
      <c r="D923" s="108">
        <v>301.39999999999998</v>
      </c>
      <c r="E923" s="21">
        <v>275</v>
      </c>
      <c r="F923" s="690"/>
      <c r="G923" s="688"/>
      <c r="H923" s="689"/>
      <c r="I923" s="689"/>
      <c r="J923" s="22"/>
      <c r="K923" s="22"/>
      <c r="L923" s="13"/>
      <c r="M923" s="11">
        <v>275</v>
      </c>
    </row>
    <row r="924" spans="1:13" ht="15">
      <c r="A924" s="739">
        <v>391791</v>
      </c>
      <c r="B924" s="93">
        <v>13.7</v>
      </c>
      <c r="C924" s="94">
        <v>5</v>
      </c>
      <c r="D924" s="108">
        <v>68.5</v>
      </c>
      <c r="E924" s="21">
        <v>590</v>
      </c>
      <c r="F924" s="690"/>
      <c r="G924" s="688"/>
      <c r="H924" s="689"/>
      <c r="I924" s="689"/>
      <c r="J924" s="22"/>
      <c r="K924" s="22"/>
      <c r="L924" s="13"/>
      <c r="M924" s="11">
        <v>590</v>
      </c>
    </row>
    <row r="926" spans="1:13" ht="15.75">
      <c r="A926" s="68" t="s">
        <v>39</v>
      </c>
      <c r="B926" s="68" t="s">
        <v>45</v>
      </c>
      <c r="C926" s="68" t="s">
        <v>163</v>
      </c>
      <c r="D926" s="68" t="s">
        <v>197</v>
      </c>
      <c r="E926" s="99" t="s">
        <v>198</v>
      </c>
      <c r="F926" s="99" t="s">
        <v>2995</v>
      </c>
      <c r="G926" s="68" t="s">
        <v>2941</v>
      </c>
      <c r="H926" s="68" t="s">
        <v>138</v>
      </c>
      <c r="I926" s="87"/>
    </row>
    <row r="927" spans="1:13" ht="15.75">
      <c r="A927" s="27" t="s">
        <v>2996</v>
      </c>
      <c r="B927" s="21" t="s">
        <v>25</v>
      </c>
      <c r="C927" s="93">
        <v>13.7</v>
      </c>
      <c r="D927" s="94">
        <v>8</v>
      </c>
      <c r="E927" s="108">
        <v>109.6</v>
      </c>
      <c r="F927" s="1030" t="s">
        <v>2997</v>
      </c>
      <c r="G927" s="597">
        <v>9.2200000000000006</v>
      </c>
      <c r="H927" s="72" t="s">
        <v>182</v>
      </c>
      <c r="I927" s="262"/>
    </row>
    <row r="928" spans="1:13" ht="15.75">
      <c r="A928" s="27" t="s">
        <v>2996</v>
      </c>
      <c r="B928" s="21" t="s">
        <v>25</v>
      </c>
      <c r="C928" s="93">
        <v>13.7</v>
      </c>
      <c r="D928" s="94">
        <v>15</v>
      </c>
      <c r="E928" s="108">
        <v>205.5</v>
      </c>
      <c r="F928" s="1030" t="s">
        <v>2998</v>
      </c>
      <c r="G928" s="597">
        <v>1.49</v>
      </c>
      <c r="H928" s="72" t="s">
        <v>182</v>
      </c>
      <c r="I928" s="262"/>
    </row>
    <row r="929" spans="1:9" ht="15.75">
      <c r="A929" s="27" t="s">
        <v>2996</v>
      </c>
      <c r="B929" s="21" t="s">
        <v>25</v>
      </c>
      <c r="C929" s="93">
        <v>13.7</v>
      </c>
      <c r="D929" s="94">
        <v>4</v>
      </c>
      <c r="E929" s="108">
        <v>54.8</v>
      </c>
      <c r="F929" s="1030" t="s">
        <v>2999</v>
      </c>
      <c r="G929" s="597">
        <v>3.88</v>
      </c>
      <c r="H929" s="72" t="s">
        <v>126</v>
      </c>
      <c r="I929" s="262"/>
    </row>
    <row r="930" spans="1:9" ht="15.75">
      <c r="A930" s="27" t="s">
        <v>2996</v>
      </c>
      <c r="B930" s="21" t="s">
        <v>25</v>
      </c>
      <c r="C930" s="93">
        <v>13.7</v>
      </c>
      <c r="D930" s="94">
        <v>19</v>
      </c>
      <c r="E930" s="108">
        <v>260.3</v>
      </c>
      <c r="F930" s="1030" t="s">
        <v>3000</v>
      </c>
      <c r="G930" s="597">
        <v>2.27</v>
      </c>
      <c r="H930" s="72" t="s">
        <v>126</v>
      </c>
      <c r="I930" s="262"/>
    </row>
    <row r="931" spans="1:9" ht="15.75">
      <c r="A931" s="27" t="s">
        <v>2996</v>
      </c>
      <c r="B931" s="21" t="s">
        <v>25</v>
      </c>
      <c r="C931" s="93">
        <v>13.7</v>
      </c>
      <c r="D931" s="94">
        <v>22</v>
      </c>
      <c r="E931" s="108">
        <v>301.39999999999998</v>
      </c>
      <c r="F931" s="1030" t="s">
        <v>3001</v>
      </c>
      <c r="G931" s="597">
        <v>3.34</v>
      </c>
      <c r="H931" s="72" t="s">
        <v>182</v>
      </c>
      <c r="I931" s="262"/>
    </row>
    <row r="932" spans="1:9" ht="15.75">
      <c r="A932" s="27" t="s">
        <v>2996</v>
      </c>
      <c r="B932" s="21" t="s">
        <v>25</v>
      </c>
      <c r="C932" s="93">
        <v>13.7</v>
      </c>
      <c r="D932" s="94">
        <v>5</v>
      </c>
      <c r="E932" s="108">
        <v>68.5</v>
      </c>
      <c r="F932" s="1030" t="s">
        <v>3002</v>
      </c>
      <c r="G932" s="611">
        <v>7.16</v>
      </c>
      <c r="H932" s="72" t="s">
        <v>182</v>
      </c>
      <c r="I932" s="262"/>
    </row>
    <row r="934" spans="1:9" ht="15.75">
      <c r="A934" s="67" t="s">
        <v>3003</v>
      </c>
      <c r="B934" s="68" t="s">
        <v>45</v>
      </c>
      <c r="C934" s="68" t="s">
        <v>163</v>
      </c>
      <c r="D934" s="68" t="s">
        <v>197</v>
      </c>
      <c r="E934" s="99" t="s">
        <v>198</v>
      </c>
    </row>
    <row r="935" spans="1:9" ht="15">
      <c r="A935" s="27" t="s">
        <v>2362</v>
      </c>
      <c r="B935" s="21" t="s">
        <v>108</v>
      </c>
      <c r="C935" s="93">
        <v>13.7</v>
      </c>
      <c r="D935" s="35">
        <v>41</v>
      </c>
      <c r="E935" s="17">
        <v>561.69999999999993</v>
      </c>
    </row>
    <row r="936" spans="1:9" ht="15">
      <c r="A936" s="27" t="s">
        <v>2362</v>
      </c>
      <c r="B936" s="21" t="s">
        <v>141</v>
      </c>
      <c r="C936" s="93">
        <v>13.7</v>
      </c>
      <c r="D936" s="35">
        <v>4</v>
      </c>
      <c r="E936" s="17">
        <v>54.8</v>
      </c>
    </row>
    <row r="937" spans="1:9" ht="15">
      <c r="A937" s="27" t="s">
        <v>2362</v>
      </c>
      <c r="B937" s="21" t="s">
        <v>141</v>
      </c>
      <c r="C937" s="93">
        <v>13.7</v>
      </c>
      <c r="D937" s="35">
        <v>4</v>
      </c>
      <c r="E937" s="17">
        <v>54.8</v>
      </c>
    </row>
    <row r="940" spans="1:9" ht="15.75">
      <c r="A940" s="67" t="s">
        <v>3003</v>
      </c>
      <c r="B940" s="68" t="s">
        <v>45</v>
      </c>
      <c r="C940" s="68" t="s">
        <v>163</v>
      </c>
      <c r="D940" s="68" t="s">
        <v>197</v>
      </c>
      <c r="E940" s="99" t="s">
        <v>198</v>
      </c>
    </row>
    <row r="941" spans="1:9" ht="15">
      <c r="A941" s="27" t="s">
        <v>2362</v>
      </c>
      <c r="B941" s="21" t="s">
        <v>141</v>
      </c>
      <c r="C941" s="93">
        <v>14</v>
      </c>
      <c r="D941" s="35">
        <v>4</v>
      </c>
      <c r="E941" s="17">
        <v>56</v>
      </c>
    </row>
    <row r="944" spans="1:9" ht="15.75">
      <c r="A944" s="67" t="s">
        <v>39</v>
      </c>
      <c r="B944" s="68" t="s">
        <v>45</v>
      </c>
      <c r="C944" s="68" t="s">
        <v>163</v>
      </c>
      <c r="D944" s="68" t="s">
        <v>197</v>
      </c>
      <c r="E944" s="99" t="s">
        <v>198</v>
      </c>
      <c r="F944" s="68" t="s">
        <v>2941</v>
      </c>
      <c r="G944" s="68" t="s">
        <v>115</v>
      </c>
      <c r="H944" s="68" t="s">
        <v>159</v>
      </c>
      <c r="I944" s="87"/>
    </row>
    <row r="945" spans="1:9" ht="15">
      <c r="A945" s="27" t="s">
        <v>2362</v>
      </c>
      <c r="B945" s="21" t="s">
        <v>108</v>
      </c>
      <c r="C945" s="93">
        <v>13.7</v>
      </c>
      <c r="D945" s="35">
        <v>41</v>
      </c>
      <c r="E945" s="17">
        <v>561.69999999999993</v>
      </c>
      <c r="F945" s="611">
        <v>7.22</v>
      </c>
      <c r="G945" s="611">
        <f>F945*E945</f>
        <v>4055.4739999999993</v>
      </c>
      <c r="H945" s="2075" t="s">
        <v>3004</v>
      </c>
      <c r="I945" s="1031"/>
    </row>
    <row r="946" spans="1:9" ht="15">
      <c r="A946" s="27" t="s">
        <v>2362</v>
      </c>
      <c r="B946" s="21" t="s">
        <v>141</v>
      </c>
      <c r="C946" s="93">
        <v>13.7</v>
      </c>
      <c r="D946" s="35">
        <v>4</v>
      </c>
      <c r="E946" s="17">
        <v>54.8</v>
      </c>
      <c r="F946" s="611">
        <v>7.22</v>
      </c>
      <c r="G946" s="611">
        <f>F946*E946</f>
        <v>395.65599999999995</v>
      </c>
      <c r="H946" s="2076"/>
      <c r="I946" s="594"/>
    </row>
    <row r="947" spans="1:9" ht="15">
      <c r="A947" s="27" t="s">
        <v>2362</v>
      </c>
      <c r="B947" s="21" t="s">
        <v>141</v>
      </c>
      <c r="C947" s="93">
        <v>14</v>
      </c>
      <c r="D947" s="35">
        <v>4</v>
      </c>
      <c r="E947" s="17">
        <v>56</v>
      </c>
      <c r="F947" s="611">
        <v>1.43</v>
      </c>
      <c r="G947" s="611">
        <f>F947*E947</f>
        <v>80.08</v>
      </c>
      <c r="H947" s="1032" t="s">
        <v>3005</v>
      </c>
      <c r="I947" s="904"/>
    </row>
    <row r="948" spans="1:9" ht="15">
      <c r="A948" s="27" t="s">
        <v>2362</v>
      </c>
      <c r="B948" s="21" t="s">
        <v>141</v>
      </c>
      <c r="C948" s="93">
        <v>13.7</v>
      </c>
      <c r="D948" s="35">
        <v>4</v>
      </c>
      <c r="E948" s="17">
        <v>54.8</v>
      </c>
      <c r="F948" s="611">
        <v>3.19</v>
      </c>
      <c r="G948" s="611">
        <f>F948*E948</f>
        <v>174.81199999999998</v>
      </c>
      <c r="H948" s="1032" t="s">
        <v>3006</v>
      </c>
      <c r="I948" s="904"/>
    </row>
    <row r="949" spans="1:9" ht="15">
      <c r="A949" s="27" t="s">
        <v>2362</v>
      </c>
      <c r="B949" s="38" t="s">
        <v>2364</v>
      </c>
      <c r="C949" s="39"/>
      <c r="D949" s="39" t="s">
        <v>66</v>
      </c>
      <c r="E949" s="93"/>
      <c r="F949" s="611">
        <v>105</v>
      </c>
      <c r="G949" s="611">
        <v>315</v>
      </c>
      <c r="H949" s="1032"/>
      <c r="I949" s="904"/>
    </row>
    <row r="950" spans="1:9" ht="15.75">
      <c r="A950" s="27"/>
      <c r="B950" s="38"/>
      <c r="C950" s="39"/>
      <c r="D950" s="39"/>
      <c r="E950" s="93"/>
      <c r="F950" s="1033" t="s">
        <v>89</v>
      </c>
      <c r="G950" s="611">
        <f>SUM(G945:G949)</f>
        <v>5021.021999999999</v>
      </c>
      <c r="H950" s="131"/>
    </row>
    <row r="952" spans="1:9" ht="15.75">
      <c r="A952" s="67" t="s">
        <v>3007</v>
      </c>
      <c r="B952" s="68" t="s">
        <v>198</v>
      </c>
      <c r="C952" s="68" t="s">
        <v>2987</v>
      </c>
    </row>
    <row r="953" spans="1:9" ht="15">
      <c r="A953" s="21" t="s">
        <v>2369</v>
      </c>
      <c r="B953" s="8">
        <v>45</v>
      </c>
      <c r="C953" s="203">
        <v>169</v>
      </c>
    </row>
    <row r="954" spans="1:9" ht="15">
      <c r="A954" s="21" t="s">
        <v>2372</v>
      </c>
      <c r="B954" s="8">
        <v>70</v>
      </c>
      <c r="C954" s="203">
        <v>119</v>
      </c>
    </row>
    <row r="957" spans="1:9" ht="15.75">
      <c r="A957" s="67" t="s">
        <v>3007</v>
      </c>
      <c r="B957" s="68" t="s">
        <v>45</v>
      </c>
      <c r="C957" s="68" t="s">
        <v>163</v>
      </c>
      <c r="D957" s="68" t="s">
        <v>197</v>
      </c>
      <c r="E957" s="99" t="s">
        <v>198</v>
      </c>
      <c r="F957" s="68" t="s">
        <v>2941</v>
      </c>
    </row>
    <row r="958" spans="1:9" ht="15">
      <c r="A958" s="21">
        <v>4503</v>
      </c>
      <c r="B958" s="21" t="s">
        <v>58</v>
      </c>
      <c r="C958" s="93">
        <v>30</v>
      </c>
      <c r="D958" s="94">
        <v>13</v>
      </c>
      <c r="E958" s="55">
        <v>390</v>
      </c>
      <c r="F958" s="611">
        <v>0.28000000000000003</v>
      </c>
    </row>
    <row r="959" spans="1:9" ht="15">
      <c r="A959" s="21"/>
      <c r="B959" s="38" t="s">
        <v>13</v>
      </c>
      <c r="C959" s="39" t="s">
        <v>28</v>
      </c>
      <c r="D959" s="94"/>
      <c r="E959" s="93"/>
      <c r="F959" s="611">
        <v>12</v>
      </c>
    </row>
    <row r="962" spans="1:7" ht="15.75">
      <c r="A962" s="67" t="s">
        <v>3007</v>
      </c>
      <c r="B962" s="68" t="s">
        <v>45</v>
      </c>
      <c r="C962" s="68" t="s">
        <v>163</v>
      </c>
      <c r="D962" s="68" t="s">
        <v>197</v>
      </c>
      <c r="E962" s="99" t="s">
        <v>198</v>
      </c>
      <c r="F962" s="68" t="s">
        <v>2941</v>
      </c>
      <c r="G962" s="68" t="s">
        <v>159</v>
      </c>
    </row>
    <row r="963" spans="1:7" ht="15.75">
      <c r="A963" s="21">
        <v>11700</v>
      </c>
      <c r="B963" s="21" t="s">
        <v>58</v>
      </c>
      <c r="C963" s="55">
        <v>10</v>
      </c>
      <c r="D963" s="56">
        <v>2</v>
      </c>
      <c r="E963" s="55">
        <v>20</v>
      </c>
      <c r="F963" s="611">
        <v>1.92</v>
      </c>
      <c r="G963" s="1034" t="s">
        <v>3008</v>
      </c>
    </row>
    <row r="964" spans="1:7" ht="15.75">
      <c r="A964" s="21">
        <v>11700</v>
      </c>
      <c r="B964" s="21" t="s">
        <v>2159</v>
      </c>
      <c r="C964" s="55">
        <v>10</v>
      </c>
      <c r="D964" s="56">
        <v>1</v>
      </c>
      <c r="E964" s="55">
        <v>10</v>
      </c>
      <c r="F964" s="611">
        <v>1.92</v>
      </c>
      <c r="G964" s="1034" t="s">
        <v>3008</v>
      </c>
    </row>
    <row r="965" spans="1:7" ht="15.75">
      <c r="A965" s="21">
        <v>11700</v>
      </c>
      <c r="B965" s="21" t="s">
        <v>2160</v>
      </c>
      <c r="C965" s="55">
        <v>10</v>
      </c>
      <c r="D965" s="56">
        <v>1</v>
      </c>
      <c r="E965" s="55">
        <v>10</v>
      </c>
      <c r="F965" s="611">
        <v>1.92</v>
      </c>
      <c r="G965" s="1034" t="s">
        <v>3008</v>
      </c>
    </row>
    <row r="966" spans="1:7" ht="15.75">
      <c r="A966" s="21">
        <v>11700</v>
      </c>
      <c r="B966" s="21" t="s">
        <v>2161</v>
      </c>
      <c r="C966" s="55">
        <v>10</v>
      </c>
      <c r="D966" s="56">
        <v>1</v>
      </c>
      <c r="E966" s="55">
        <v>10</v>
      </c>
      <c r="F966" s="611">
        <v>1.92</v>
      </c>
      <c r="G966" s="1034" t="s">
        <v>3008</v>
      </c>
    </row>
    <row r="967" spans="1:7" ht="15.75">
      <c r="A967" s="21">
        <v>11700</v>
      </c>
      <c r="B967" s="21" t="s">
        <v>2162</v>
      </c>
      <c r="C967" s="55">
        <v>10</v>
      </c>
      <c r="D967" s="56">
        <v>1</v>
      </c>
      <c r="E967" s="55">
        <v>10</v>
      </c>
      <c r="F967" s="611">
        <v>1.92</v>
      </c>
      <c r="G967" s="1034" t="s">
        <v>3008</v>
      </c>
    </row>
    <row r="968" spans="1:7" ht="15.75">
      <c r="A968" s="21">
        <v>11700</v>
      </c>
      <c r="B968" s="21" t="s">
        <v>2163</v>
      </c>
      <c r="C968" s="55">
        <v>10</v>
      </c>
      <c r="D968" s="56">
        <v>1</v>
      </c>
      <c r="E968" s="55">
        <v>10</v>
      </c>
      <c r="F968" s="611">
        <v>1.92</v>
      </c>
      <c r="G968" s="1034" t="s">
        <v>3008</v>
      </c>
    </row>
    <row r="969" spans="1:7" ht="15.75">
      <c r="A969" s="21">
        <v>11700</v>
      </c>
      <c r="B969" s="21" t="s">
        <v>2381</v>
      </c>
      <c r="C969" s="55">
        <v>10</v>
      </c>
      <c r="D969" s="56">
        <v>1</v>
      </c>
      <c r="E969" s="55">
        <v>10</v>
      </c>
      <c r="F969" s="611">
        <v>1.92</v>
      </c>
      <c r="G969" s="1034" t="s">
        <v>3008</v>
      </c>
    </row>
    <row r="970" spans="1:7" ht="15.75">
      <c r="A970" s="21">
        <v>11700</v>
      </c>
      <c r="B970" s="21" t="s">
        <v>2382</v>
      </c>
      <c r="C970" s="55">
        <v>10</v>
      </c>
      <c r="D970" s="56">
        <v>1</v>
      </c>
      <c r="E970" s="55">
        <v>10</v>
      </c>
      <c r="F970" s="611">
        <v>1.92</v>
      </c>
      <c r="G970" s="1034" t="s">
        <v>3008</v>
      </c>
    </row>
    <row r="971" spans="1:7" ht="15.75">
      <c r="A971" s="21">
        <v>11700</v>
      </c>
      <c r="B971" s="21" t="s">
        <v>58</v>
      </c>
      <c r="C971" s="55">
        <v>10</v>
      </c>
      <c r="D971" s="56">
        <v>2</v>
      </c>
      <c r="E971" s="55">
        <v>20</v>
      </c>
      <c r="F971" s="611">
        <v>3.2</v>
      </c>
      <c r="G971" s="1034" t="s">
        <v>3008</v>
      </c>
    </row>
    <row r="972" spans="1:7" ht="15.75">
      <c r="A972" s="21">
        <v>11700</v>
      </c>
      <c r="B972" s="21" t="s">
        <v>2161</v>
      </c>
      <c r="C972" s="55">
        <v>10</v>
      </c>
      <c r="D972" s="56">
        <v>1</v>
      </c>
      <c r="E972" s="55">
        <v>10</v>
      </c>
      <c r="F972" s="611">
        <v>3.2</v>
      </c>
      <c r="G972" s="1034" t="s">
        <v>3008</v>
      </c>
    </row>
    <row r="973" spans="1:7" ht="15.75">
      <c r="A973" s="21">
        <v>11700</v>
      </c>
      <c r="B973" s="21" t="s">
        <v>2163</v>
      </c>
      <c r="C973" s="55">
        <v>10</v>
      </c>
      <c r="D973" s="56">
        <v>1</v>
      </c>
      <c r="E973" s="55">
        <v>10</v>
      </c>
      <c r="F973" s="611">
        <v>3.2</v>
      </c>
      <c r="G973" s="1034" t="s">
        <v>3008</v>
      </c>
    </row>
    <row r="974" spans="1:7" ht="15.75">
      <c r="A974" s="71" t="s">
        <v>3009</v>
      </c>
      <c r="B974" s="21" t="s">
        <v>2384</v>
      </c>
      <c r="C974" s="55">
        <v>10</v>
      </c>
      <c r="D974" s="56">
        <v>1</v>
      </c>
      <c r="E974" s="55">
        <v>10</v>
      </c>
      <c r="F974" s="611">
        <v>1.92</v>
      </c>
      <c r="G974" s="1034" t="s">
        <v>3008</v>
      </c>
    </row>
    <row r="975" spans="1:7" ht="15.75">
      <c r="A975" s="71" t="s">
        <v>3010</v>
      </c>
      <c r="B975" s="21" t="s">
        <v>2384</v>
      </c>
      <c r="C975" s="55">
        <v>10</v>
      </c>
      <c r="D975" s="56">
        <v>1</v>
      </c>
      <c r="E975" s="55">
        <v>10</v>
      </c>
      <c r="F975" s="611">
        <v>3.2</v>
      </c>
      <c r="G975" s="1034" t="s">
        <v>3008</v>
      </c>
    </row>
    <row r="976" spans="1:7" ht="15.75">
      <c r="A976" s="18"/>
      <c r="B976" s="21"/>
      <c r="C976" s="55"/>
      <c r="D976" s="55"/>
      <c r="E976" s="56"/>
      <c r="F976" s="9"/>
      <c r="G976" s="1034"/>
    </row>
    <row r="977" spans="1:7" ht="15.75">
      <c r="A977" s="71" t="s">
        <v>3011</v>
      </c>
      <c r="B977" s="21" t="s">
        <v>2385</v>
      </c>
      <c r="C977" s="55">
        <v>10</v>
      </c>
      <c r="D977" s="56">
        <v>1</v>
      </c>
      <c r="E977" s="55">
        <v>10</v>
      </c>
      <c r="F977" s="611">
        <v>1.1399999999999999</v>
      </c>
      <c r="G977" s="1034" t="s">
        <v>3008</v>
      </c>
    </row>
    <row r="978" spans="1:7" ht="16.899999999999999" customHeight="1">
      <c r="A978" s="71" t="s">
        <v>3011</v>
      </c>
      <c r="B978" s="21" t="s">
        <v>74</v>
      </c>
      <c r="C978" s="55">
        <v>10</v>
      </c>
      <c r="D978" s="56">
        <v>2</v>
      </c>
      <c r="E978" s="55">
        <v>20</v>
      </c>
      <c r="F978" s="611">
        <v>1.1399999999999999</v>
      </c>
      <c r="G978" s="1034" t="s">
        <v>3008</v>
      </c>
    </row>
    <row r="979" spans="1:7" ht="15">
      <c r="A979" s="18"/>
      <c r="B979" s="21"/>
      <c r="C979" s="30"/>
      <c r="D979" s="56"/>
      <c r="E979" s="55"/>
      <c r="F979" s="15"/>
      <c r="G979" s="178" t="s">
        <v>265</v>
      </c>
    </row>
    <row r="980" spans="1:7" ht="15.75">
      <c r="A980" s="102" t="s">
        <v>3012</v>
      </c>
      <c r="B980" s="102" t="s">
        <v>103</v>
      </c>
      <c r="C980" s="120">
        <v>30</v>
      </c>
      <c r="D980" s="333">
        <v>1</v>
      </c>
      <c r="E980" s="120">
        <v>30</v>
      </c>
      <c r="F980" s="748">
        <v>0.33</v>
      </c>
      <c r="G980" s="1035" t="s">
        <v>3013</v>
      </c>
    </row>
    <row r="983" spans="1:7" ht="15.75">
      <c r="A983" s="67" t="s">
        <v>3007</v>
      </c>
      <c r="B983" s="68" t="s">
        <v>163</v>
      </c>
      <c r="C983" s="68" t="s">
        <v>197</v>
      </c>
      <c r="D983" s="99" t="s">
        <v>198</v>
      </c>
      <c r="E983" s="68" t="s">
        <v>2987</v>
      </c>
    </row>
    <row r="984" spans="1:7" ht="15">
      <c r="A984" s="21" t="s">
        <v>2679</v>
      </c>
      <c r="B984" s="93">
        <v>13.7</v>
      </c>
      <c r="C984" s="35">
        <v>2</v>
      </c>
      <c r="D984" s="17">
        <v>27.4</v>
      </c>
      <c r="E984" s="1005" t="s">
        <v>3014</v>
      </c>
    </row>
    <row r="985" spans="1:7" ht="15">
      <c r="A985" s="21" t="s">
        <v>2390</v>
      </c>
      <c r="B985" s="93">
        <v>13.7</v>
      </c>
      <c r="C985" s="35">
        <v>2</v>
      </c>
      <c r="D985" s="17">
        <v>27.4</v>
      </c>
      <c r="E985" s="1005" t="s">
        <v>3014</v>
      </c>
    </row>
    <row r="986" spans="1:7" ht="15">
      <c r="A986" s="21" t="s">
        <v>2392</v>
      </c>
      <c r="B986" s="93">
        <v>13.7</v>
      </c>
      <c r="C986" s="35">
        <v>2</v>
      </c>
      <c r="D986" s="17">
        <v>27.4</v>
      </c>
      <c r="E986" s="1005" t="s">
        <v>3014</v>
      </c>
    </row>
    <row r="988" spans="1:7" ht="15.75">
      <c r="A988" s="67" t="s">
        <v>39</v>
      </c>
      <c r="B988" s="68" t="s">
        <v>45</v>
      </c>
      <c r="C988" s="68" t="s">
        <v>163</v>
      </c>
      <c r="D988" s="68" t="s">
        <v>197</v>
      </c>
      <c r="E988" s="99" t="s">
        <v>198</v>
      </c>
      <c r="F988" s="68" t="s">
        <v>2941</v>
      </c>
      <c r="G988" s="68" t="s">
        <v>49</v>
      </c>
    </row>
    <row r="989" spans="1:7" ht="15.75">
      <c r="A989" s="27" t="s">
        <v>2394</v>
      </c>
      <c r="B989" s="21" t="s">
        <v>25</v>
      </c>
      <c r="C989" s="93">
        <v>13.7</v>
      </c>
      <c r="D989" s="94">
        <v>16</v>
      </c>
      <c r="E989" s="17">
        <v>219.2</v>
      </c>
      <c r="F989" s="597">
        <v>5.46</v>
      </c>
      <c r="G989" s="1036" t="s">
        <v>3015</v>
      </c>
    </row>
    <row r="990" spans="1:7" ht="15.75">
      <c r="A990" s="27" t="s">
        <v>2394</v>
      </c>
      <c r="B990" s="38" t="s">
        <v>13</v>
      </c>
      <c r="C990" s="39"/>
      <c r="D990" s="39" t="s">
        <v>28</v>
      </c>
      <c r="E990" s="93"/>
      <c r="F990" s="611">
        <v>12</v>
      </c>
      <c r="G990" s="1036"/>
    </row>
    <row r="993" spans="1:7" ht="15.75">
      <c r="A993" s="67" t="s">
        <v>39</v>
      </c>
      <c r="B993" s="67" t="s">
        <v>93</v>
      </c>
      <c r="C993" s="68" t="s">
        <v>45</v>
      </c>
      <c r="D993" s="68" t="s">
        <v>163</v>
      </c>
      <c r="E993" s="68" t="s">
        <v>197</v>
      </c>
      <c r="F993" s="99" t="s">
        <v>198</v>
      </c>
      <c r="G993" s="68" t="s">
        <v>2941</v>
      </c>
    </row>
    <row r="994" spans="1:7" ht="15">
      <c r="A994" s="6" t="s">
        <v>2398</v>
      </c>
      <c r="B994" s="23" t="s">
        <v>155</v>
      </c>
      <c r="C994" s="21" t="s">
        <v>2399</v>
      </c>
      <c r="D994" s="55">
        <v>50</v>
      </c>
      <c r="E994" s="56">
        <v>3</v>
      </c>
      <c r="F994" s="55">
        <v>150</v>
      </c>
      <c r="G994" s="611">
        <v>0.15</v>
      </c>
    </row>
    <row r="995" spans="1:7" ht="15">
      <c r="A995" s="6" t="s">
        <v>2398</v>
      </c>
      <c r="B995" s="38"/>
      <c r="C995" s="38" t="s">
        <v>13</v>
      </c>
      <c r="D995" s="39" t="s">
        <v>28</v>
      </c>
      <c r="E995" s="94"/>
      <c r="F995" s="93"/>
      <c r="G995" s="611">
        <v>12</v>
      </c>
    </row>
    <row r="996" spans="1:7" ht="15.75">
      <c r="A996" s="67" t="s">
        <v>39</v>
      </c>
      <c r="B996" s="67" t="s">
        <v>93</v>
      </c>
      <c r="C996" s="68" t="s">
        <v>45</v>
      </c>
      <c r="D996" s="68" t="s">
        <v>163</v>
      </c>
      <c r="E996" s="68" t="s">
        <v>197</v>
      </c>
      <c r="F996" s="99" t="s">
        <v>198</v>
      </c>
      <c r="G996" s="68" t="s">
        <v>2941</v>
      </c>
    </row>
    <row r="997" spans="1:7" ht="15">
      <c r="A997" s="6" t="s">
        <v>2404</v>
      </c>
      <c r="B997" s="23" t="s">
        <v>2405</v>
      </c>
      <c r="C997" s="21" t="s">
        <v>227</v>
      </c>
      <c r="D997" s="55">
        <v>20</v>
      </c>
      <c r="E997" s="56">
        <v>8</v>
      </c>
      <c r="F997" s="55">
        <v>160</v>
      </c>
      <c r="G997" s="611">
        <v>1.49</v>
      </c>
    </row>
    <row r="998" spans="1:7" ht="15">
      <c r="A998" s="6" t="s">
        <v>2404</v>
      </c>
      <c r="B998" s="38"/>
      <c r="C998" s="38" t="s">
        <v>13</v>
      </c>
      <c r="D998" s="39"/>
      <c r="E998" s="39" t="s">
        <v>28</v>
      </c>
      <c r="F998" s="93"/>
      <c r="G998" s="611">
        <v>12</v>
      </c>
    </row>
    <row r="1000" spans="1:7" ht="15.75">
      <c r="A1000" s="67" t="s">
        <v>3007</v>
      </c>
      <c r="B1000" s="68" t="s">
        <v>45</v>
      </c>
      <c r="C1000" s="68" t="s">
        <v>163</v>
      </c>
      <c r="D1000" s="68" t="s">
        <v>197</v>
      </c>
      <c r="E1000" s="99" t="s">
        <v>198</v>
      </c>
      <c r="F1000" s="68" t="s">
        <v>2941</v>
      </c>
    </row>
    <row r="1001" spans="1:7" ht="15">
      <c r="A1001" s="21" t="s">
        <v>2270</v>
      </c>
      <c r="B1001" s="21" t="s">
        <v>2275</v>
      </c>
      <c r="C1001" s="93">
        <v>30</v>
      </c>
      <c r="D1001" s="94">
        <v>2</v>
      </c>
      <c r="E1001" s="55">
        <v>60</v>
      </c>
      <c r="F1001" s="611">
        <v>0.94</v>
      </c>
    </row>
    <row r="1002" spans="1:7" ht="15">
      <c r="A1002" s="21"/>
      <c r="B1002" s="38" t="s">
        <v>13</v>
      </c>
      <c r="C1002" s="93"/>
      <c r="D1002" s="39" t="s">
        <v>28</v>
      </c>
      <c r="E1002" s="94"/>
      <c r="F1002" s="611">
        <v>12</v>
      </c>
    </row>
    <row r="1005" spans="1:7" ht="15.75">
      <c r="A1005" s="67" t="s">
        <v>3007</v>
      </c>
      <c r="B1005" s="99" t="s">
        <v>198</v>
      </c>
      <c r="C1005" s="68" t="s">
        <v>2941</v>
      </c>
    </row>
    <row r="1006" spans="1:7" ht="15">
      <c r="A1006" s="21" t="s">
        <v>2407</v>
      </c>
      <c r="B1006" s="62">
        <v>5</v>
      </c>
      <c r="C1006" s="611">
        <v>3.16</v>
      </c>
    </row>
    <row r="1007" spans="1:7" ht="15">
      <c r="A1007" s="21" t="s">
        <v>2409</v>
      </c>
      <c r="B1007" s="62">
        <v>5</v>
      </c>
      <c r="C1007" s="611">
        <v>1.41</v>
      </c>
    </row>
    <row r="1008" spans="1:7" ht="15">
      <c r="A1008" s="48"/>
      <c r="B1008" s="39" t="s">
        <v>28</v>
      </c>
      <c r="C1008" s="611">
        <v>12</v>
      </c>
    </row>
    <row r="1011" spans="1:4" ht="15.75">
      <c r="A1011" s="67" t="s">
        <v>3007</v>
      </c>
      <c r="B1011" s="99" t="s">
        <v>198</v>
      </c>
      <c r="C1011" s="68" t="s">
        <v>2941</v>
      </c>
    </row>
    <row r="1012" spans="1:4" ht="15">
      <c r="A1012" s="21" t="s">
        <v>2416</v>
      </c>
      <c r="B1012" s="62">
        <v>5</v>
      </c>
      <c r="C1012" s="611">
        <v>1.56</v>
      </c>
    </row>
    <row r="1013" spans="1:4" ht="15">
      <c r="A1013" s="21" t="s">
        <v>3016</v>
      </c>
      <c r="B1013" s="62">
        <v>5</v>
      </c>
      <c r="C1013" s="611">
        <v>1.51</v>
      </c>
    </row>
    <row r="1014" spans="1:4" ht="15">
      <c r="A1014" s="21"/>
      <c r="B1014" s="39" t="s">
        <v>28</v>
      </c>
      <c r="C1014" s="611">
        <v>12</v>
      </c>
    </row>
    <row r="1018" spans="1:4" ht="31.5">
      <c r="A1018" s="67" t="s">
        <v>153</v>
      </c>
      <c r="B1018" s="1037" t="s">
        <v>3017</v>
      </c>
      <c r="C1018" s="1038" t="s">
        <v>3018</v>
      </c>
      <c r="D1018" s="1006" t="s">
        <v>3019</v>
      </c>
    </row>
    <row r="1019" spans="1:4" ht="15">
      <c r="A1019" s="1039" t="s">
        <v>3020</v>
      </c>
      <c r="B1019" s="1040" t="s">
        <v>3021</v>
      </c>
      <c r="C1019" s="62"/>
      <c r="D1019" s="598"/>
    </row>
    <row r="1020" spans="1:4" ht="15">
      <c r="A1020" s="21" t="s">
        <v>2437</v>
      </c>
      <c r="B1020" s="62">
        <v>3</v>
      </c>
      <c r="C1020" s="1041" t="s">
        <v>3022</v>
      </c>
      <c r="D1020" s="598">
        <v>4.3199999999999994</v>
      </c>
    </row>
    <row r="1021" spans="1:4" ht="15">
      <c r="A1021" s="21" t="s">
        <v>2438</v>
      </c>
      <c r="B1021" s="62">
        <v>3</v>
      </c>
      <c r="C1021" s="1041" t="s">
        <v>3022</v>
      </c>
      <c r="D1021" s="598">
        <v>3.25</v>
      </c>
    </row>
    <row r="1022" spans="1:4" ht="15">
      <c r="A1022" s="21" t="s">
        <v>2439</v>
      </c>
      <c r="B1022" s="62">
        <v>3</v>
      </c>
      <c r="C1022" s="1041" t="s">
        <v>3022</v>
      </c>
      <c r="D1022" s="598">
        <v>1.29</v>
      </c>
    </row>
    <row r="1023" spans="1:4" ht="15">
      <c r="A1023" s="21" t="s">
        <v>2440</v>
      </c>
      <c r="B1023" s="62">
        <v>3</v>
      </c>
      <c r="C1023" s="1041" t="s">
        <v>3022</v>
      </c>
      <c r="D1023" s="598">
        <v>2.13</v>
      </c>
    </row>
    <row r="1024" spans="1:4" ht="15">
      <c r="A1024" s="21" t="s">
        <v>2441</v>
      </c>
      <c r="B1024" s="62">
        <v>3</v>
      </c>
      <c r="C1024" s="1041" t="s">
        <v>3022</v>
      </c>
      <c r="D1024" s="598">
        <v>2.34</v>
      </c>
    </row>
    <row r="1025" spans="1:4" ht="15">
      <c r="A1025" s="21" t="s">
        <v>2442</v>
      </c>
      <c r="B1025" s="62">
        <v>3</v>
      </c>
      <c r="C1025" s="1041" t="s">
        <v>3022</v>
      </c>
      <c r="D1025" s="598">
        <v>1.26</v>
      </c>
    </row>
    <row r="1026" spans="1:4" ht="15">
      <c r="A1026" s="21" t="s">
        <v>2443</v>
      </c>
      <c r="B1026" s="62">
        <v>3</v>
      </c>
      <c r="C1026" s="1041" t="s">
        <v>3022</v>
      </c>
      <c r="D1026" s="598">
        <v>4.25</v>
      </c>
    </row>
    <row r="1027" spans="1:4" ht="15">
      <c r="A1027" s="21" t="s">
        <v>2444</v>
      </c>
      <c r="B1027" s="62">
        <v>3</v>
      </c>
      <c r="C1027" s="1041" t="s">
        <v>3022</v>
      </c>
      <c r="D1027" s="598">
        <v>4.3199999999999994</v>
      </c>
    </row>
    <row r="1028" spans="1:4" ht="15">
      <c r="A1028" s="21" t="s">
        <v>2445</v>
      </c>
      <c r="B1028" s="62">
        <v>3</v>
      </c>
      <c r="C1028" s="1041" t="s">
        <v>3022</v>
      </c>
      <c r="D1028" s="598">
        <v>6.1899999999999995</v>
      </c>
    </row>
    <row r="1029" spans="1:4" ht="15">
      <c r="A1029" s="21" t="s">
        <v>2446</v>
      </c>
      <c r="B1029" s="62">
        <v>3</v>
      </c>
      <c r="C1029" s="1041" t="s">
        <v>3022</v>
      </c>
      <c r="D1029" s="598">
        <v>3.84</v>
      </c>
    </row>
    <row r="1030" spans="1:4" ht="15">
      <c r="A1030" s="21" t="s">
        <v>132</v>
      </c>
      <c r="B1030" s="62">
        <v>3</v>
      </c>
      <c r="C1030" s="1041" t="s">
        <v>3022</v>
      </c>
      <c r="D1030" s="598">
        <v>1.22</v>
      </c>
    </row>
    <row r="1031" spans="1:4" ht="15">
      <c r="A1031" s="21" t="s">
        <v>2447</v>
      </c>
      <c r="B1031" s="62">
        <v>3</v>
      </c>
      <c r="C1031" s="1041" t="s">
        <v>3022</v>
      </c>
      <c r="D1031" s="598">
        <v>5.16</v>
      </c>
    </row>
    <row r="1032" spans="1:4" ht="15">
      <c r="A1032" s="21" t="s">
        <v>67</v>
      </c>
      <c r="B1032" s="62">
        <v>3</v>
      </c>
      <c r="C1032" s="1041" t="s">
        <v>3022</v>
      </c>
      <c r="D1032" s="598">
        <v>1.75</v>
      </c>
    </row>
    <row r="1033" spans="1:4" ht="15">
      <c r="A1033" s="21" t="s">
        <v>124</v>
      </c>
      <c r="B1033" s="62">
        <v>3</v>
      </c>
      <c r="C1033" s="1041" t="s">
        <v>3022</v>
      </c>
      <c r="D1033" s="598">
        <v>1.26</v>
      </c>
    </row>
    <row r="1034" spans="1:4" ht="15">
      <c r="A1034" s="1039" t="s">
        <v>3023</v>
      </c>
      <c r="B1034" s="1040" t="s">
        <v>3021</v>
      </c>
      <c r="C1034" s="62"/>
      <c r="D1034" s="598">
        <v>2.5199999999999996</v>
      </c>
    </row>
    <row r="1035" spans="1:4" ht="15">
      <c r="A1035" s="1039" t="s">
        <v>3024</v>
      </c>
      <c r="B1035" s="1040" t="s">
        <v>3021</v>
      </c>
      <c r="C1035" s="62"/>
      <c r="D1035" s="598">
        <v>2.5199999999999996</v>
      </c>
    </row>
    <row r="1036" spans="1:4" ht="15">
      <c r="A1036" s="21" t="s">
        <v>2463</v>
      </c>
      <c r="B1036" s="62">
        <v>3</v>
      </c>
      <c r="C1036" s="1041" t="s">
        <v>3022</v>
      </c>
      <c r="D1036" s="598">
        <v>1.34</v>
      </c>
    </row>
    <row r="1037" spans="1:4" ht="15">
      <c r="A1037" s="21" t="s">
        <v>70</v>
      </c>
      <c r="B1037" s="62">
        <v>3</v>
      </c>
      <c r="C1037" s="1041" t="s">
        <v>3022</v>
      </c>
      <c r="D1037" s="598">
        <v>1.7</v>
      </c>
    </row>
    <row r="1038" spans="1:4" ht="15">
      <c r="A1038" s="21" t="s">
        <v>105</v>
      </c>
      <c r="B1038" s="62">
        <v>3</v>
      </c>
      <c r="C1038" s="1041" t="s">
        <v>3022</v>
      </c>
      <c r="D1038" s="598">
        <v>0.7</v>
      </c>
    </row>
    <row r="1039" spans="1:4" ht="15">
      <c r="A1039" s="102" t="s">
        <v>194</v>
      </c>
      <c r="B1039" s="1040" t="s">
        <v>3025</v>
      </c>
      <c r="C1039" s="62"/>
      <c r="D1039" s="598"/>
    </row>
    <row r="1040" spans="1:4" ht="15">
      <c r="A1040" s="102" t="s">
        <v>136</v>
      </c>
      <c r="B1040" s="1040" t="s">
        <v>3025</v>
      </c>
      <c r="C1040" s="62"/>
      <c r="D1040" s="598"/>
    </row>
    <row r="1041" spans="1:4" ht="15">
      <c r="A1041" s="21" t="s">
        <v>2480</v>
      </c>
      <c r="B1041" s="62">
        <v>3</v>
      </c>
      <c r="C1041" s="1041" t="s">
        <v>3022</v>
      </c>
      <c r="D1041" s="598">
        <v>1.9</v>
      </c>
    </row>
    <row r="1042" spans="1:4" ht="15">
      <c r="A1042" s="102" t="s">
        <v>3026</v>
      </c>
      <c r="B1042" s="1040" t="s">
        <v>3025</v>
      </c>
      <c r="C1042" s="1041"/>
      <c r="D1042" s="598"/>
    </row>
    <row r="1043" spans="1:4" ht="15">
      <c r="A1043" s="21" t="s">
        <v>2482</v>
      </c>
      <c r="B1043" s="62">
        <v>3</v>
      </c>
      <c r="C1043" s="1041" t="s">
        <v>3022</v>
      </c>
      <c r="D1043" s="598">
        <v>1.41</v>
      </c>
    </row>
    <row r="1044" spans="1:4" ht="15">
      <c r="A1044" s="21" t="s">
        <v>2483</v>
      </c>
      <c r="B1044" s="62">
        <v>3</v>
      </c>
      <c r="C1044" s="1041" t="s">
        <v>3022</v>
      </c>
      <c r="D1044" s="598">
        <v>1.04</v>
      </c>
    </row>
    <row r="1045" spans="1:4" ht="15">
      <c r="A1045" s="21"/>
      <c r="B1045" s="39" t="s">
        <v>28</v>
      </c>
      <c r="C1045" s="39"/>
      <c r="D1045" s="611">
        <v>50</v>
      </c>
    </row>
    <row r="1046" spans="1:4" ht="15">
      <c r="A1046" s="21"/>
      <c r="B1046" s="39"/>
      <c r="C1046" s="39"/>
      <c r="D1046" s="611"/>
    </row>
    <row r="1047" spans="1:4" ht="31.5">
      <c r="A1047" s="67" t="s">
        <v>153</v>
      </c>
      <c r="B1047" s="1037" t="s">
        <v>3017</v>
      </c>
      <c r="C1047" s="1038" t="s">
        <v>3018</v>
      </c>
      <c r="D1047" s="1006" t="s">
        <v>3019</v>
      </c>
    </row>
    <row r="1048" spans="1:4" ht="15">
      <c r="A1048" s="21" t="s">
        <v>3027</v>
      </c>
      <c r="B1048" s="823" t="s">
        <v>3028</v>
      </c>
      <c r="C1048" s="1041" t="s">
        <v>3022</v>
      </c>
      <c r="D1048" s="1041" t="s">
        <v>149</v>
      </c>
    </row>
    <row r="1050" spans="1:4" ht="31.5">
      <c r="A1050" s="67" t="s">
        <v>153</v>
      </c>
      <c r="B1050" s="1037" t="s">
        <v>3017</v>
      </c>
      <c r="C1050" s="1038" t="s">
        <v>3018</v>
      </c>
      <c r="D1050" s="1006" t="s">
        <v>3019</v>
      </c>
    </row>
    <row r="1051" spans="1:4" ht="15">
      <c r="A1051" s="21" t="s">
        <v>3029</v>
      </c>
      <c r="B1051" s="1041" t="s">
        <v>3030</v>
      </c>
      <c r="C1051" s="1041" t="s">
        <v>3022</v>
      </c>
      <c r="D1051" s="1041" t="s">
        <v>149</v>
      </c>
    </row>
    <row r="1052" spans="1:4" ht="15">
      <c r="A1052" s="21" t="s">
        <v>2444</v>
      </c>
      <c r="B1052" s="1041" t="s">
        <v>3030</v>
      </c>
      <c r="C1052" s="1041" t="s">
        <v>3022</v>
      </c>
      <c r="D1052" s="1041" t="s">
        <v>149</v>
      </c>
    </row>
    <row r="1053" spans="1:4" ht="15">
      <c r="A1053" s="21" t="s">
        <v>3031</v>
      </c>
      <c r="B1053" s="1041" t="s">
        <v>3030</v>
      </c>
      <c r="C1053" s="1041" t="s">
        <v>3022</v>
      </c>
      <c r="D1053" s="1041" t="s">
        <v>149</v>
      </c>
    </row>
    <row r="1054" spans="1:4" ht="15">
      <c r="A1054" s="21" t="s">
        <v>2446</v>
      </c>
      <c r="B1054" s="1041" t="s">
        <v>3030</v>
      </c>
      <c r="C1054" s="1041" t="s">
        <v>3022</v>
      </c>
      <c r="D1054" s="1041" t="s">
        <v>149</v>
      </c>
    </row>
    <row r="1055" spans="1:4" ht="15">
      <c r="A1055" s="21" t="s">
        <v>2190</v>
      </c>
      <c r="B1055" s="1041" t="s">
        <v>3030</v>
      </c>
      <c r="C1055" s="1041" t="s">
        <v>3022</v>
      </c>
      <c r="D1055" s="1041" t="s">
        <v>149</v>
      </c>
    </row>
    <row r="1056" spans="1:4" ht="15">
      <c r="A1056" s="21" t="s">
        <v>2453</v>
      </c>
      <c r="B1056" s="1041" t="s">
        <v>3030</v>
      </c>
      <c r="C1056" s="1041" t="s">
        <v>3022</v>
      </c>
      <c r="D1056" s="1041" t="s">
        <v>149</v>
      </c>
    </row>
    <row r="1057" spans="1:4" ht="15">
      <c r="A1057" s="21" t="s">
        <v>2454</v>
      </c>
      <c r="B1057" s="1041" t="s">
        <v>3030</v>
      </c>
      <c r="C1057" s="1041" t="s">
        <v>3022</v>
      </c>
      <c r="D1057" s="1041" t="s">
        <v>149</v>
      </c>
    </row>
    <row r="1058" spans="1:4" ht="15">
      <c r="A1058" s="21" t="s">
        <v>3032</v>
      </c>
      <c r="B1058" s="1041" t="s">
        <v>3030</v>
      </c>
      <c r="C1058" s="1041" t="s">
        <v>3022</v>
      </c>
      <c r="D1058" s="1041" t="s">
        <v>149</v>
      </c>
    </row>
    <row r="1059" spans="1:4" ht="15">
      <c r="A1059" s="21" t="s">
        <v>2465</v>
      </c>
      <c r="B1059" s="1041" t="s">
        <v>3030</v>
      </c>
      <c r="C1059" s="1041" t="s">
        <v>3022</v>
      </c>
      <c r="D1059" s="1041" t="s">
        <v>149</v>
      </c>
    </row>
    <row r="1060" spans="1:4" ht="15">
      <c r="A1060" s="21" t="s">
        <v>2466</v>
      </c>
      <c r="B1060" s="1041" t="s">
        <v>3030</v>
      </c>
      <c r="C1060" s="1041" t="s">
        <v>3022</v>
      </c>
      <c r="D1060" s="1041" t="s">
        <v>149</v>
      </c>
    </row>
    <row r="1061" spans="1:4" ht="15">
      <c r="A1061" s="21" t="s">
        <v>3033</v>
      </c>
      <c r="B1061" s="1041" t="s">
        <v>3030</v>
      </c>
      <c r="C1061" s="1041" t="s">
        <v>3022</v>
      </c>
      <c r="D1061" s="1041" t="s">
        <v>149</v>
      </c>
    </row>
    <row r="1062" spans="1:4" ht="15">
      <c r="A1062" s="21" t="s">
        <v>2476</v>
      </c>
      <c r="B1062" s="1041" t="s">
        <v>3030</v>
      </c>
      <c r="C1062" s="1041" t="s">
        <v>3022</v>
      </c>
      <c r="D1062" s="1041" t="s">
        <v>149</v>
      </c>
    </row>
    <row r="1063" spans="1:4" ht="15">
      <c r="A1063" s="21" t="s">
        <v>3034</v>
      </c>
      <c r="B1063" s="1041" t="s">
        <v>3030</v>
      </c>
      <c r="C1063" s="1041" t="s">
        <v>3022</v>
      </c>
      <c r="D1063" s="1041" t="s">
        <v>149</v>
      </c>
    </row>
    <row r="1064" spans="1:4" ht="15">
      <c r="A1064" s="21" t="s">
        <v>3035</v>
      </c>
      <c r="B1064" s="1041" t="s">
        <v>3030</v>
      </c>
      <c r="C1064" s="1041" t="s">
        <v>3022</v>
      </c>
      <c r="D1064" s="1041" t="s">
        <v>149</v>
      </c>
    </row>
    <row r="1065" spans="1:4" ht="15">
      <c r="A1065" s="21" t="s">
        <v>3036</v>
      </c>
      <c r="B1065" s="1041" t="s">
        <v>3030</v>
      </c>
      <c r="C1065" s="1041" t="s">
        <v>3022</v>
      </c>
      <c r="D1065" s="1041" t="s">
        <v>149</v>
      </c>
    </row>
    <row r="1066" spans="1:4" ht="15">
      <c r="A1066" s="21" t="s">
        <v>3037</v>
      </c>
      <c r="B1066" s="1041" t="s">
        <v>3030</v>
      </c>
      <c r="C1066" s="1041" t="s">
        <v>3022</v>
      </c>
      <c r="D1066" s="1041" t="s">
        <v>149</v>
      </c>
    </row>
    <row r="1067" spans="1:4" ht="15">
      <c r="A1067" s="21" t="s">
        <v>3038</v>
      </c>
      <c r="B1067" s="1041" t="s">
        <v>3030</v>
      </c>
      <c r="C1067" s="1041" t="s">
        <v>3022</v>
      </c>
      <c r="D1067" s="1041" t="s">
        <v>149</v>
      </c>
    </row>
    <row r="1068" spans="1:4" ht="15">
      <c r="A1068" s="21"/>
      <c r="B1068" s="1042"/>
      <c r="C1068" s="1042"/>
      <c r="D1068" s="1042"/>
    </row>
    <row r="1069" spans="1:4" ht="15.75">
      <c r="A1069" s="67" t="s">
        <v>153</v>
      </c>
      <c r="B1069" s="96" t="s">
        <v>3039</v>
      </c>
      <c r="C1069" s="96" t="s">
        <v>3040</v>
      </c>
      <c r="D1069" s="96" t="s">
        <v>3041</v>
      </c>
    </row>
    <row r="1070" spans="1:4" ht="15">
      <c r="A1070" s="21" t="s">
        <v>2437</v>
      </c>
      <c r="B1070" s="62">
        <v>3</v>
      </c>
      <c r="C1070" s="1041" t="s">
        <v>3042</v>
      </c>
      <c r="D1070" s="21">
        <v>285</v>
      </c>
    </row>
    <row r="1071" spans="1:4" ht="15">
      <c r="A1071" s="21" t="s">
        <v>2438</v>
      </c>
      <c r="B1071" s="62">
        <v>3</v>
      </c>
      <c r="C1071" s="1041" t="s">
        <v>3042</v>
      </c>
      <c r="D1071" s="21">
        <v>214</v>
      </c>
    </row>
    <row r="1072" spans="1:4" ht="15">
      <c r="A1072" s="21" t="s">
        <v>2439</v>
      </c>
      <c r="B1072" s="62">
        <v>3</v>
      </c>
      <c r="C1072" s="1041" t="s">
        <v>3042</v>
      </c>
      <c r="D1072" s="21">
        <v>85</v>
      </c>
    </row>
    <row r="1073" spans="1:4" ht="15">
      <c r="A1073" s="21" t="s">
        <v>2440</v>
      </c>
      <c r="B1073" s="62">
        <v>3</v>
      </c>
      <c r="C1073" s="1041" t="s">
        <v>3043</v>
      </c>
      <c r="D1073" s="21">
        <v>140</v>
      </c>
    </row>
    <row r="1074" spans="1:4" ht="15">
      <c r="A1074" s="21" t="s">
        <v>2441</v>
      </c>
      <c r="B1074" s="62">
        <v>3</v>
      </c>
      <c r="C1074" s="1041" t="s">
        <v>3043</v>
      </c>
      <c r="D1074" s="21">
        <v>154</v>
      </c>
    </row>
    <row r="1075" spans="1:4" ht="15">
      <c r="A1075" s="21" t="s">
        <v>2442</v>
      </c>
      <c r="B1075" s="62">
        <v>3</v>
      </c>
      <c r="C1075" s="1041" t="s">
        <v>3043</v>
      </c>
      <c r="D1075" s="21">
        <v>83</v>
      </c>
    </row>
    <row r="1076" spans="1:4" ht="15">
      <c r="A1076" s="21" t="s">
        <v>2443</v>
      </c>
      <c r="B1076" s="62">
        <v>3</v>
      </c>
      <c r="C1076" s="1041" t="s">
        <v>3043</v>
      </c>
      <c r="D1076" s="21">
        <v>280</v>
      </c>
    </row>
    <row r="1077" spans="1:4" ht="15">
      <c r="A1077" s="21" t="s">
        <v>2444</v>
      </c>
      <c r="B1077" s="62">
        <v>3</v>
      </c>
      <c r="C1077" s="1041" t="s">
        <v>3043</v>
      </c>
      <c r="D1077" s="21">
        <v>285</v>
      </c>
    </row>
    <row r="1078" spans="1:4" ht="15">
      <c r="A1078" s="21" t="s">
        <v>2445</v>
      </c>
      <c r="B1078" s="62">
        <v>3</v>
      </c>
      <c r="C1078" s="1041" t="s">
        <v>3043</v>
      </c>
      <c r="D1078" s="21">
        <v>408</v>
      </c>
    </row>
    <row r="1079" spans="1:4" ht="15">
      <c r="A1079" s="21" t="s">
        <v>2446</v>
      </c>
      <c r="B1079" s="62">
        <v>3</v>
      </c>
      <c r="C1079" s="1041" t="s">
        <v>3043</v>
      </c>
      <c r="D1079" s="21">
        <v>253</v>
      </c>
    </row>
    <row r="1080" spans="1:4" ht="15">
      <c r="A1080" s="21" t="s">
        <v>132</v>
      </c>
      <c r="B1080" s="62">
        <v>3</v>
      </c>
      <c r="C1080" s="1041" t="s">
        <v>3043</v>
      </c>
      <c r="D1080" s="21">
        <v>80</v>
      </c>
    </row>
    <row r="1081" spans="1:4" ht="15">
      <c r="A1081" s="21" t="s">
        <v>2447</v>
      </c>
      <c r="B1081" s="62">
        <v>3</v>
      </c>
      <c r="C1081" s="1041" t="s">
        <v>3043</v>
      </c>
      <c r="D1081" s="21">
        <v>340</v>
      </c>
    </row>
    <row r="1082" spans="1:4" ht="15">
      <c r="A1082" s="21" t="s">
        <v>2449</v>
      </c>
      <c r="B1082" s="62">
        <v>3</v>
      </c>
      <c r="C1082" s="1041" t="s">
        <v>3043</v>
      </c>
      <c r="D1082" s="21">
        <v>44</v>
      </c>
    </row>
    <row r="1083" spans="1:4" ht="15">
      <c r="A1083" s="21" t="s">
        <v>193</v>
      </c>
      <c r="B1083" s="62">
        <v>3</v>
      </c>
      <c r="C1083" s="1041" t="s">
        <v>3043</v>
      </c>
      <c r="D1083" s="21">
        <v>79</v>
      </c>
    </row>
    <row r="1084" spans="1:4" ht="15">
      <c r="A1084" s="21" t="s">
        <v>2450</v>
      </c>
      <c r="B1084" s="62">
        <v>3</v>
      </c>
      <c r="C1084" s="1041" t="s">
        <v>3043</v>
      </c>
      <c r="D1084" s="21">
        <v>119</v>
      </c>
    </row>
    <row r="1085" spans="1:4" ht="15">
      <c r="A1085" s="21" t="s">
        <v>293</v>
      </c>
      <c r="B1085" s="62">
        <v>3</v>
      </c>
      <c r="C1085" s="1041" t="s">
        <v>3043</v>
      </c>
      <c r="D1085" s="21">
        <v>189</v>
      </c>
    </row>
    <row r="1086" spans="1:4" ht="15">
      <c r="A1086" s="21" t="s">
        <v>2451</v>
      </c>
      <c r="B1086" s="62">
        <v>3</v>
      </c>
      <c r="C1086" s="1041" t="s">
        <v>3043</v>
      </c>
      <c r="D1086" s="21">
        <v>105</v>
      </c>
    </row>
    <row r="1087" spans="1:4" ht="15">
      <c r="A1087" s="21" t="s">
        <v>2452</v>
      </c>
      <c r="B1087" s="62">
        <v>3</v>
      </c>
      <c r="C1087" s="1041" t="s">
        <v>3043</v>
      </c>
      <c r="D1087" s="21">
        <v>45</v>
      </c>
    </row>
    <row r="1088" spans="1:4" ht="15">
      <c r="A1088" s="21" t="s">
        <v>2179</v>
      </c>
      <c r="B1088" s="62">
        <v>3</v>
      </c>
      <c r="C1088" s="1041" t="s">
        <v>3043</v>
      </c>
      <c r="D1088" s="21">
        <v>111</v>
      </c>
    </row>
    <row r="1089" spans="1:9" ht="15">
      <c r="A1089" s="21" t="s">
        <v>2453</v>
      </c>
      <c r="B1089" s="62">
        <v>3</v>
      </c>
      <c r="C1089" s="1041" t="s">
        <v>3043</v>
      </c>
      <c r="D1089" s="21">
        <v>45</v>
      </c>
    </row>
    <row r="1090" spans="1:9" ht="15">
      <c r="A1090" s="21" t="s">
        <v>2454</v>
      </c>
      <c r="B1090" s="62">
        <v>3</v>
      </c>
      <c r="C1090" s="1041" t="s">
        <v>3043</v>
      </c>
      <c r="D1090" s="21">
        <v>38</v>
      </c>
    </row>
    <row r="1091" spans="1:9" ht="15">
      <c r="A1091" s="21" t="s">
        <v>2190</v>
      </c>
      <c r="B1091" s="62">
        <v>3</v>
      </c>
      <c r="C1091" s="1041" t="s">
        <v>3043</v>
      </c>
      <c r="D1091" s="21">
        <v>175</v>
      </c>
    </row>
    <row r="1092" spans="1:9" ht="15">
      <c r="A1092" s="21" t="s">
        <v>2455</v>
      </c>
      <c r="B1092" s="62">
        <v>3</v>
      </c>
      <c r="C1092" s="1041" t="s">
        <v>3043</v>
      </c>
      <c r="D1092" s="21">
        <v>40</v>
      </c>
    </row>
    <row r="1093" spans="1:9" ht="15">
      <c r="A1093" s="21" t="s">
        <v>2458</v>
      </c>
      <c r="B1093" s="62">
        <v>3</v>
      </c>
      <c r="C1093" s="1041" t="s">
        <v>3043</v>
      </c>
      <c r="D1093" s="21">
        <v>148</v>
      </c>
    </row>
    <row r="1094" spans="1:9" ht="15">
      <c r="A1094" s="21" t="s">
        <v>131</v>
      </c>
      <c r="B1094" s="62">
        <v>3</v>
      </c>
      <c r="C1094" s="1041" t="s">
        <v>3043</v>
      </c>
      <c r="D1094" s="21">
        <v>228</v>
      </c>
    </row>
    <row r="1095" spans="1:9" ht="15">
      <c r="A1095" s="21" t="s">
        <v>2460</v>
      </c>
      <c r="B1095" s="62">
        <v>3</v>
      </c>
      <c r="C1095" s="1041" t="s">
        <v>3043</v>
      </c>
      <c r="D1095" s="21">
        <v>146</v>
      </c>
    </row>
    <row r="1096" spans="1:9" ht="15">
      <c r="A1096" s="21" t="s">
        <v>3029</v>
      </c>
      <c r="B1096" s="207" t="s">
        <v>3044</v>
      </c>
      <c r="C1096" s="1041" t="s">
        <v>3043</v>
      </c>
      <c r="D1096" s="21">
        <v>250</v>
      </c>
    </row>
    <row r="1097" spans="1:9" ht="15">
      <c r="A1097" s="21" t="s">
        <v>3031</v>
      </c>
      <c r="B1097" s="207" t="s">
        <v>3044</v>
      </c>
      <c r="C1097" s="1041" t="s">
        <v>3043</v>
      </c>
      <c r="D1097" s="21">
        <v>277</v>
      </c>
    </row>
    <row r="1098" spans="1:9" ht="15">
      <c r="A1098" s="21" t="s">
        <v>3032</v>
      </c>
      <c r="B1098" s="207" t="s">
        <v>3044</v>
      </c>
      <c r="C1098" s="1041" t="s">
        <v>3043</v>
      </c>
      <c r="D1098" s="21">
        <v>68</v>
      </c>
    </row>
    <row r="1101" spans="1:9" ht="15.75">
      <c r="A1101" s="67" t="s">
        <v>153</v>
      </c>
      <c r="B1101" s="96" t="s">
        <v>3039</v>
      </c>
      <c r="C1101" s="96" t="s">
        <v>3040</v>
      </c>
      <c r="D1101" s="96" t="s">
        <v>3041</v>
      </c>
    </row>
    <row r="1102" spans="1:9" ht="15">
      <c r="A1102" s="21" t="s">
        <v>67</v>
      </c>
      <c r="B1102" s="62">
        <v>3</v>
      </c>
      <c r="C1102" s="1041" t="s">
        <v>3043</v>
      </c>
      <c r="D1102" s="21">
        <v>115</v>
      </c>
      <c r="E1102" s="22"/>
      <c r="F1102" s="22"/>
      <c r="G1102" s="13"/>
      <c r="H1102" s="11">
        <v>115</v>
      </c>
      <c r="I1102" s="11"/>
    </row>
    <row r="1103" spans="1:9" ht="15">
      <c r="A1103" s="21" t="s">
        <v>124</v>
      </c>
      <c r="B1103" s="62">
        <v>3</v>
      </c>
      <c r="C1103" s="1041" t="s">
        <v>3043</v>
      </c>
      <c r="D1103" s="21">
        <v>83</v>
      </c>
      <c r="E1103" s="22"/>
      <c r="F1103" s="22"/>
      <c r="G1103" s="13"/>
      <c r="H1103" s="11">
        <v>83</v>
      </c>
      <c r="I1103" s="11"/>
    </row>
    <row r="1104" spans="1:9" ht="15">
      <c r="A1104" s="21" t="s">
        <v>2461</v>
      </c>
      <c r="B1104" s="62">
        <v>3</v>
      </c>
      <c r="C1104" s="1041" t="s">
        <v>3043</v>
      </c>
      <c r="D1104" s="21">
        <v>166</v>
      </c>
      <c r="E1104" s="22"/>
      <c r="F1104" s="22"/>
      <c r="G1104" s="13"/>
      <c r="H1104" s="11">
        <v>166</v>
      </c>
      <c r="I1104" s="11"/>
    </row>
    <row r="1105" spans="1:9" ht="15">
      <c r="A1105" s="21" t="s">
        <v>2462</v>
      </c>
      <c r="B1105" s="62">
        <v>3</v>
      </c>
      <c r="C1105" s="1041" t="s">
        <v>3043</v>
      </c>
      <c r="D1105" s="21">
        <v>166</v>
      </c>
      <c r="E1105" s="22"/>
      <c r="F1105" s="22"/>
      <c r="G1105" s="13"/>
      <c r="H1105" s="11">
        <v>166</v>
      </c>
      <c r="I1105" s="11"/>
    </row>
    <row r="1106" spans="1:9" ht="15">
      <c r="A1106" s="21" t="s">
        <v>2463</v>
      </c>
      <c r="B1106" s="62">
        <v>3</v>
      </c>
      <c r="C1106" s="1041" t="s">
        <v>3043</v>
      </c>
      <c r="D1106" s="21">
        <v>88</v>
      </c>
      <c r="E1106" s="22"/>
      <c r="F1106" s="22"/>
      <c r="G1106" s="13"/>
      <c r="H1106" s="11">
        <v>88</v>
      </c>
      <c r="I1106" s="11"/>
    </row>
    <row r="1107" spans="1:9" ht="15">
      <c r="A1107" s="21" t="s">
        <v>70</v>
      </c>
      <c r="B1107" s="62">
        <v>3</v>
      </c>
      <c r="C1107" s="1041" t="s">
        <v>3043</v>
      </c>
      <c r="D1107" s="21">
        <v>112</v>
      </c>
      <c r="E1107" s="22"/>
      <c r="F1107" s="22"/>
      <c r="G1107" s="836"/>
      <c r="H1107" s="11">
        <v>112</v>
      </c>
      <c r="I1107" s="11"/>
    </row>
    <row r="1108" spans="1:9" ht="15">
      <c r="A1108" s="21" t="s">
        <v>105</v>
      </c>
      <c r="B1108" s="62">
        <v>3</v>
      </c>
      <c r="C1108" s="1041" t="s">
        <v>3043</v>
      </c>
      <c r="D1108" s="21">
        <v>46</v>
      </c>
      <c r="E1108" s="22"/>
      <c r="F1108" s="22"/>
      <c r="G1108" s="836"/>
      <c r="H1108" s="11">
        <v>46</v>
      </c>
      <c r="I1108" s="11"/>
    </row>
    <row r="1109" spans="1:9" ht="15">
      <c r="A1109" s="21" t="s">
        <v>2465</v>
      </c>
      <c r="B1109" s="62">
        <v>3</v>
      </c>
      <c r="C1109" s="1041" t="s">
        <v>3043</v>
      </c>
      <c r="D1109" s="21">
        <v>155</v>
      </c>
      <c r="E1109" s="22"/>
      <c r="F1109" s="22"/>
      <c r="G1109" s="13"/>
      <c r="H1109" s="11">
        <v>155</v>
      </c>
      <c r="I1109" s="11"/>
    </row>
    <row r="1110" spans="1:9" ht="15">
      <c r="A1110" s="21" t="s">
        <v>2466</v>
      </c>
      <c r="B1110" s="62">
        <v>3</v>
      </c>
      <c r="C1110" s="1041" t="s">
        <v>3043</v>
      </c>
      <c r="D1110" s="21">
        <v>135</v>
      </c>
      <c r="E1110" s="22"/>
      <c r="F1110" s="22"/>
      <c r="G1110" s="13"/>
      <c r="H1110" s="11">
        <v>135</v>
      </c>
      <c r="I1110" s="11"/>
    </row>
    <row r="1111" spans="1:9" ht="15">
      <c r="A1111" s="21" t="s">
        <v>2467</v>
      </c>
      <c r="B1111" s="62">
        <v>3</v>
      </c>
      <c r="C1111" s="1041" t="s">
        <v>3043</v>
      </c>
      <c r="D1111" s="21">
        <v>110</v>
      </c>
      <c r="E1111" s="22"/>
      <c r="F1111" s="22"/>
      <c r="G1111" s="13"/>
      <c r="H1111" s="11">
        <v>110</v>
      </c>
      <c r="I1111" s="11"/>
    </row>
    <row r="1112" spans="1:9" ht="15">
      <c r="A1112" s="21" t="s">
        <v>3033</v>
      </c>
      <c r="B1112" s="207" t="s">
        <v>3044</v>
      </c>
      <c r="C1112" s="1041" t="s">
        <v>3043</v>
      </c>
      <c r="D1112" s="21">
        <v>145</v>
      </c>
    </row>
    <row r="1114" spans="1:9" ht="15.75">
      <c r="A1114" s="67" t="s">
        <v>153</v>
      </c>
      <c r="B1114" s="96" t="s">
        <v>3039</v>
      </c>
      <c r="C1114" s="96" t="s">
        <v>3040</v>
      </c>
      <c r="D1114" s="96" t="s">
        <v>3041</v>
      </c>
    </row>
    <row r="1115" spans="1:9" ht="15">
      <c r="A1115" s="21" t="s">
        <v>2468</v>
      </c>
      <c r="B1115" s="62">
        <v>3</v>
      </c>
      <c r="C1115" s="1041" t="s">
        <v>3043</v>
      </c>
      <c r="D1115" s="21">
        <v>125</v>
      </c>
      <c r="E1115" s="11">
        <v>125</v>
      </c>
    </row>
    <row r="1116" spans="1:9" ht="15">
      <c r="A1116" s="21" t="s">
        <v>2469</v>
      </c>
      <c r="B1116" s="62">
        <v>3</v>
      </c>
      <c r="C1116" s="1041" t="s">
        <v>3043</v>
      </c>
      <c r="D1116" s="21">
        <v>170</v>
      </c>
      <c r="E1116" s="11">
        <v>170</v>
      </c>
    </row>
    <row r="1117" spans="1:9" ht="15">
      <c r="A1117" s="21" t="s">
        <v>2470</v>
      </c>
      <c r="B1117" s="62">
        <v>3</v>
      </c>
      <c r="C1117" s="1041" t="s">
        <v>3043</v>
      </c>
      <c r="D1117" s="21">
        <v>190</v>
      </c>
      <c r="E1117" s="11">
        <v>190</v>
      </c>
    </row>
    <row r="1118" spans="1:9" ht="15">
      <c r="A1118" s="21" t="s">
        <v>2471</v>
      </c>
      <c r="B1118" s="62">
        <v>3</v>
      </c>
      <c r="C1118" s="1041" t="s">
        <v>3043</v>
      </c>
      <c r="D1118" s="21">
        <v>318</v>
      </c>
      <c r="E1118" s="11">
        <v>318</v>
      </c>
    </row>
    <row r="1119" spans="1:9" ht="15">
      <c r="A1119" s="21" t="s">
        <v>2472</v>
      </c>
      <c r="B1119" s="62">
        <v>3</v>
      </c>
      <c r="C1119" s="1041" t="s">
        <v>3043</v>
      </c>
      <c r="D1119" s="21">
        <v>283</v>
      </c>
      <c r="E1119" s="11">
        <v>283</v>
      </c>
    </row>
    <row r="1120" spans="1:9" ht="15">
      <c r="A1120" s="21" t="s">
        <v>2473</v>
      </c>
      <c r="B1120" s="62">
        <v>3</v>
      </c>
      <c r="C1120" s="1041" t="s">
        <v>3043</v>
      </c>
      <c r="D1120" s="21">
        <v>310</v>
      </c>
      <c r="E1120" s="11">
        <v>310</v>
      </c>
    </row>
    <row r="1121" spans="1:5" ht="15">
      <c r="A1121" s="21" t="s">
        <v>2474</v>
      </c>
      <c r="B1121" s="62">
        <v>3</v>
      </c>
      <c r="C1121" s="1041" t="s">
        <v>3043</v>
      </c>
      <c r="D1121" s="21">
        <v>300</v>
      </c>
      <c r="E1121" s="11">
        <v>300</v>
      </c>
    </row>
    <row r="1122" spans="1:5" ht="15">
      <c r="A1122" s="21" t="s">
        <v>2475</v>
      </c>
      <c r="B1122" s="62">
        <v>3</v>
      </c>
      <c r="C1122" s="1041" t="s">
        <v>3043</v>
      </c>
      <c r="D1122" s="21">
        <v>77</v>
      </c>
      <c r="E1122" s="11">
        <v>77</v>
      </c>
    </row>
    <row r="1123" spans="1:5" ht="15">
      <c r="A1123" s="21" t="s">
        <v>2476</v>
      </c>
      <c r="B1123" s="62">
        <v>3</v>
      </c>
      <c r="C1123" s="1041" t="s">
        <v>3043</v>
      </c>
      <c r="D1123" s="21">
        <v>120</v>
      </c>
      <c r="E1123" s="11">
        <v>120</v>
      </c>
    </row>
    <row r="1124" spans="1:5" ht="15">
      <c r="A1124" s="21" t="s">
        <v>2477</v>
      </c>
      <c r="B1124" s="62">
        <v>3</v>
      </c>
      <c r="C1124" s="1041" t="s">
        <v>3043</v>
      </c>
      <c r="D1124" s="21">
        <v>240</v>
      </c>
      <c r="E1124" s="11">
        <v>240</v>
      </c>
    </row>
    <row r="1125" spans="1:5" ht="15">
      <c r="A1125" s="21" t="s">
        <v>2478</v>
      </c>
      <c r="B1125" s="62">
        <v>3</v>
      </c>
      <c r="C1125" s="1041" t="s">
        <v>3043</v>
      </c>
      <c r="D1125" s="21">
        <v>198</v>
      </c>
      <c r="E1125" s="11">
        <v>198</v>
      </c>
    </row>
    <row r="1126" spans="1:5" ht="15">
      <c r="A1126" s="21" t="s">
        <v>2479</v>
      </c>
      <c r="B1126" s="62">
        <v>3</v>
      </c>
      <c r="C1126" s="1041" t="s">
        <v>3043</v>
      </c>
      <c r="D1126" s="21">
        <v>95</v>
      </c>
      <c r="E1126" s="11">
        <v>95</v>
      </c>
    </row>
    <row r="1127" spans="1:5" ht="15">
      <c r="A1127" s="21" t="s">
        <v>3034</v>
      </c>
      <c r="B1127" s="207" t="s">
        <v>3044</v>
      </c>
      <c r="C1127" s="1041" t="s">
        <v>3043</v>
      </c>
      <c r="D1127" s="21">
        <v>168</v>
      </c>
    </row>
    <row r="1128" spans="1:5" ht="15">
      <c r="A1128" s="21" t="s">
        <v>3035</v>
      </c>
      <c r="B1128" s="207" t="s">
        <v>3044</v>
      </c>
      <c r="C1128" s="1041" t="s">
        <v>3043</v>
      </c>
      <c r="D1128" s="21">
        <v>135</v>
      </c>
    </row>
    <row r="1129" spans="1:5" ht="15">
      <c r="A1129" s="21" t="s">
        <v>3036</v>
      </c>
      <c r="B1129" s="207" t="s">
        <v>3044</v>
      </c>
      <c r="C1129" s="1041" t="s">
        <v>3043</v>
      </c>
      <c r="D1129" s="21">
        <v>70</v>
      </c>
    </row>
    <row r="1131" spans="1:5" ht="15.75">
      <c r="A1131" s="67" t="s">
        <v>153</v>
      </c>
      <c r="B1131" s="96" t="s">
        <v>3039</v>
      </c>
      <c r="C1131" s="96" t="s">
        <v>3040</v>
      </c>
      <c r="D1131" s="96" t="s">
        <v>3041</v>
      </c>
    </row>
    <row r="1132" spans="1:5" ht="15">
      <c r="A1132" s="21" t="s">
        <v>2480</v>
      </c>
      <c r="B1132" s="62">
        <v>3</v>
      </c>
      <c r="C1132" s="1041" t="s">
        <v>3043</v>
      </c>
      <c r="D1132" s="21">
        <v>125</v>
      </c>
    </row>
    <row r="1133" spans="1:5" ht="15">
      <c r="A1133" s="11"/>
      <c r="B1133" s="1043"/>
      <c r="C1133" s="1042"/>
      <c r="D1133" s="11"/>
    </row>
    <row r="1134" spans="1:5" ht="15.75">
      <c r="A1134" s="67" t="s">
        <v>153</v>
      </c>
      <c r="B1134" s="96" t="s">
        <v>3039</v>
      </c>
      <c r="C1134" s="96" t="s">
        <v>3040</v>
      </c>
      <c r="D1134" s="96" t="s">
        <v>3041</v>
      </c>
    </row>
    <row r="1135" spans="1:5" ht="15">
      <c r="A1135" s="21" t="s">
        <v>2482</v>
      </c>
      <c r="B1135" s="62">
        <v>3</v>
      </c>
      <c r="C1135" s="1041" t="s">
        <v>3043</v>
      </c>
      <c r="D1135" s="21">
        <v>93</v>
      </c>
    </row>
    <row r="1136" spans="1:5" ht="15">
      <c r="A1136" s="21" t="s">
        <v>2483</v>
      </c>
      <c r="B1136" s="62">
        <v>3</v>
      </c>
      <c r="C1136" s="1041" t="s">
        <v>3043</v>
      </c>
      <c r="D1136" s="21">
        <v>68</v>
      </c>
    </row>
    <row r="1137" spans="1:13" ht="15.75">
      <c r="A1137" s="67" t="s">
        <v>153</v>
      </c>
      <c r="B1137" s="96" t="s">
        <v>3039</v>
      </c>
    </row>
    <row r="1138" spans="1:13" ht="15">
      <c r="A1138" s="21" t="s">
        <v>2416</v>
      </c>
      <c r="B1138" s="62">
        <v>5</v>
      </c>
    </row>
    <row r="1139" spans="1:13" ht="15">
      <c r="A1139" s="21" t="s">
        <v>2419</v>
      </c>
      <c r="B1139" s="62">
        <v>5</v>
      </c>
    </row>
    <row r="1140" spans="1:13" ht="15">
      <c r="A1140" s="21" t="s">
        <v>2430</v>
      </c>
      <c r="B1140" s="62">
        <v>3</v>
      </c>
    </row>
    <row r="1141" spans="1:13" ht="15">
      <c r="A1141" s="21" t="s">
        <v>2431</v>
      </c>
      <c r="B1141" s="62">
        <v>3</v>
      </c>
    </row>
    <row r="1142" spans="1:13" ht="15">
      <c r="A1142" s="21" t="s">
        <v>2432</v>
      </c>
      <c r="B1142" s="62">
        <v>3</v>
      </c>
    </row>
    <row r="1143" spans="1:13" ht="15">
      <c r="A1143" s="21" t="s">
        <v>2433</v>
      </c>
      <c r="B1143" s="62">
        <v>3</v>
      </c>
    </row>
    <row r="1144" spans="1:13" ht="15">
      <c r="A1144" s="21" t="s">
        <v>2434</v>
      </c>
      <c r="B1144" s="62">
        <v>3</v>
      </c>
    </row>
    <row r="1147" spans="1:13" s="7" customFormat="1" ht="32.25" customHeight="1">
      <c r="A1147" s="67" t="s">
        <v>153</v>
      </c>
      <c r="B1147" s="1037" t="s">
        <v>3017</v>
      </c>
      <c r="C1147" s="1038" t="s">
        <v>3018</v>
      </c>
      <c r="D1147" s="1006" t="s">
        <v>3045</v>
      </c>
      <c r="E1147" s="13"/>
      <c r="F1147" s="10"/>
      <c r="G1147" s="13"/>
      <c r="H1147" s="6" t="s">
        <v>3</v>
      </c>
      <c r="I1147" s="6"/>
      <c r="J1147" s="100"/>
      <c r="K1147" s="100"/>
    </row>
    <row r="1148" spans="1:13" s="7" customFormat="1" ht="15">
      <c r="A1148" s="21" t="s">
        <v>2416</v>
      </c>
      <c r="B1148" s="62">
        <v>5</v>
      </c>
      <c r="C1148" s="1041" t="s">
        <v>3046</v>
      </c>
      <c r="D1148" s="611">
        <v>1.01</v>
      </c>
      <c r="E1148" s="694"/>
      <c r="F1148" s="688"/>
      <c r="G1148" s="689"/>
      <c r="H1148" s="22"/>
      <c r="I1148" s="22"/>
      <c r="J1148" s="22"/>
      <c r="K1148" s="13"/>
      <c r="L1148" s="11">
        <v>50</v>
      </c>
      <c r="M1148" s="63" t="s">
        <v>2410</v>
      </c>
    </row>
    <row r="1149" spans="1:13" s="7" customFormat="1" ht="15">
      <c r="A1149" s="21" t="s">
        <v>2419</v>
      </c>
      <c r="B1149" s="62">
        <v>5</v>
      </c>
      <c r="C1149" s="1041" t="s">
        <v>3046</v>
      </c>
      <c r="D1149" s="611">
        <v>0.93</v>
      </c>
      <c r="E1149" s="694"/>
      <c r="F1149" s="688"/>
      <c r="G1149" s="689"/>
      <c r="H1149" s="22"/>
      <c r="I1149" s="22"/>
      <c r="J1149" s="22"/>
      <c r="K1149" s="13"/>
      <c r="L1149" s="11">
        <v>46</v>
      </c>
      <c r="M1149" s="63" t="s">
        <v>2410</v>
      </c>
    </row>
    <row r="1150" spans="1:13" s="7" customFormat="1" ht="15">
      <c r="A1150" s="21" t="s">
        <v>2420</v>
      </c>
      <c r="B1150" s="62">
        <v>3</v>
      </c>
      <c r="C1150" s="1041" t="s">
        <v>3022</v>
      </c>
      <c r="D1150" s="822">
        <v>1.1299999999999999</v>
      </c>
      <c r="E1150" s="1044"/>
      <c r="F1150" s="688">
        <v>44084</v>
      </c>
      <c r="G1150" s="689"/>
      <c r="H1150" s="22"/>
      <c r="I1150" s="22"/>
      <c r="J1150" s="22"/>
      <c r="K1150" s="13"/>
      <c r="L1150" s="11">
        <v>74</v>
      </c>
      <c r="M1150" s="63"/>
    </row>
    <row r="1151" spans="1:13" s="7" customFormat="1" ht="15">
      <c r="A1151" s="21" t="s">
        <v>2423</v>
      </c>
      <c r="B1151" s="62">
        <v>3</v>
      </c>
      <c r="C1151" s="1041" t="s">
        <v>3022</v>
      </c>
      <c r="D1151" s="822">
        <v>1.17</v>
      </c>
      <c r="E1151" s="1044"/>
      <c r="F1151" s="688">
        <v>44084</v>
      </c>
      <c r="G1151" s="689"/>
      <c r="H1151" s="22"/>
      <c r="I1151" s="22"/>
      <c r="J1151" s="22"/>
      <c r="K1151" s="13"/>
      <c r="L1151" s="11">
        <v>77</v>
      </c>
      <c r="M1151" s="63"/>
    </row>
    <row r="1152" spans="1:13" s="7" customFormat="1" ht="15">
      <c r="A1152" s="21" t="s">
        <v>2424</v>
      </c>
      <c r="B1152" s="62">
        <v>3</v>
      </c>
      <c r="C1152" s="1041" t="s">
        <v>3022</v>
      </c>
      <c r="D1152" s="822">
        <v>2.08</v>
      </c>
      <c r="E1152" s="1044"/>
      <c r="F1152" s="688">
        <v>44084</v>
      </c>
      <c r="G1152" s="689"/>
      <c r="H1152" s="22"/>
      <c r="I1152" s="22"/>
      <c r="J1152" s="22"/>
      <c r="K1152" s="13"/>
      <c r="L1152" s="11">
        <v>137</v>
      </c>
      <c r="M1152" s="63"/>
    </row>
    <row r="1153" spans="1:13" s="7" customFormat="1" ht="15">
      <c r="A1153" s="21" t="s">
        <v>2425</v>
      </c>
      <c r="B1153" s="62">
        <v>3</v>
      </c>
      <c r="C1153" s="1041" t="s">
        <v>3022</v>
      </c>
      <c r="D1153" s="822">
        <v>4.2300000000000004</v>
      </c>
      <c r="E1153" s="1044"/>
      <c r="F1153" s="688">
        <v>44084</v>
      </c>
      <c r="G1153" s="689"/>
      <c r="H1153" s="22"/>
      <c r="I1153" s="22"/>
      <c r="J1153" s="22"/>
      <c r="K1153" s="13"/>
      <c r="L1153" s="11">
        <v>279</v>
      </c>
      <c r="M1153" s="63"/>
    </row>
    <row r="1154" spans="1:13" s="7" customFormat="1" ht="15">
      <c r="A1154" s="21" t="s">
        <v>2426</v>
      </c>
      <c r="B1154" s="62">
        <v>3</v>
      </c>
      <c r="C1154" s="1041" t="s">
        <v>3022</v>
      </c>
      <c r="D1154" s="822">
        <v>1.05</v>
      </c>
      <c r="E1154" s="1044"/>
      <c r="F1154" s="688">
        <v>44084</v>
      </c>
      <c r="G1154" s="689"/>
      <c r="H1154" s="22"/>
      <c r="I1154" s="22"/>
      <c r="J1154" s="22"/>
      <c r="K1154" s="13"/>
      <c r="L1154" s="11">
        <v>69</v>
      </c>
      <c r="M1154" s="63"/>
    </row>
    <row r="1155" spans="1:13" s="7" customFormat="1" ht="15">
      <c r="A1155" s="21" t="s">
        <v>2428</v>
      </c>
      <c r="B1155" s="62">
        <v>3</v>
      </c>
      <c r="C1155" s="1041" t="s">
        <v>3022</v>
      </c>
      <c r="D1155" s="822">
        <v>3.55</v>
      </c>
      <c r="E1155" s="1044"/>
      <c r="F1155" s="688">
        <v>44084</v>
      </c>
      <c r="G1155" s="689"/>
      <c r="H1155" s="22"/>
      <c r="I1155" s="22"/>
      <c r="J1155" s="22"/>
      <c r="K1155" s="13"/>
      <c r="L1155" s="11">
        <v>234</v>
      </c>
      <c r="M1155" s="63"/>
    </row>
    <row r="1156" spans="1:13" s="7" customFormat="1" ht="15">
      <c r="A1156" s="21" t="s">
        <v>2429</v>
      </c>
      <c r="B1156" s="62">
        <v>3</v>
      </c>
      <c r="C1156" s="1041" t="s">
        <v>3022</v>
      </c>
      <c r="D1156" s="822">
        <v>2.2599999999999998</v>
      </c>
      <c r="E1156" s="1044"/>
      <c r="F1156" s="688">
        <v>44084</v>
      </c>
      <c r="G1156" s="689"/>
      <c r="H1156" s="22"/>
      <c r="I1156" s="22"/>
      <c r="J1156" s="22"/>
      <c r="K1156" s="13"/>
      <c r="L1156" s="11">
        <v>149</v>
      </c>
      <c r="M1156" s="63"/>
    </row>
    <row r="1157" spans="1:13" s="7" customFormat="1" ht="15">
      <c r="A1157" s="21" t="s">
        <v>2407</v>
      </c>
      <c r="B1157" s="62">
        <v>3</v>
      </c>
      <c r="C1157" s="1041" t="s">
        <v>3022</v>
      </c>
      <c r="D1157" s="822">
        <v>2.3199999999999998</v>
      </c>
      <c r="E1157" s="1044"/>
      <c r="F1157" s="688">
        <v>44084</v>
      </c>
      <c r="G1157" s="689"/>
      <c r="H1157" s="22"/>
      <c r="I1157" s="22"/>
      <c r="J1157" s="22"/>
      <c r="K1157" s="13"/>
      <c r="L1157" s="11">
        <v>153</v>
      </c>
      <c r="M1157" s="63"/>
    </row>
    <row r="1158" spans="1:13" s="7" customFormat="1" ht="15">
      <c r="A1158" s="21"/>
      <c r="B1158" s="823" t="s">
        <v>3047</v>
      </c>
      <c r="C1158" s="823"/>
      <c r="D1158" s="822">
        <v>200</v>
      </c>
      <c r="E1158" s="1044"/>
      <c r="F1158" s="688">
        <v>44084</v>
      </c>
      <c r="G1158" s="689"/>
      <c r="H1158" s="22"/>
      <c r="I1158" s="22"/>
      <c r="J1158" s="22"/>
      <c r="K1158" s="13"/>
      <c r="L1158" s="11">
        <v>2000</v>
      </c>
      <c r="M1158" s="63"/>
    </row>
    <row r="1159" spans="1:13" s="7" customFormat="1" ht="15">
      <c r="A1159" s="21" t="s">
        <v>2430</v>
      </c>
      <c r="B1159" s="62">
        <v>3</v>
      </c>
      <c r="C1159" s="1041" t="s">
        <v>3046</v>
      </c>
      <c r="D1159" s="822">
        <v>0.82</v>
      </c>
      <c r="E1159" s="1044"/>
      <c r="F1159" s="688"/>
      <c r="G1159" s="689"/>
      <c r="H1159" s="22"/>
      <c r="I1159" s="22"/>
      <c r="J1159" s="22"/>
      <c r="K1159" s="13"/>
      <c r="L1159" s="11">
        <v>54</v>
      </c>
      <c r="M1159" s="63"/>
    </row>
    <row r="1160" spans="1:13" s="7" customFormat="1" ht="15">
      <c r="A1160" s="21" t="s">
        <v>2431</v>
      </c>
      <c r="B1160" s="62">
        <v>3</v>
      </c>
      <c r="C1160" s="1041" t="s">
        <v>3046</v>
      </c>
      <c r="D1160" s="822">
        <v>2.4</v>
      </c>
      <c r="E1160" s="1044"/>
      <c r="F1160" s="688"/>
      <c r="G1160" s="689"/>
      <c r="H1160" s="22"/>
      <c r="I1160" s="22"/>
      <c r="J1160" s="22"/>
      <c r="K1160" s="13"/>
      <c r="L1160" s="11">
        <v>158</v>
      </c>
      <c r="M1160" s="63"/>
    </row>
    <row r="1161" spans="1:13" s="7" customFormat="1" ht="15">
      <c r="A1161" s="21" t="s">
        <v>2432</v>
      </c>
      <c r="B1161" s="62">
        <v>3</v>
      </c>
      <c r="C1161" s="1041" t="s">
        <v>3046</v>
      </c>
      <c r="D1161" s="822">
        <v>1.46</v>
      </c>
      <c r="E1161" s="1044"/>
      <c r="F1161" s="688"/>
      <c r="G1161" s="689"/>
      <c r="H1161" s="22"/>
      <c r="I1161" s="22"/>
      <c r="J1161" s="22"/>
      <c r="K1161" s="13"/>
      <c r="L1161" s="11">
        <v>96</v>
      </c>
      <c r="M1161" s="63"/>
    </row>
    <row r="1162" spans="1:13" s="7" customFormat="1" ht="15">
      <c r="A1162" s="21" t="s">
        <v>2433</v>
      </c>
      <c r="B1162" s="62">
        <v>3</v>
      </c>
      <c r="C1162" s="1041" t="s">
        <v>3046</v>
      </c>
      <c r="D1162" s="822">
        <v>0.97</v>
      </c>
      <c r="E1162" s="1044"/>
      <c r="F1162" s="688"/>
      <c r="G1162" s="689"/>
      <c r="H1162" s="22"/>
      <c r="I1162" s="22"/>
      <c r="J1162" s="22"/>
      <c r="K1162" s="13"/>
      <c r="L1162" s="11">
        <v>64</v>
      </c>
      <c r="M1162" s="63"/>
    </row>
    <row r="1163" spans="1:13" s="7" customFormat="1" ht="15">
      <c r="A1163" s="21" t="s">
        <v>2434</v>
      </c>
      <c r="B1163" s="62">
        <v>3</v>
      </c>
      <c r="C1163" s="1041" t="s">
        <v>3046</v>
      </c>
      <c r="D1163" s="822">
        <v>0.81</v>
      </c>
      <c r="E1163" s="1044"/>
      <c r="F1163" s="688"/>
      <c r="G1163" s="689"/>
      <c r="H1163" s="22"/>
      <c r="I1163" s="22"/>
      <c r="J1163" s="22"/>
      <c r="K1163" s="13"/>
      <c r="L1163" s="11">
        <v>53</v>
      </c>
      <c r="M1163" s="63"/>
    </row>
    <row r="1164" spans="1:13" s="7" customFormat="1" ht="31.5">
      <c r="A1164" s="67" t="s">
        <v>153</v>
      </c>
      <c r="B1164" s="1037" t="s">
        <v>3017</v>
      </c>
      <c r="C1164" s="1038" t="s">
        <v>3018</v>
      </c>
      <c r="D1164" s="1006" t="s">
        <v>3045</v>
      </c>
      <c r="E1164" s="13"/>
      <c r="F1164" s="10"/>
      <c r="G1164" s="13"/>
      <c r="H1164" s="6" t="s">
        <v>3</v>
      </c>
      <c r="I1164" s="6"/>
      <c r="J1164" s="100"/>
      <c r="K1164" s="100"/>
    </row>
    <row r="1165" spans="1:13" s="7" customFormat="1" ht="15">
      <c r="A1165" s="21" t="s">
        <v>2437</v>
      </c>
      <c r="B1165" s="62">
        <v>3</v>
      </c>
      <c r="C1165" s="1041" t="s">
        <v>3022</v>
      </c>
      <c r="D1165" s="598">
        <v>4.3199999999999994</v>
      </c>
      <c r="E1165" s="611"/>
      <c r="F1165" s="688"/>
      <c r="G1165" s="689"/>
      <c r="H1165" s="22"/>
      <c r="I1165" s="22"/>
      <c r="J1165" s="22"/>
      <c r="K1165" s="13">
        <f t="shared" ref="K1165:K1199" si="4">ROUNDUP(L1165/0.6/110,2)</f>
        <v>4.3199999999999994</v>
      </c>
      <c r="L1165" s="11">
        <v>285</v>
      </c>
      <c r="M1165" s="63"/>
    </row>
    <row r="1166" spans="1:13" s="7" customFormat="1" ht="15">
      <c r="A1166" s="21" t="s">
        <v>2438</v>
      </c>
      <c r="B1166" s="62">
        <v>3</v>
      </c>
      <c r="C1166" s="1041" t="s">
        <v>3022</v>
      </c>
      <c r="D1166" s="598">
        <v>3.25</v>
      </c>
      <c r="E1166" s="611"/>
      <c r="F1166" s="688"/>
      <c r="G1166" s="689"/>
      <c r="H1166" s="22"/>
      <c r="I1166" s="22"/>
      <c r="J1166" s="22"/>
      <c r="K1166" s="13">
        <f t="shared" si="4"/>
        <v>3.25</v>
      </c>
      <c r="L1166" s="11">
        <v>214</v>
      </c>
      <c r="M1166" s="63"/>
    </row>
    <row r="1167" spans="1:13" s="7" customFormat="1" ht="15">
      <c r="A1167" s="21" t="s">
        <v>2439</v>
      </c>
      <c r="B1167" s="62">
        <v>3</v>
      </c>
      <c r="C1167" s="1041" t="s">
        <v>3022</v>
      </c>
      <c r="D1167" s="598">
        <v>1.29</v>
      </c>
      <c r="E1167" s="611"/>
      <c r="F1167" s="688"/>
      <c r="G1167" s="689"/>
      <c r="H1167" s="22"/>
      <c r="I1167" s="22"/>
      <c r="J1167" s="22"/>
      <c r="K1167" s="13">
        <f t="shared" si="4"/>
        <v>1.29</v>
      </c>
      <c r="L1167" s="11">
        <v>85</v>
      </c>
      <c r="M1167" s="63"/>
    </row>
    <row r="1168" spans="1:13" s="7" customFormat="1" ht="15">
      <c r="A1168" s="21" t="s">
        <v>2440</v>
      </c>
      <c r="B1168" s="62">
        <v>3</v>
      </c>
      <c r="C1168" s="1041" t="s">
        <v>3022</v>
      </c>
      <c r="D1168" s="598">
        <v>2.13</v>
      </c>
      <c r="E1168" s="611"/>
      <c r="F1168" s="688"/>
      <c r="G1168" s="689"/>
      <c r="H1168" s="22"/>
      <c r="I1168" s="22"/>
      <c r="J1168" s="22"/>
      <c r="K1168" s="13">
        <f t="shared" si="4"/>
        <v>2.13</v>
      </c>
      <c r="L1168" s="11">
        <v>140</v>
      </c>
      <c r="M1168" s="63"/>
    </row>
    <row r="1169" spans="1:13" s="7" customFormat="1" ht="15">
      <c r="A1169" s="21" t="s">
        <v>2441</v>
      </c>
      <c r="B1169" s="62">
        <v>3</v>
      </c>
      <c r="C1169" s="1041" t="s">
        <v>3022</v>
      </c>
      <c r="D1169" s="598">
        <v>2.34</v>
      </c>
      <c r="E1169" s="611"/>
      <c r="F1169" s="688"/>
      <c r="G1169" s="689"/>
      <c r="H1169" s="22"/>
      <c r="I1169" s="22"/>
      <c r="J1169" s="22"/>
      <c r="K1169" s="13">
        <f t="shared" si="4"/>
        <v>2.34</v>
      </c>
      <c r="L1169" s="11">
        <v>154</v>
      </c>
      <c r="M1169" s="63"/>
    </row>
    <row r="1170" spans="1:13" s="7" customFormat="1" ht="15">
      <c r="A1170" s="21" t="s">
        <v>2442</v>
      </c>
      <c r="B1170" s="62">
        <v>3</v>
      </c>
      <c r="C1170" s="1041" t="s">
        <v>3022</v>
      </c>
      <c r="D1170" s="598">
        <v>1.26</v>
      </c>
      <c r="E1170" s="611"/>
      <c r="F1170" s="688"/>
      <c r="G1170" s="689"/>
      <c r="H1170" s="22"/>
      <c r="I1170" s="22"/>
      <c r="J1170" s="22"/>
      <c r="K1170" s="13">
        <f t="shared" si="4"/>
        <v>1.26</v>
      </c>
      <c r="L1170" s="11">
        <v>83</v>
      </c>
      <c r="M1170" s="63"/>
    </row>
    <row r="1171" spans="1:13" s="7" customFormat="1" ht="15">
      <c r="A1171" s="21" t="s">
        <v>2443</v>
      </c>
      <c r="B1171" s="62">
        <v>3</v>
      </c>
      <c r="C1171" s="1041" t="s">
        <v>3022</v>
      </c>
      <c r="D1171" s="598">
        <v>4.25</v>
      </c>
      <c r="E1171" s="611"/>
      <c r="F1171" s="688"/>
      <c r="G1171" s="689"/>
      <c r="H1171" s="22"/>
      <c r="I1171" s="22"/>
      <c r="J1171" s="22"/>
      <c r="K1171" s="13">
        <f t="shared" si="4"/>
        <v>4.25</v>
      </c>
      <c r="L1171" s="11">
        <v>280</v>
      </c>
      <c r="M1171" s="63"/>
    </row>
    <row r="1172" spans="1:13" s="7" customFormat="1" ht="15">
      <c r="A1172" s="21" t="s">
        <v>2444</v>
      </c>
      <c r="B1172" s="62">
        <v>3</v>
      </c>
      <c r="C1172" s="1041" t="s">
        <v>3022</v>
      </c>
      <c r="D1172" s="598">
        <v>4.3199999999999994</v>
      </c>
      <c r="E1172" s="611"/>
      <c r="F1172" s="688"/>
      <c r="G1172" s="689"/>
      <c r="H1172" s="22"/>
      <c r="I1172" s="22"/>
      <c r="J1172" s="22"/>
      <c r="K1172" s="13">
        <f t="shared" si="4"/>
        <v>4.3199999999999994</v>
      </c>
      <c r="L1172" s="11">
        <v>285</v>
      </c>
      <c r="M1172" s="63"/>
    </row>
    <row r="1173" spans="1:13" s="7" customFormat="1" ht="15">
      <c r="A1173" s="21" t="s">
        <v>2445</v>
      </c>
      <c r="B1173" s="62">
        <v>3</v>
      </c>
      <c r="C1173" s="1041" t="s">
        <v>3022</v>
      </c>
      <c r="D1173" s="598">
        <v>6.1899999999999995</v>
      </c>
      <c r="E1173" s="611"/>
      <c r="F1173" s="688"/>
      <c r="G1173" s="689"/>
      <c r="H1173" s="22"/>
      <c r="I1173" s="22"/>
      <c r="J1173" s="22"/>
      <c r="K1173" s="13">
        <f t="shared" si="4"/>
        <v>6.1899999999999995</v>
      </c>
      <c r="L1173" s="11">
        <v>408</v>
      </c>
      <c r="M1173" s="63"/>
    </row>
    <row r="1174" spans="1:13" s="7" customFormat="1" ht="15">
      <c r="A1174" s="21" t="s">
        <v>2446</v>
      </c>
      <c r="B1174" s="62">
        <v>3</v>
      </c>
      <c r="C1174" s="1041" t="s">
        <v>3022</v>
      </c>
      <c r="D1174" s="598">
        <v>3.84</v>
      </c>
      <c r="E1174" s="611"/>
      <c r="F1174" s="688"/>
      <c r="G1174" s="689"/>
      <c r="H1174" s="22"/>
      <c r="I1174" s="22"/>
      <c r="J1174" s="22"/>
      <c r="K1174" s="13">
        <f t="shared" si="4"/>
        <v>3.84</v>
      </c>
      <c r="L1174" s="11">
        <v>253</v>
      </c>
      <c r="M1174" s="63"/>
    </row>
    <row r="1175" spans="1:13" s="7" customFormat="1" ht="15">
      <c r="A1175" s="21" t="s">
        <v>132</v>
      </c>
      <c r="B1175" s="62">
        <v>3</v>
      </c>
      <c r="C1175" s="1041" t="s">
        <v>3022</v>
      </c>
      <c r="D1175" s="598">
        <v>1.22</v>
      </c>
      <c r="E1175" s="611"/>
      <c r="F1175" s="688"/>
      <c r="G1175" s="689"/>
      <c r="H1175" s="22"/>
      <c r="I1175" s="22"/>
      <c r="J1175" s="22"/>
      <c r="K1175" s="13">
        <f t="shared" si="4"/>
        <v>1.22</v>
      </c>
      <c r="L1175" s="11">
        <v>80</v>
      </c>
      <c r="M1175" s="63"/>
    </row>
    <row r="1176" spans="1:13" s="7" customFormat="1" ht="15">
      <c r="A1176" s="21" t="s">
        <v>2447</v>
      </c>
      <c r="B1176" s="62">
        <v>3</v>
      </c>
      <c r="C1176" s="1041" t="s">
        <v>3022</v>
      </c>
      <c r="D1176" s="598">
        <v>5.16</v>
      </c>
      <c r="E1176" s="611"/>
      <c r="F1176" s="688"/>
      <c r="G1176" s="689"/>
      <c r="H1176" s="22"/>
      <c r="I1176" s="22"/>
      <c r="J1176" s="22"/>
      <c r="K1176" s="13">
        <f t="shared" si="4"/>
        <v>5.16</v>
      </c>
      <c r="L1176" s="11">
        <v>340</v>
      </c>
      <c r="M1176" s="63"/>
    </row>
    <row r="1177" spans="1:13" s="7" customFormat="1" ht="15">
      <c r="A1177" s="21" t="s">
        <v>2449</v>
      </c>
      <c r="B1177" s="62">
        <v>3</v>
      </c>
      <c r="C1177" s="1041" t="s">
        <v>3022</v>
      </c>
      <c r="D1177" s="598">
        <v>0.67</v>
      </c>
      <c r="E1177" s="611"/>
      <c r="F1177" s="688"/>
      <c r="G1177" s="689"/>
      <c r="H1177" s="22"/>
      <c r="I1177" s="22"/>
      <c r="J1177" s="22"/>
      <c r="K1177" s="13">
        <f t="shared" si="4"/>
        <v>0.67</v>
      </c>
      <c r="L1177" s="11">
        <v>44</v>
      </c>
      <c r="M1177" s="63"/>
    </row>
    <row r="1178" spans="1:13" s="7" customFormat="1" ht="15">
      <c r="A1178" s="21" t="s">
        <v>193</v>
      </c>
      <c r="B1178" s="62">
        <v>3</v>
      </c>
      <c r="C1178" s="1041" t="s">
        <v>3022</v>
      </c>
      <c r="D1178" s="598">
        <v>1.2</v>
      </c>
      <c r="E1178" s="611"/>
      <c r="F1178" s="688"/>
      <c r="G1178" s="689"/>
      <c r="H1178" s="22"/>
      <c r="I1178" s="22"/>
      <c r="J1178" s="22"/>
      <c r="K1178" s="13">
        <f t="shared" si="4"/>
        <v>1.2</v>
      </c>
      <c r="L1178" s="11">
        <v>79</v>
      </c>
      <c r="M1178" s="63"/>
    </row>
    <row r="1179" spans="1:13" s="7" customFormat="1" ht="15">
      <c r="A1179" s="21" t="s">
        <v>2450</v>
      </c>
      <c r="B1179" s="62">
        <v>3</v>
      </c>
      <c r="C1179" s="1041" t="s">
        <v>3022</v>
      </c>
      <c r="D1179" s="598">
        <v>1.81</v>
      </c>
      <c r="E1179" s="611"/>
      <c r="F1179" s="688"/>
      <c r="G1179" s="689"/>
      <c r="H1179" s="22"/>
      <c r="I1179" s="22"/>
      <c r="J1179" s="22"/>
      <c r="K1179" s="13">
        <f t="shared" si="4"/>
        <v>1.81</v>
      </c>
      <c r="L1179" s="11">
        <v>119</v>
      </c>
      <c r="M1179" s="63"/>
    </row>
    <row r="1180" spans="1:13" s="7" customFormat="1" ht="15">
      <c r="A1180" s="21" t="s">
        <v>293</v>
      </c>
      <c r="B1180" s="62">
        <v>3</v>
      </c>
      <c r="C1180" s="1041" t="s">
        <v>3022</v>
      </c>
      <c r="D1180" s="598">
        <v>2.8699999999999997</v>
      </c>
      <c r="E1180" s="611"/>
      <c r="F1180" s="688"/>
      <c r="G1180" s="689"/>
      <c r="H1180" s="22"/>
      <c r="I1180" s="22"/>
      <c r="J1180" s="22"/>
      <c r="K1180" s="13">
        <f t="shared" si="4"/>
        <v>2.8699999999999997</v>
      </c>
      <c r="L1180" s="11">
        <v>189</v>
      </c>
      <c r="M1180" s="63"/>
    </row>
    <row r="1181" spans="1:13" s="7" customFormat="1" ht="15">
      <c r="A1181" s="21" t="s">
        <v>2451</v>
      </c>
      <c r="B1181" s="62">
        <v>3</v>
      </c>
      <c r="C1181" s="1041" t="s">
        <v>3022</v>
      </c>
      <c r="D1181" s="598">
        <v>1.6</v>
      </c>
      <c r="E1181" s="611"/>
      <c r="F1181" s="688"/>
      <c r="G1181" s="689"/>
      <c r="H1181" s="22"/>
      <c r="I1181" s="22"/>
      <c r="J1181" s="22"/>
      <c r="K1181" s="13">
        <f t="shared" si="4"/>
        <v>1.6</v>
      </c>
      <c r="L1181" s="11">
        <v>105</v>
      </c>
      <c r="M1181" s="63"/>
    </row>
    <row r="1182" spans="1:13" s="7" customFormat="1" ht="15">
      <c r="A1182" s="21" t="s">
        <v>2452</v>
      </c>
      <c r="B1182" s="62">
        <v>3</v>
      </c>
      <c r="C1182" s="1041" t="s">
        <v>3022</v>
      </c>
      <c r="D1182" s="598">
        <v>0.69000000000000006</v>
      </c>
      <c r="E1182" s="611"/>
      <c r="F1182" s="688"/>
      <c r="G1182" s="689"/>
      <c r="H1182" s="22"/>
      <c r="I1182" s="22"/>
      <c r="J1182" s="22"/>
      <c r="K1182" s="13">
        <f t="shared" si="4"/>
        <v>0.69000000000000006</v>
      </c>
      <c r="L1182" s="11">
        <v>45</v>
      </c>
      <c r="M1182" s="63"/>
    </row>
    <row r="1183" spans="1:13" s="7" customFormat="1" ht="15">
      <c r="A1183" s="21" t="s">
        <v>2179</v>
      </c>
      <c r="B1183" s="62">
        <v>3</v>
      </c>
      <c r="C1183" s="1041" t="s">
        <v>3022</v>
      </c>
      <c r="D1183" s="598">
        <v>1.69</v>
      </c>
      <c r="E1183" s="611"/>
      <c r="F1183" s="688"/>
      <c r="G1183" s="689"/>
      <c r="H1183" s="22"/>
      <c r="I1183" s="22"/>
      <c r="J1183" s="22"/>
      <c r="K1183" s="13">
        <f t="shared" si="4"/>
        <v>1.69</v>
      </c>
      <c r="L1183" s="11">
        <v>111</v>
      </c>
      <c r="M1183" s="63"/>
    </row>
    <row r="1184" spans="1:13" s="7" customFormat="1" ht="15">
      <c r="A1184" s="21" t="s">
        <v>2453</v>
      </c>
      <c r="B1184" s="62">
        <v>3</v>
      </c>
      <c r="C1184" s="1041" t="s">
        <v>3022</v>
      </c>
      <c r="D1184" s="598">
        <v>0.69000000000000006</v>
      </c>
      <c r="E1184" s="611"/>
      <c r="F1184" s="688"/>
      <c r="G1184" s="689"/>
      <c r="H1184" s="22"/>
      <c r="I1184" s="22"/>
      <c r="J1184" s="22"/>
      <c r="K1184" s="13">
        <f t="shared" si="4"/>
        <v>0.69000000000000006</v>
      </c>
      <c r="L1184" s="11">
        <v>45</v>
      </c>
      <c r="M1184" s="63"/>
    </row>
    <row r="1185" spans="1:13" s="7" customFormat="1" ht="15">
      <c r="A1185" s="21" t="s">
        <v>2454</v>
      </c>
      <c r="B1185" s="62">
        <v>3</v>
      </c>
      <c r="C1185" s="1041" t="s">
        <v>3022</v>
      </c>
      <c r="D1185" s="598">
        <v>0.57999999999999996</v>
      </c>
      <c r="E1185" s="611"/>
      <c r="F1185" s="688"/>
      <c r="G1185" s="689"/>
      <c r="H1185" s="22"/>
      <c r="I1185" s="22"/>
      <c r="J1185" s="22"/>
      <c r="K1185" s="13">
        <f t="shared" si="4"/>
        <v>0.57999999999999996</v>
      </c>
      <c r="L1185" s="11">
        <v>38</v>
      </c>
      <c r="M1185" s="63"/>
    </row>
    <row r="1186" spans="1:13" s="7" customFormat="1" ht="15">
      <c r="A1186" s="21" t="s">
        <v>2190</v>
      </c>
      <c r="B1186" s="62">
        <v>3</v>
      </c>
      <c r="C1186" s="1041" t="s">
        <v>3022</v>
      </c>
      <c r="D1186" s="598">
        <v>2.6599999999999997</v>
      </c>
      <c r="E1186" s="611"/>
      <c r="F1186" s="688"/>
      <c r="G1186" s="689"/>
      <c r="H1186" s="22"/>
      <c r="I1186" s="22"/>
      <c r="J1186" s="22"/>
      <c r="K1186" s="13">
        <f t="shared" si="4"/>
        <v>2.6599999999999997</v>
      </c>
      <c r="L1186" s="11">
        <v>175</v>
      </c>
      <c r="M1186" s="63"/>
    </row>
    <row r="1187" spans="1:13" s="7" customFormat="1" ht="15">
      <c r="A1187" s="21" t="s">
        <v>2458</v>
      </c>
      <c r="B1187" s="62">
        <v>3</v>
      </c>
      <c r="C1187" s="1041" t="s">
        <v>3022</v>
      </c>
      <c r="D1187" s="598">
        <v>2.25</v>
      </c>
      <c r="E1187" s="611"/>
      <c r="F1187" s="688"/>
      <c r="G1187" s="689"/>
      <c r="H1187" s="22"/>
      <c r="I1187" s="22"/>
      <c r="J1187" s="22"/>
      <c r="K1187" s="13">
        <f t="shared" si="4"/>
        <v>2.25</v>
      </c>
      <c r="L1187" s="11">
        <v>148</v>
      </c>
      <c r="M1187" s="63"/>
    </row>
    <row r="1188" spans="1:13" s="7" customFormat="1" ht="15">
      <c r="A1188" s="21" t="s">
        <v>131</v>
      </c>
      <c r="B1188" s="62">
        <v>3</v>
      </c>
      <c r="C1188" s="1041" t="s">
        <v>3022</v>
      </c>
      <c r="D1188" s="598">
        <v>3.46</v>
      </c>
      <c r="E1188" s="611"/>
      <c r="F1188" s="688"/>
      <c r="G1188" s="689"/>
      <c r="H1188" s="22"/>
      <c r="I1188" s="22"/>
      <c r="J1188" s="22"/>
      <c r="K1188" s="836">
        <f t="shared" si="4"/>
        <v>3.46</v>
      </c>
      <c r="L1188" s="11">
        <v>228</v>
      </c>
      <c r="M1188" s="63"/>
    </row>
    <row r="1189" spans="1:13" s="7" customFormat="1" ht="15">
      <c r="A1189" s="21" t="s">
        <v>2460</v>
      </c>
      <c r="B1189" s="62">
        <v>3</v>
      </c>
      <c r="C1189" s="1041" t="s">
        <v>3022</v>
      </c>
      <c r="D1189" s="598">
        <v>2.2199999999999998</v>
      </c>
      <c r="E1189" s="611"/>
      <c r="F1189" s="688"/>
      <c r="G1189" s="689"/>
      <c r="H1189" s="22"/>
      <c r="I1189" s="22"/>
      <c r="J1189" s="22"/>
      <c r="K1189" s="836">
        <f t="shared" si="4"/>
        <v>2.2199999999999998</v>
      </c>
      <c r="L1189" s="11">
        <v>146</v>
      </c>
      <c r="M1189" s="63"/>
    </row>
    <row r="1190" spans="1:13" s="7" customFormat="1" ht="15">
      <c r="A1190" s="21" t="s">
        <v>67</v>
      </c>
      <c r="B1190" s="62">
        <v>3</v>
      </c>
      <c r="C1190" s="1041" t="s">
        <v>3022</v>
      </c>
      <c r="D1190" s="598">
        <v>1.75</v>
      </c>
      <c r="E1190" s="611"/>
      <c r="F1190" s="688"/>
      <c r="G1190" s="689"/>
      <c r="H1190" s="22"/>
      <c r="I1190" s="22"/>
      <c r="J1190" s="22"/>
      <c r="K1190" s="13">
        <f t="shared" si="4"/>
        <v>1.75</v>
      </c>
      <c r="L1190" s="11">
        <v>115</v>
      </c>
      <c r="M1190" s="63"/>
    </row>
    <row r="1191" spans="1:13" s="7" customFormat="1" ht="15">
      <c r="A1191" s="21" t="s">
        <v>124</v>
      </c>
      <c r="B1191" s="62">
        <v>3</v>
      </c>
      <c r="C1191" s="1041" t="s">
        <v>3022</v>
      </c>
      <c r="D1191" s="598">
        <v>1.26</v>
      </c>
      <c r="E1191" s="611"/>
      <c r="F1191" s="688"/>
      <c r="G1191" s="689"/>
      <c r="H1191" s="22"/>
      <c r="I1191" s="22"/>
      <c r="J1191" s="22"/>
      <c r="K1191" s="13">
        <f t="shared" si="4"/>
        <v>1.26</v>
      </c>
      <c r="L1191" s="11">
        <v>83</v>
      </c>
      <c r="M1191" s="63"/>
    </row>
    <row r="1192" spans="1:13" ht="15">
      <c r="A1192" s="21" t="s">
        <v>3029</v>
      </c>
      <c r="B1192" s="1041" t="s">
        <v>3048</v>
      </c>
      <c r="C1192" s="1041" t="s">
        <v>3022</v>
      </c>
      <c r="D1192" s="21"/>
    </row>
    <row r="1193" spans="1:13" ht="15">
      <c r="A1193" s="21" t="s">
        <v>3031</v>
      </c>
      <c r="B1193" s="1041" t="s">
        <v>3048</v>
      </c>
      <c r="C1193" s="1041" t="s">
        <v>3022</v>
      </c>
      <c r="D1193" s="21"/>
    </row>
    <row r="1194" spans="1:13" ht="15">
      <c r="A1194" s="21" t="s">
        <v>3032</v>
      </c>
      <c r="B1194" s="1041" t="s">
        <v>3048</v>
      </c>
      <c r="C1194" s="1041" t="s">
        <v>3022</v>
      </c>
      <c r="D1194" s="21"/>
    </row>
    <row r="1195" spans="1:13" s="7" customFormat="1" ht="15">
      <c r="A1195" s="21" t="s">
        <v>2461</v>
      </c>
      <c r="B1195" s="62">
        <v>3</v>
      </c>
      <c r="C1195" s="1041" t="s">
        <v>3022</v>
      </c>
      <c r="D1195" s="598">
        <v>2.5199999999999996</v>
      </c>
      <c r="E1195" s="611"/>
      <c r="F1195" s="688"/>
      <c r="G1195" s="689"/>
      <c r="H1195" s="22"/>
      <c r="I1195" s="22"/>
      <c r="J1195" s="22"/>
      <c r="K1195" s="13">
        <f t="shared" si="4"/>
        <v>2.5199999999999996</v>
      </c>
      <c r="L1195" s="11">
        <v>166</v>
      </c>
      <c r="M1195" s="63"/>
    </row>
    <row r="1196" spans="1:13" s="7" customFormat="1" ht="15">
      <c r="A1196" s="21" t="s">
        <v>2462</v>
      </c>
      <c r="B1196" s="62">
        <v>3</v>
      </c>
      <c r="C1196" s="1041" t="s">
        <v>3022</v>
      </c>
      <c r="D1196" s="598">
        <v>2.5199999999999996</v>
      </c>
      <c r="E1196" s="611"/>
      <c r="F1196" s="688"/>
      <c r="G1196" s="689"/>
      <c r="H1196" s="22"/>
      <c r="I1196" s="22"/>
      <c r="J1196" s="22"/>
      <c r="K1196" s="13">
        <f t="shared" si="4"/>
        <v>2.5199999999999996</v>
      </c>
      <c r="L1196" s="11">
        <v>166</v>
      </c>
      <c r="M1196" s="63"/>
    </row>
    <row r="1197" spans="1:13" s="7" customFormat="1" ht="15">
      <c r="A1197" s="21" t="s">
        <v>2463</v>
      </c>
      <c r="B1197" s="62">
        <v>3</v>
      </c>
      <c r="C1197" s="1041" t="s">
        <v>3022</v>
      </c>
      <c r="D1197" s="598">
        <v>1.34</v>
      </c>
      <c r="E1197" s="611"/>
      <c r="F1197" s="688"/>
      <c r="G1197" s="689"/>
      <c r="H1197" s="22"/>
      <c r="I1197" s="22"/>
      <c r="J1197" s="22"/>
      <c r="K1197" s="13">
        <f t="shared" si="4"/>
        <v>1.34</v>
      </c>
      <c r="L1197" s="11">
        <v>88</v>
      </c>
      <c r="M1197" s="63"/>
    </row>
    <row r="1198" spans="1:13" s="7" customFormat="1" ht="15">
      <c r="A1198" s="21" t="s">
        <v>70</v>
      </c>
      <c r="B1198" s="62">
        <v>3</v>
      </c>
      <c r="C1198" s="1041" t="s">
        <v>3022</v>
      </c>
      <c r="D1198" s="598">
        <v>1.7</v>
      </c>
      <c r="E1198" s="611"/>
      <c r="F1198" s="688"/>
      <c r="G1198" s="689"/>
      <c r="H1198" s="22"/>
      <c r="I1198" s="22"/>
      <c r="J1198" s="22"/>
      <c r="K1198" s="836">
        <f t="shared" si="4"/>
        <v>1.7</v>
      </c>
      <c r="L1198" s="11">
        <v>112</v>
      </c>
      <c r="M1198" s="63"/>
    </row>
    <row r="1199" spans="1:13" s="7" customFormat="1" ht="15">
      <c r="A1199" s="21" t="s">
        <v>105</v>
      </c>
      <c r="B1199" s="62">
        <v>3</v>
      </c>
      <c r="C1199" s="1041" t="s">
        <v>3022</v>
      </c>
      <c r="D1199" s="598">
        <v>0.7</v>
      </c>
      <c r="E1199" s="611"/>
      <c r="F1199" s="688"/>
      <c r="G1199" s="689"/>
      <c r="H1199" s="22"/>
      <c r="I1199" s="22"/>
      <c r="J1199" s="22"/>
      <c r="K1199" s="836">
        <f t="shared" si="4"/>
        <v>0.7</v>
      </c>
      <c r="L1199" s="11">
        <v>46</v>
      </c>
      <c r="M1199" s="63"/>
    </row>
    <row r="1200" spans="1:13" ht="15">
      <c r="A1200" s="21" t="s">
        <v>3033</v>
      </c>
      <c r="B1200" s="1041" t="s">
        <v>3048</v>
      </c>
      <c r="C1200" s="1041" t="s">
        <v>3022</v>
      </c>
      <c r="D1200" s="21"/>
    </row>
    <row r="1201" spans="1:13" s="7" customFormat="1" ht="15">
      <c r="A1201" s="21" t="s">
        <v>2468</v>
      </c>
      <c r="B1201" s="62">
        <v>3</v>
      </c>
      <c r="C1201" s="1041" t="s">
        <v>3022</v>
      </c>
      <c r="D1201" s="598">
        <v>1.9</v>
      </c>
      <c r="E1201" s="611"/>
      <c r="F1201" s="688"/>
      <c r="G1201" s="689"/>
      <c r="H1201" s="22"/>
      <c r="I1201" s="22"/>
      <c r="J1201" s="22"/>
      <c r="K1201" s="13">
        <f t="shared" ref="K1201:K1211" si="5">ROUNDUP(L1201/0.6/110,2)</f>
        <v>1.9</v>
      </c>
      <c r="L1201" s="11">
        <v>125</v>
      </c>
      <c r="M1201" s="63"/>
    </row>
    <row r="1202" spans="1:13" s="7" customFormat="1" ht="15">
      <c r="A1202" s="21" t="s">
        <v>2469</v>
      </c>
      <c r="B1202" s="62">
        <v>3</v>
      </c>
      <c r="C1202" s="1041" t="s">
        <v>3022</v>
      </c>
      <c r="D1202" s="598">
        <v>2.5799999999999996</v>
      </c>
      <c r="E1202" s="611"/>
      <c r="F1202" s="688"/>
      <c r="G1202" s="689"/>
      <c r="H1202" s="22"/>
      <c r="I1202" s="22"/>
      <c r="J1202" s="22"/>
      <c r="K1202" s="13">
        <f t="shared" si="5"/>
        <v>2.5799999999999996</v>
      </c>
      <c r="L1202" s="11">
        <v>170</v>
      </c>
      <c r="M1202" s="63"/>
    </row>
    <row r="1203" spans="1:13" s="7" customFormat="1" ht="15">
      <c r="A1203" s="21" t="s">
        <v>2471</v>
      </c>
      <c r="B1203" s="62">
        <v>3</v>
      </c>
      <c r="C1203" s="1041" t="s">
        <v>3022</v>
      </c>
      <c r="D1203" s="598">
        <v>4.8199999999999994</v>
      </c>
      <c r="E1203" s="611"/>
      <c r="F1203" s="688"/>
      <c r="G1203" s="689"/>
      <c r="H1203" s="22"/>
      <c r="I1203" s="22"/>
      <c r="J1203" s="22"/>
      <c r="K1203" s="836">
        <f t="shared" si="5"/>
        <v>4.8199999999999994</v>
      </c>
      <c r="L1203" s="11">
        <v>318</v>
      </c>
      <c r="M1203" s="63"/>
    </row>
    <row r="1204" spans="1:13" s="7" customFormat="1" ht="15">
      <c r="A1204" s="21" t="s">
        <v>2472</v>
      </c>
      <c r="B1204" s="62">
        <v>3</v>
      </c>
      <c r="C1204" s="1041" t="s">
        <v>3022</v>
      </c>
      <c r="D1204" s="598">
        <v>4.29</v>
      </c>
      <c r="E1204" s="611"/>
      <c r="F1204" s="688"/>
      <c r="G1204" s="689"/>
      <c r="H1204" s="22"/>
      <c r="I1204" s="22"/>
      <c r="J1204" s="22"/>
      <c r="K1204" s="836">
        <f t="shared" si="5"/>
        <v>4.29</v>
      </c>
      <c r="L1204" s="11">
        <v>283</v>
      </c>
      <c r="M1204" s="63"/>
    </row>
    <row r="1205" spans="1:13" s="7" customFormat="1" ht="15">
      <c r="A1205" s="21" t="s">
        <v>2473</v>
      </c>
      <c r="B1205" s="62">
        <v>3</v>
      </c>
      <c r="C1205" s="1041" t="s">
        <v>3022</v>
      </c>
      <c r="D1205" s="598">
        <v>4.7</v>
      </c>
      <c r="E1205" s="611"/>
      <c r="F1205" s="688"/>
      <c r="G1205" s="689"/>
      <c r="H1205" s="22"/>
      <c r="I1205" s="22"/>
      <c r="J1205" s="22"/>
      <c r="K1205" s="836">
        <f t="shared" si="5"/>
        <v>4.7</v>
      </c>
      <c r="L1205" s="11">
        <v>310</v>
      </c>
      <c r="M1205" s="63"/>
    </row>
    <row r="1206" spans="1:13" s="7" customFormat="1" ht="15">
      <c r="A1206" s="21" t="s">
        <v>2474</v>
      </c>
      <c r="B1206" s="62">
        <v>3</v>
      </c>
      <c r="C1206" s="1041" t="s">
        <v>3022</v>
      </c>
      <c r="D1206" s="598">
        <v>4.55</v>
      </c>
      <c r="E1206" s="611"/>
      <c r="F1206" s="688"/>
      <c r="G1206" s="689"/>
      <c r="H1206" s="22"/>
      <c r="I1206" s="22"/>
      <c r="J1206" s="22"/>
      <c r="K1206" s="836">
        <f t="shared" si="5"/>
        <v>4.55</v>
      </c>
      <c r="L1206" s="11">
        <v>300</v>
      </c>
      <c r="M1206" s="63"/>
    </row>
    <row r="1207" spans="1:13" s="7" customFormat="1" ht="15">
      <c r="A1207" s="21" t="s">
        <v>2475</v>
      </c>
      <c r="B1207" s="62">
        <v>3</v>
      </c>
      <c r="C1207" s="1041" t="s">
        <v>3022</v>
      </c>
      <c r="D1207" s="598">
        <v>1.17</v>
      </c>
      <c r="E1207" s="611"/>
      <c r="F1207" s="688"/>
      <c r="G1207" s="689"/>
      <c r="H1207" s="22"/>
      <c r="I1207" s="22"/>
      <c r="J1207" s="22"/>
      <c r="K1207" s="836">
        <f t="shared" si="5"/>
        <v>1.17</v>
      </c>
      <c r="L1207" s="11">
        <v>77</v>
      </c>
      <c r="M1207" s="63"/>
    </row>
    <row r="1208" spans="1:13" s="7" customFormat="1" ht="15">
      <c r="A1208" s="21" t="s">
        <v>2476</v>
      </c>
      <c r="B1208" s="62">
        <v>3</v>
      </c>
      <c r="C1208" s="1041" t="s">
        <v>3022</v>
      </c>
      <c r="D1208" s="598">
        <v>1.82</v>
      </c>
      <c r="E1208" s="611"/>
      <c r="F1208" s="688"/>
      <c r="G1208" s="689"/>
      <c r="H1208" s="22"/>
      <c r="I1208" s="22"/>
      <c r="J1208" s="22"/>
      <c r="K1208" s="836">
        <f t="shared" si="5"/>
        <v>1.82</v>
      </c>
      <c r="L1208" s="11">
        <v>120</v>
      </c>
      <c r="M1208" s="63"/>
    </row>
    <row r="1209" spans="1:13" s="7" customFormat="1" ht="15">
      <c r="A1209" s="21" t="s">
        <v>2477</v>
      </c>
      <c r="B1209" s="62">
        <v>3</v>
      </c>
      <c r="C1209" s="1041" t="s">
        <v>3022</v>
      </c>
      <c r="D1209" s="598">
        <v>3.6399999999999997</v>
      </c>
      <c r="E1209" s="611"/>
      <c r="F1209" s="688"/>
      <c r="G1209" s="689"/>
      <c r="H1209" s="22"/>
      <c r="I1209" s="22"/>
      <c r="J1209" s="22"/>
      <c r="K1209" s="836">
        <f t="shared" si="5"/>
        <v>3.6399999999999997</v>
      </c>
      <c r="L1209" s="11">
        <v>240</v>
      </c>
      <c r="M1209" s="63"/>
    </row>
    <row r="1210" spans="1:13" s="7" customFormat="1" ht="15">
      <c r="A1210" s="21" t="s">
        <v>2478</v>
      </c>
      <c r="B1210" s="62">
        <v>3</v>
      </c>
      <c r="C1210" s="1041" t="s">
        <v>3022</v>
      </c>
      <c r="D1210" s="598">
        <v>3</v>
      </c>
      <c r="E1210" s="611"/>
      <c r="F1210" s="688"/>
      <c r="G1210" s="689"/>
      <c r="H1210" s="22"/>
      <c r="I1210" s="22"/>
      <c r="J1210" s="22"/>
      <c r="K1210" s="836">
        <f t="shared" si="5"/>
        <v>3</v>
      </c>
      <c r="L1210" s="11">
        <v>198</v>
      </c>
      <c r="M1210" s="63"/>
    </row>
    <row r="1211" spans="1:13" s="7" customFormat="1" ht="15">
      <c r="A1211" s="21" t="s">
        <v>2479</v>
      </c>
      <c r="B1211" s="62">
        <v>3</v>
      </c>
      <c r="C1211" s="1041" t="s">
        <v>3022</v>
      </c>
      <c r="D1211" s="598">
        <v>1.44</v>
      </c>
      <c r="E1211" s="611"/>
      <c r="F1211" s="688"/>
      <c r="G1211" s="689"/>
      <c r="H1211" s="22"/>
      <c r="I1211" s="22"/>
      <c r="J1211" s="22"/>
      <c r="K1211" s="836">
        <f t="shared" si="5"/>
        <v>1.44</v>
      </c>
      <c r="L1211" s="11">
        <v>95</v>
      </c>
      <c r="M1211" s="63"/>
    </row>
    <row r="1212" spans="1:13" ht="15">
      <c r="A1212" s="21" t="s">
        <v>3034</v>
      </c>
      <c r="B1212" s="1041" t="s">
        <v>3048</v>
      </c>
      <c r="C1212" s="1041" t="s">
        <v>3022</v>
      </c>
      <c r="D1212" s="21"/>
    </row>
    <row r="1213" spans="1:13" ht="15">
      <c r="A1213" s="21" t="s">
        <v>3035</v>
      </c>
      <c r="B1213" s="1041" t="s">
        <v>3048</v>
      </c>
      <c r="C1213" s="1041" t="s">
        <v>3022</v>
      </c>
      <c r="D1213" s="21"/>
    </row>
    <row r="1214" spans="1:13" ht="15">
      <c r="A1214" s="21" t="s">
        <v>3036</v>
      </c>
      <c r="B1214" s="1041" t="s">
        <v>3048</v>
      </c>
      <c r="C1214" s="1041" t="s">
        <v>3022</v>
      </c>
      <c r="D1214" s="21"/>
    </row>
    <row r="1215" spans="1:13" s="7" customFormat="1" ht="15">
      <c r="A1215" s="21" t="s">
        <v>2480</v>
      </c>
      <c r="B1215" s="62">
        <v>3</v>
      </c>
      <c r="C1215" s="1041" t="s">
        <v>3022</v>
      </c>
      <c r="D1215" s="598">
        <v>1.9</v>
      </c>
      <c r="E1215" s="611"/>
      <c r="F1215" s="688"/>
      <c r="G1215" s="689"/>
      <c r="H1215" s="22"/>
      <c r="I1215" s="22"/>
      <c r="J1215" s="22"/>
      <c r="K1215" s="836">
        <f>ROUNDUP(L1215/0.6/110,2)</f>
        <v>1.9</v>
      </c>
      <c r="L1215" s="11">
        <v>125</v>
      </c>
      <c r="M1215" s="63"/>
    </row>
    <row r="1216" spans="1:13" s="7" customFormat="1" ht="15">
      <c r="A1216" s="21" t="s">
        <v>2482</v>
      </c>
      <c r="B1216" s="62">
        <v>3</v>
      </c>
      <c r="C1216" s="1041" t="s">
        <v>3022</v>
      </c>
      <c r="D1216" s="598">
        <v>1.41</v>
      </c>
      <c r="E1216" s="611"/>
      <c r="F1216" s="688"/>
      <c r="G1216" s="689"/>
      <c r="H1216" s="22"/>
      <c r="I1216" s="22"/>
      <c r="J1216" s="22"/>
      <c r="K1216" s="13">
        <f>ROUNDUP(L1216/0.6/110,2)</f>
        <v>1.41</v>
      </c>
      <c r="L1216" s="11">
        <v>93</v>
      </c>
      <c r="M1216" s="63"/>
    </row>
    <row r="1217" spans="1:13" s="7" customFormat="1" ht="15">
      <c r="A1217" s="21" t="s">
        <v>2483</v>
      </c>
      <c r="B1217" s="62">
        <v>3</v>
      </c>
      <c r="C1217" s="1041" t="s">
        <v>3022</v>
      </c>
      <c r="D1217" s="598">
        <v>1.04</v>
      </c>
      <c r="E1217" s="611"/>
      <c r="F1217" s="688"/>
      <c r="G1217" s="689"/>
      <c r="H1217" s="22"/>
      <c r="I1217" s="22"/>
      <c r="J1217" s="22"/>
      <c r="K1217" s="13">
        <f>ROUNDUP(L1217/0.6/110,2)</f>
        <v>1.04</v>
      </c>
      <c r="L1217" s="11">
        <v>68</v>
      </c>
      <c r="M1217" s="63"/>
    </row>
    <row r="1218" spans="1:13" s="7" customFormat="1" ht="15">
      <c r="A1218" s="21"/>
      <c r="B1218" s="39" t="s">
        <v>28</v>
      </c>
      <c r="C1218" s="39"/>
      <c r="D1218" s="611">
        <v>50</v>
      </c>
      <c r="E1218" s="611"/>
      <c r="F1218" s="688"/>
      <c r="G1218" s="689"/>
      <c r="H1218" s="6"/>
      <c r="I1218" s="6"/>
      <c r="J1218" s="22"/>
      <c r="K1218" s="22"/>
    </row>
    <row r="1219" spans="1:13" s="1" customFormat="1" ht="18" customHeight="1">
      <c r="A1219" s="3"/>
      <c r="J1219" s="2"/>
      <c r="M1219" s="266"/>
    </row>
    <row r="1221" spans="1:13" ht="15.75">
      <c r="A1221" s="67" t="s">
        <v>153</v>
      </c>
      <c r="B1221" s="68" t="s">
        <v>163</v>
      </c>
      <c r="C1221" s="68" t="s">
        <v>197</v>
      </c>
      <c r="D1221" s="99" t="s">
        <v>198</v>
      </c>
      <c r="E1221" s="68" t="s">
        <v>2941</v>
      </c>
    </row>
    <row r="1222" spans="1:13" ht="15">
      <c r="A1222" s="47" t="s">
        <v>1891</v>
      </c>
      <c r="B1222" s="55">
        <v>23</v>
      </c>
      <c r="C1222" s="56">
        <v>1</v>
      </c>
      <c r="D1222" s="55">
        <v>23</v>
      </c>
      <c r="E1222" s="611">
        <v>21.43</v>
      </c>
    </row>
    <row r="1223" spans="1:13" ht="15">
      <c r="A1223" s="47"/>
      <c r="B1223" s="30"/>
      <c r="C1223" s="30">
        <v>1</v>
      </c>
      <c r="D1223" s="46"/>
      <c r="E1223" s="611">
        <v>12</v>
      </c>
    </row>
    <row r="1226" spans="1:13" ht="15.75">
      <c r="A1226" s="67" t="s">
        <v>39</v>
      </c>
      <c r="B1226" s="68" t="s">
        <v>45</v>
      </c>
      <c r="C1226" s="68" t="s">
        <v>163</v>
      </c>
      <c r="D1226" s="68" t="s">
        <v>197</v>
      </c>
      <c r="E1226" s="99" t="s">
        <v>198</v>
      </c>
      <c r="F1226" s="89" t="s">
        <v>158</v>
      </c>
      <c r="G1226" s="1045" t="s">
        <v>160</v>
      </c>
    </row>
    <row r="1227" spans="1:13" ht="15">
      <c r="A1227" s="27" t="s">
        <v>2486</v>
      </c>
      <c r="B1227" s="21" t="s">
        <v>25</v>
      </c>
      <c r="C1227" s="93">
        <v>13.7</v>
      </c>
      <c r="D1227" s="94">
        <v>22</v>
      </c>
      <c r="E1227" s="108">
        <v>301.39999999999998</v>
      </c>
      <c r="F1227" s="597">
        <v>2.27</v>
      </c>
      <c r="G1227" s="597">
        <v>2.4</v>
      </c>
    </row>
    <row r="1228" spans="1:13" ht="15">
      <c r="A1228" s="27" t="s">
        <v>2486</v>
      </c>
      <c r="B1228" s="38" t="s">
        <v>13</v>
      </c>
      <c r="C1228" s="39"/>
      <c r="D1228" s="39" t="s">
        <v>28</v>
      </c>
      <c r="E1228" s="93"/>
      <c r="F1228" s="611">
        <v>12</v>
      </c>
      <c r="G1228" s="597"/>
    </row>
    <row r="1231" spans="1:13" ht="15.75">
      <c r="A1231" s="67" t="s">
        <v>192</v>
      </c>
      <c r="B1231" s="99" t="s">
        <v>18</v>
      </c>
      <c r="C1231" s="68" t="s">
        <v>2941</v>
      </c>
    </row>
    <row r="1232" spans="1:13" ht="15">
      <c r="A1232" s="47" t="s">
        <v>2490</v>
      </c>
      <c r="B1232" s="55">
        <v>20</v>
      </c>
      <c r="C1232" s="611">
        <v>12.75</v>
      </c>
    </row>
    <row r="1233" spans="1:7" ht="15">
      <c r="A1233" s="48"/>
      <c r="B1233" s="93"/>
      <c r="C1233" s="611">
        <v>60</v>
      </c>
    </row>
    <row r="1234" spans="1:7" ht="15">
      <c r="A1234" s="48"/>
      <c r="B1234" s="93"/>
      <c r="C1234" s="611">
        <v>15</v>
      </c>
    </row>
    <row r="1236" spans="1:7" ht="15.75">
      <c r="A1236" s="67" t="s">
        <v>39</v>
      </c>
      <c r="B1236" s="68" t="s">
        <v>45</v>
      </c>
      <c r="C1236" s="68" t="s">
        <v>163</v>
      </c>
      <c r="D1236" s="68" t="s">
        <v>197</v>
      </c>
      <c r="E1236" s="99" t="s">
        <v>198</v>
      </c>
      <c r="F1236" s="89" t="s">
        <v>158</v>
      </c>
      <c r="G1236" s="89" t="s">
        <v>160</v>
      </c>
    </row>
    <row r="1237" spans="1:7" ht="15">
      <c r="A1237" s="6" t="s">
        <v>3049</v>
      </c>
      <c r="B1237" s="21" t="s">
        <v>25</v>
      </c>
      <c r="C1237" s="93">
        <v>13.7</v>
      </c>
      <c r="D1237" s="94">
        <v>7</v>
      </c>
      <c r="E1237" s="108">
        <v>95.9</v>
      </c>
      <c r="F1237" s="597">
        <v>5.46</v>
      </c>
      <c r="G1237" s="597" t="s">
        <v>3050</v>
      </c>
    </row>
    <row r="1238" spans="1:7" ht="15">
      <c r="A1238" s="6" t="s">
        <v>3049</v>
      </c>
      <c r="B1238" s="21" t="s">
        <v>25</v>
      </c>
      <c r="C1238" s="93">
        <v>13.7</v>
      </c>
      <c r="D1238" s="94">
        <v>4</v>
      </c>
      <c r="E1238" s="108">
        <v>54.8</v>
      </c>
      <c r="F1238" s="597">
        <v>9.2200000000000006</v>
      </c>
      <c r="G1238" s="597">
        <v>9.82</v>
      </c>
    </row>
    <row r="1239" spans="1:7" ht="15">
      <c r="A1239" s="6" t="s">
        <v>3049</v>
      </c>
      <c r="B1239" s="38" t="s">
        <v>13</v>
      </c>
      <c r="C1239" s="39"/>
      <c r="D1239" s="1046" t="s">
        <v>28</v>
      </c>
      <c r="E1239" s="93"/>
      <c r="F1239" s="611">
        <v>12</v>
      </c>
      <c r="G1239" s="597"/>
    </row>
    <row r="1242" spans="1:7" ht="15.75">
      <c r="A1242" s="67" t="s">
        <v>192</v>
      </c>
      <c r="B1242" s="99" t="s">
        <v>18</v>
      </c>
      <c r="C1242" s="68" t="s">
        <v>2941</v>
      </c>
    </row>
    <row r="1243" spans="1:7" ht="15">
      <c r="A1243" s="740" t="s">
        <v>2501</v>
      </c>
      <c r="B1243" s="55">
        <v>10</v>
      </c>
      <c r="C1243" s="597">
        <v>0.65</v>
      </c>
    </row>
    <row r="1244" spans="1:7" ht="15">
      <c r="A1244" s="740" t="s">
        <v>2502</v>
      </c>
      <c r="B1244" s="55">
        <v>10</v>
      </c>
      <c r="C1244" s="597">
        <v>1.56</v>
      </c>
    </row>
    <row r="1245" spans="1:7" ht="15">
      <c r="A1245" s="740" t="s">
        <v>2503</v>
      </c>
      <c r="B1245" s="55">
        <v>10</v>
      </c>
      <c r="C1245" s="597">
        <v>2.95</v>
      </c>
    </row>
    <row r="1246" spans="1:7" ht="15">
      <c r="A1246" s="48"/>
      <c r="B1246" s="39"/>
      <c r="C1246" s="611">
        <v>15</v>
      </c>
    </row>
    <row r="1249" spans="1:4" ht="15.75">
      <c r="A1249" s="67" t="s">
        <v>192</v>
      </c>
      <c r="B1249" s="99" t="s">
        <v>18</v>
      </c>
      <c r="C1249" s="68" t="s">
        <v>2941</v>
      </c>
    </row>
    <row r="1250" spans="1:4" ht="15">
      <c r="A1250" s="740" t="s">
        <v>2501</v>
      </c>
      <c r="B1250" s="55">
        <v>10</v>
      </c>
      <c r="C1250" s="597">
        <v>0.65</v>
      </c>
    </row>
    <row r="1251" spans="1:4" ht="15">
      <c r="A1251" s="740" t="s">
        <v>2502</v>
      </c>
      <c r="B1251" s="55">
        <v>10</v>
      </c>
      <c r="C1251" s="597">
        <v>1.56</v>
      </c>
    </row>
    <row r="1252" spans="1:4" ht="15">
      <c r="A1252" s="740" t="s">
        <v>2503</v>
      </c>
      <c r="B1252" s="55">
        <v>10</v>
      </c>
      <c r="C1252" s="597">
        <v>2.95</v>
      </c>
    </row>
    <row r="1253" spans="1:4" ht="15">
      <c r="A1253" s="740" t="s">
        <v>2504</v>
      </c>
      <c r="B1253" s="55">
        <v>10</v>
      </c>
      <c r="C1253" s="597">
        <v>3.02</v>
      </c>
    </row>
    <row r="1254" spans="1:4" ht="15">
      <c r="A1254" s="740" t="s">
        <v>2505</v>
      </c>
      <c r="B1254" s="55">
        <v>10</v>
      </c>
      <c r="C1254" s="597">
        <v>1.95</v>
      </c>
    </row>
    <row r="1255" spans="1:4" ht="15">
      <c r="A1255" s="740" t="s">
        <v>2506</v>
      </c>
      <c r="B1255" s="55">
        <v>14</v>
      </c>
      <c r="C1255" s="597">
        <v>1.17</v>
      </c>
    </row>
    <row r="1256" spans="1:4" ht="15">
      <c r="A1256" s="21"/>
      <c r="B1256" s="39" t="s">
        <v>28</v>
      </c>
      <c r="C1256" s="611">
        <v>25</v>
      </c>
    </row>
    <row r="1260" spans="1:4" ht="15.75">
      <c r="A1260" s="67" t="s">
        <v>192</v>
      </c>
      <c r="B1260" s="68" t="s">
        <v>163</v>
      </c>
      <c r="C1260" s="68" t="s">
        <v>197</v>
      </c>
      <c r="D1260" s="99" t="s">
        <v>198</v>
      </c>
    </row>
    <row r="1261" spans="1:4" ht="15">
      <c r="A1261" s="21" t="s">
        <v>2387</v>
      </c>
      <c r="B1261" s="93">
        <v>13.7</v>
      </c>
      <c r="C1261" s="35">
        <v>22</v>
      </c>
      <c r="D1261" s="17">
        <v>301.39999999999998</v>
      </c>
    </row>
    <row r="1262" spans="1:4" ht="15">
      <c r="A1262" s="21" t="s">
        <v>2392</v>
      </c>
      <c r="B1262" s="93">
        <v>13.7</v>
      </c>
      <c r="C1262" s="35">
        <v>10</v>
      </c>
      <c r="D1262" s="17">
        <v>137</v>
      </c>
    </row>
    <row r="1263" spans="1:4" ht="15">
      <c r="A1263" s="21" t="s">
        <v>2390</v>
      </c>
      <c r="B1263" s="93">
        <v>13.7</v>
      </c>
      <c r="C1263" s="35">
        <v>48</v>
      </c>
      <c r="D1263" s="17">
        <v>657.59999999999991</v>
      </c>
    </row>
    <row r="1266" spans="1:6" ht="15.75">
      <c r="A1266" s="67" t="s">
        <v>192</v>
      </c>
      <c r="B1266" s="67" t="s">
        <v>16</v>
      </c>
      <c r="C1266" s="68" t="s">
        <v>163</v>
      </c>
      <c r="D1266" s="68" t="s">
        <v>197</v>
      </c>
      <c r="E1266" s="99" t="s">
        <v>198</v>
      </c>
      <c r="F1266" s="68" t="s">
        <v>2941</v>
      </c>
    </row>
    <row r="1267" spans="1:6" ht="15">
      <c r="A1267" s="21">
        <v>12701</v>
      </c>
      <c r="B1267" s="21" t="s">
        <v>74</v>
      </c>
      <c r="C1267" s="55">
        <v>40</v>
      </c>
      <c r="D1267" s="56">
        <v>1</v>
      </c>
      <c r="E1267" s="8">
        <v>40</v>
      </c>
      <c r="F1267" s="611">
        <v>0.56000000000000005</v>
      </c>
    </row>
    <row r="1268" spans="1:6" ht="15">
      <c r="A1268" s="21">
        <v>11700</v>
      </c>
      <c r="B1268" s="21" t="s">
        <v>2511</v>
      </c>
      <c r="C1268" s="55">
        <v>40</v>
      </c>
      <c r="D1268" s="56">
        <v>1</v>
      </c>
      <c r="E1268" s="8">
        <v>40</v>
      </c>
      <c r="F1268" s="611">
        <v>0.96</v>
      </c>
    </row>
    <row r="1269" spans="1:6" ht="15">
      <c r="A1269" s="21">
        <v>11707</v>
      </c>
      <c r="B1269" s="21" t="s">
        <v>36</v>
      </c>
      <c r="C1269" s="55">
        <v>10</v>
      </c>
      <c r="D1269" s="56">
        <v>1</v>
      </c>
      <c r="E1269" s="8">
        <v>10</v>
      </c>
      <c r="F1269" s="611">
        <v>1.05</v>
      </c>
    </row>
    <row r="1270" spans="1:6" ht="15">
      <c r="A1270" s="21"/>
      <c r="B1270" s="21" t="s">
        <v>13</v>
      </c>
      <c r="C1270" s="55"/>
      <c r="D1270" s="39">
        <v>1</v>
      </c>
      <c r="E1270" s="56"/>
      <c r="F1270" s="22">
        <v>12</v>
      </c>
    </row>
    <row r="1274" spans="1:6" ht="15.75">
      <c r="A1274" s="67" t="s">
        <v>192</v>
      </c>
      <c r="B1274" s="68" t="s">
        <v>163</v>
      </c>
      <c r="C1274" s="68" t="s">
        <v>197</v>
      </c>
      <c r="D1274" s="99" t="s">
        <v>198</v>
      </c>
      <c r="E1274" s="68" t="s">
        <v>2941</v>
      </c>
    </row>
    <row r="1275" spans="1:6" ht="15">
      <c r="A1275" s="21" t="s">
        <v>2387</v>
      </c>
      <c r="B1275" s="93">
        <v>13.7</v>
      </c>
      <c r="C1275" s="35">
        <v>22</v>
      </c>
      <c r="D1275" s="17">
        <v>301.39999999999998</v>
      </c>
      <c r="E1275" s="611">
        <v>1.99</v>
      </c>
    </row>
    <row r="1276" spans="1:6" ht="15">
      <c r="A1276" s="21" t="s">
        <v>2392</v>
      </c>
      <c r="B1276" s="93">
        <v>13.7</v>
      </c>
      <c r="C1276" s="35">
        <v>10</v>
      </c>
      <c r="D1276" s="17">
        <v>137</v>
      </c>
      <c r="E1276" s="611">
        <v>2.06</v>
      </c>
    </row>
    <row r="1277" spans="1:6" ht="15">
      <c r="A1277" s="21" t="s">
        <v>2390</v>
      </c>
      <c r="B1277" s="93">
        <v>13.7</v>
      </c>
      <c r="C1277" s="35">
        <v>48</v>
      </c>
      <c r="D1277" s="17">
        <v>657.59999999999991</v>
      </c>
      <c r="E1277" s="611">
        <v>1.99</v>
      </c>
    </row>
    <row r="1280" spans="1:6" ht="15">
      <c r="A1280" s="18" t="s">
        <v>2185</v>
      </c>
      <c r="B1280" s="55"/>
      <c r="C1280" s="55"/>
      <c r="D1280" s="56"/>
      <c r="E1280" s="15" t="s">
        <v>8</v>
      </c>
    </row>
    <row r="1281" spans="1:5" ht="15">
      <c r="A1281" s="71" t="s">
        <v>2387</v>
      </c>
      <c r="B1281" s="17">
        <f>C1281*D1281</f>
        <v>301.39999999999998</v>
      </c>
      <c r="C1281" s="93">
        <v>13.7</v>
      </c>
      <c r="D1281" s="35">
        <v>22</v>
      </c>
      <c r="E1281" s="611">
        <v>1.99</v>
      </c>
    </row>
    <row r="1282" spans="1:5" ht="15">
      <c r="A1282" s="71" t="s">
        <v>2392</v>
      </c>
      <c r="B1282" s="17">
        <f>C1282*D1282</f>
        <v>137</v>
      </c>
      <c r="C1282" s="93">
        <v>13.7</v>
      </c>
      <c r="D1282" s="35">
        <v>10</v>
      </c>
      <c r="E1282" s="611">
        <v>2.06</v>
      </c>
    </row>
    <row r="1283" spans="1:5" ht="15">
      <c r="A1283" s="71" t="s">
        <v>2390</v>
      </c>
      <c r="B1283" s="17">
        <f>C1283*D1283</f>
        <v>657.59999999999991</v>
      </c>
      <c r="C1283" s="93">
        <v>13.7</v>
      </c>
      <c r="D1283" s="35">
        <v>48</v>
      </c>
      <c r="E1283" s="611">
        <v>1.99</v>
      </c>
    </row>
    <row r="1286" spans="1:5" ht="15.75">
      <c r="A1286" s="67" t="s">
        <v>192</v>
      </c>
      <c r="B1286" s="99" t="s">
        <v>198</v>
      </c>
      <c r="C1286" s="68" t="s">
        <v>2941</v>
      </c>
    </row>
    <row r="1287" spans="1:5" ht="15">
      <c r="A1287" s="740" t="s">
        <v>2518</v>
      </c>
      <c r="B1287" s="882">
        <v>10</v>
      </c>
      <c r="C1287" s="597">
        <v>2.15</v>
      </c>
    </row>
    <row r="1288" spans="1:5" ht="15">
      <c r="A1288" s="740" t="s">
        <v>2519</v>
      </c>
      <c r="B1288" s="882">
        <v>10</v>
      </c>
      <c r="C1288" s="597">
        <v>2.15</v>
      </c>
    </row>
    <row r="1289" spans="1:5" ht="15">
      <c r="A1289" s="21"/>
      <c r="B1289" s="39">
        <v>1</v>
      </c>
      <c r="C1289" s="611">
        <v>12</v>
      </c>
    </row>
    <row r="1292" spans="1:5" ht="15.75">
      <c r="A1292" s="67" t="s">
        <v>192</v>
      </c>
      <c r="B1292" s="99" t="s">
        <v>198</v>
      </c>
      <c r="C1292" s="68" t="s">
        <v>2941</v>
      </c>
    </row>
    <row r="1293" spans="1:5" ht="15">
      <c r="A1293" s="47" t="s">
        <v>2523</v>
      </c>
      <c r="B1293" s="8">
        <v>5</v>
      </c>
      <c r="C1293" s="611">
        <v>7.39</v>
      </c>
    </row>
    <row r="1294" spans="1:5" ht="15">
      <c r="A1294" s="47" t="s">
        <v>2523</v>
      </c>
      <c r="B1294" s="8">
        <v>1</v>
      </c>
      <c r="C1294" s="611">
        <v>7.39</v>
      </c>
    </row>
    <row r="1295" spans="1:5" ht="15">
      <c r="A1295" s="21"/>
      <c r="B1295" s="39"/>
      <c r="C1295" s="611">
        <v>30</v>
      </c>
    </row>
    <row r="1296" spans="1:5" ht="15">
      <c r="A1296" s="21"/>
      <c r="B1296" s="39"/>
      <c r="C1296" s="611">
        <v>15</v>
      </c>
    </row>
    <row r="1298" spans="1:6" ht="15.75">
      <c r="A1298" s="67" t="s">
        <v>192</v>
      </c>
      <c r="B1298" s="99" t="s">
        <v>198</v>
      </c>
    </row>
    <row r="1299" spans="1:6" ht="15">
      <c r="A1299" s="740" t="s">
        <v>2529</v>
      </c>
      <c r="B1299" s="55">
        <v>14</v>
      </c>
    </row>
    <row r="1300" spans="1:6" ht="15">
      <c r="A1300" s="740" t="s">
        <v>210</v>
      </c>
      <c r="B1300" s="55">
        <v>14</v>
      </c>
    </row>
    <row r="1303" spans="1:6" ht="15.75">
      <c r="A1303" s="67" t="s">
        <v>192</v>
      </c>
      <c r="B1303" s="99" t="s">
        <v>18</v>
      </c>
      <c r="C1303" s="68" t="s">
        <v>2941</v>
      </c>
    </row>
    <row r="1304" spans="1:6" ht="15">
      <c r="A1304" s="740" t="s">
        <v>2529</v>
      </c>
      <c r="B1304" s="55">
        <v>14</v>
      </c>
      <c r="C1304" s="597">
        <v>4.9400000000000004</v>
      </c>
    </row>
    <row r="1305" spans="1:6" ht="15">
      <c r="A1305" s="740" t="s">
        <v>210</v>
      </c>
      <c r="B1305" s="55">
        <v>14</v>
      </c>
      <c r="C1305" s="597">
        <v>1.1299999999999999</v>
      </c>
    </row>
    <row r="1306" spans="1:6" ht="15">
      <c r="A1306" s="21"/>
      <c r="B1306" s="39">
        <v>1</v>
      </c>
      <c r="C1306" s="611">
        <v>12</v>
      </c>
    </row>
    <row r="1309" spans="1:6" ht="15.75">
      <c r="A1309" s="67" t="s">
        <v>192</v>
      </c>
      <c r="B1309" s="68" t="s">
        <v>45</v>
      </c>
      <c r="C1309" s="68" t="s">
        <v>163</v>
      </c>
      <c r="D1309" s="68" t="s">
        <v>197</v>
      </c>
      <c r="E1309" s="99" t="s">
        <v>198</v>
      </c>
      <c r="F1309" s="68" t="s">
        <v>2941</v>
      </c>
    </row>
    <row r="1310" spans="1:6" ht="15">
      <c r="A1310" s="21">
        <v>1962</v>
      </c>
      <c r="B1310" s="21" t="s">
        <v>219</v>
      </c>
      <c r="C1310" s="55">
        <v>30</v>
      </c>
      <c r="D1310" s="56">
        <v>1</v>
      </c>
      <c r="E1310" s="55">
        <v>30</v>
      </c>
      <c r="F1310" s="611">
        <v>0.73</v>
      </c>
    </row>
    <row r="1311" spans="1:6" ht="15">
      <c r="A1311" s="21"/>
      <c r="B1311" s="38" t="s">
        <v>13</v>
      </c>
      <c r="C1311" s="39"/>
      <c r="D1311" s="39" t="s">
        <v>28</v>
      </c>
      <c r="E1311" s="93"/>
      <c r="F1311" s="611">
        <v>12</v>
      </c>
    </row>
    <row r="1313" spans="1:3" ht="15.75">
      <c r="A1313" s="67" t="s">
        <v>192</v>
      </c>
      <c r="B1313" s="99" t="s">
        <v>198</v>
      </c>
      <c r="C1313" s="68" t="s">
        <v>3051</v>
      </c>
    </row>
    <row r="1314" spans="1:3" ht="15">
      <c r="A1314" s="740" t="s">
        <v>2519</v>
      </c>
      <c r="B1314" s="882">
        <v>10</v>
      </c>
      <c r="C1314" s="597">
        <v>2.15</v>
      </c>
    </row>
    <row r="1315" spans="1:3" ht="15">
      <c r="A1315" s="21"/>
      <c r="B1315" s="39">
        <v>1</v>
      </c>
      <c r="C1315" s="611">
        <v>125</v>
      </c>
    </row>
    <row r="1316" spans="1:3" ht="15">
      <c r="A1316" s="21"/>
      <c r="B1316" s="39">
        <v>1</v>
      </c>
      <c r="C1316" s="611">
        <v>12</v>
      </c>
    </row>
    <row r="1319" spans="1:3" ht="15.75">
      <c r="A1319" s="67" t="s">
        <v>192</v>
      </c>
      <c r="B1319" s="99" t="s">
        <v>198</v>
      </c>
      <c r="C1319" s="68" t="s">
        <v>3051</v>
      </c>
    </row>
    <row r="1320" spans="1:3" ht="15">
      <c r="A1320" s="740" t="s">
        <v>2519</v>
      </c>
      <c r="B1320" s="882">
        <v>100</v>
      </c>
      <c r="C1320" s="597">
        <v>2.15</v>
      </c>
    </row>
    <row r="1321" spans="1:3" ht="15">
      <c r="A1321" s="740" t="s">
        <v>2519</v>
      </c>
      <c r="B1321" s="882">
        <v>100</v>
      </c>
      <c r="C1321" s="597">
        <v>2.15</v>
      </c>
    </row>
    <row r="1322" spans="1:3" ht="15">
      <c r="A1322" s="740"/>
      <c r="B1322" s="162" t="s">
        <v>3052</v>
      </c>
      <c r="C1322" s="597">
        <v>250</v>
      </c>
    </row>
    <row r="1323" spans="1:3" ht="15">
      <c r="A1323" s="21"/>
      <c r="B1323" s="39">
        <v>1</v>
      </c>
      <c r="C1323" s="611">
        <v>12</v>
      </c>
    </row>
    <row r="1324" spans="1:3" ht="15.75">
      <c r="A1324" s="67" t="s">
        <v>192</v>
      </c>
      <c r="B1324" s="99" t="s">
        <v>198</v>
      </c>
      <c r="C1324" s="68" t="s">
        <v>3051</v>
      </c>
    </row>
    <row r="1325" spans="1:3" ht="15">
      <c r="A1325" s="740" t="s">
        <v>2519</v>
      </c>
      <c r="B1325" s="882">
        <v>123</v>
      </c>
      <c r="C1325" s="597">
        <v>3.32</v>
      </c>
    </row>
    <row r="1326" spans="1:3" ht="15">
      <c r="A1326" s="740" t="s">
        <v>2519</v>
      </c>
      <c r="B1326" s="882">
        <v>123</v>
      </c>
      <c r="C1326" s="597">
        <v>3.32</v>
      </c>
    </row>
    <row r="1327" spans="1:3" ht="15">
      <c r="A1327" s="21"/>
      <c r="B1327" s="39">
        <v>1</v>
      </c>
      <c r="C1327" s="611">
        <v>12</v>
      </c>
    </row>
    <row r="1329" spans="1:4" ht="15.75">
      <c r="A1329" s="67" t="s">
        <v>192</v>
      </c>
      <c r="B1329" s="99" t="s">
        <v>198</v>
      </c>
      <c r="C1329" s="68" t="s">
        <v>2941</v>
      </c>
    </row>
    <row r="1330" spans="1:4" ht="15">
      <c r="A1330" s="740" t="s">
        <v>2505</v>
      </c>
      <c r="B1330" s="55">
        <v>40</v>
      </c>
      <c r="C1330" s="597">
        <v>1.95</v>
      </c>
    </row>
    <row r="1331" spans="1:4" ht="15">
      <c r="A1331" s="740" t="s">
        <v>2506</v>
      </c>
      <c r="B1331" s="55">
        <v>14</v>
      </c>
      <c r="C1331" s="597">
        <v>1.17</v>
      </c>
    </row>
    <row r="1332" spans="1:4" ht="15">
      <c r="A1332" s="21"/>
      <c r="B1332" s="39"/>
      <c r="C1332" s="611">
        <v>20</v>
      </c>
    </row>
    <row r="1336" spans="1:4" ht="15.75">
      <c r="A1336" s="67" t="s">
        <v>39</v>
      </c>
      <c r="B1336" s="68" t="s">
        <v>45</v>
      </c>
      <c r="C1336" s="99" t="s">
        <v>198</v>
      </c>
      <c r="D1336" s="68" t="s">
        <v>2941</v>
      </c>
    </row>
    <row r="1337" spans="1:4" ht="15">
      <c r="A1337" s="6" t="s">
        <v>2538</v>
      </c>
      <c r="B1337" s="21" t="s">
        <v>2541</v>
      </c>
      <c r="C1337" s="8">
        <v>5</v>
      </c>
      <c r="D1337" s="40">
        <v>4.45</v>
      </c>
    </row>
    <row r="1338" spans="1:4" ht="15">
      <c r="A1338" s="6" t="s">
        <v>2538</v>
      </c>
      <c r="B1338" s="21" t="s">
        <v>2542</v>
      </c>
      <c r="C1338" s="8">
        <v>5</v>
      </c>
      <c r="D1338" s="40">
        <v>4.45</v>
      </c>
    </row>
    <row r="1339" spans="1:4" ht="15">
      <c r="A1339" s="6" t="s">
        <v>2538</v>
      </c>
      <c r="B1339" s="38" t="s">
        <v>2543</v>
      </c>
      <c r="C1339" s="39">
        <v>2</v>
      </c>
      <c r="D1339" s="40">
        <v>30</v>
      </c>
    </row>
    <row r="1340" spans="1:4" ht="15">
      <c r="A1340" s="6" t="s">
        <v>2538</v>
      </c>
      <c r="B1340" s="38" t="s">
        <v>13</v>
      </c>
      <c r="C1340" s="39">
        <v>1</v>
      </c>
      <c r="D1340" s="40">
        <v>20</v>
      </c>
    </row>
    <row r="1343" spans="1:4" ht="15.75">
      <c r="A1343" s="67" t="s">
        <v>192</v>
      </c>
      <c r="B1343" s="99" t="s">
        <v>198</v>
      </c>
      <c r="C1343" s="68" t="s">
        <v>2941</v>
      </c>
    </row>
    <row r="1344" spans="1:4" ht="15">
      <c r="A1344" s="740" t="s">
        <v>2519</v>
      </c>
      <c r="B1344" s="882">
        <v>20</v>
      </c>
      <c r="C1344" s="597">
        <v>2.15</v>
      </c>
    </row>
    <row r="1345" spans="1:7" ht="15">
      <c r="A1345" s="21"/>
      <c r="B1345" s="39">
        <v>1</v>
      </c>
      <c r="C1345" s="611">
        <v>125</v>
      </c>
    </row>
    <row r="1346" spans="1:7" ht="15">
      <c r="A1346" s="21"/>
      <c r="B1346" s="39">
        <v>1</v>
      </c>
      <c r="C1346" s="611">
        <v>12</v>
      </c>
    </row>
    <row r="1349" spans="1:7" ht="15.75">
      <c r="A1349" s="67" t="s">
        <v>192</v>
      </c>
      <c r="B1349" s="68" t="s">
        <v>163</v>
      </c>
      <c r="C1349" s="68" t="s">
        <v>197</v>
      </c>
      <c r="D1349" s="99" t="s">
        <v>198</v>
      </c>
      <c r="E1349" s="68" t="s">
        <v>2941</v>
      </c>
      <c r="F1349" s="68" t="s">
        <v>159</v>
      </c>
    </row>
    <row r="1350" spans="1:7" ht="15.75">
      <c r="A1350" s="739">
        <v>258176</v>
      </c>
      <c r="B1350" s="93">
        <v>13.7</v>
      </c>
      <c r="C1350" s="94">
        <v>18</v>
      </c>
      <c r="D1350" s="108">
        <v>246.6</v>
      </c>
      <c r="E1350" s="884">
        <v>2.4</v>
      </c>
      <c r="F1350" s="72" t="s">
        <v>137</v>
      </c>
    </row>
    <row r="1351" spans="1:7" ht="15.75">
      <c r="A1351" s="739">
        <v>258176</v>
      </c>
      <c r="B1351" s="93">
        <v>13.7</v>
      </c>
      <c r="C1351" s="94">
        <v>12</v>
      </c>
      <c r="D1351" s="108">
        <v>164.39999999999998</v>
      </c>
      <c r="E1351" s="884">
        <v>2.4</v>
      </c>
      <c r="F1351" s="72" t="s">
        <v>3053</v>
      </c>
    </row>
    <row r="1352" spans="1:7" ht="15.75">
      <c r="A1352" s="48"/>
      <c r="B1352" s="39"/>
      <c r="C1352" s="39" t="s">
        <v>28</v>
      </c>
      <c r="D1352" s="93"/>
      <c r="E1352" s="611">
        <v>12</v>
      </c>
      <c r="F1352" s="72"/>
    </row>
    <row r="1355" spans="1:7" ht="15.75">
      <c r="A1355" s="67" t="s">
        <v>39</v>
      </c>
      <c r="B1355" s="68" t="s">
        <v>45</v>
      </c>
      <c r="C1355" s="68" t="s">
        <v>163</v>
      </c>
      <c r="D1355" s="68" t="s">
        <v>197</v>
      </c>
      <c r="E1355" s="99" t="s">
        <v>198</v>
      </c>
      <c r="F1355" s="68" t="s">
        <v>2941</v>
      </c>
      <c r="G1355" s="68" t="s">
        <v>159</v>
      </c>
    </row>
    <row r="1356" spans="1:7" ht="15.75">
      <c r="A1356" s="6" t="s">
        <v>3054</v>
      </c>
      <c r="B1356" s="21" t="s">
        <v>25</v>
      </c>
      <c r="C1356" s="93">
        <v>13.7</v>
      </c>
      <c r="D1356" s="94">
        <v>12</v>
      </c>
      <c r="E1356" s="108">
        <v>164.39999999999998</v>
      </c>
      <c r="F1356" s="884">
        <v>2.4</v>
      </c>
      <c r="G1356" s="72" t="s">
        <v>3053</v>
      </c>
    </row>
    <row r="1357" spans="1:7" ht="15.75">
      <c r="A1357" s="6"/>
      <c r="B1357" s="21"/>
      <c r="C1357" s="55"/>
      <c r="D1357" s="56"/>
      <c r="E1357" s="55"/>
      <c r="F1357" s="15"/>
      <c r="G1357" s="72"/>
    </row>
    <row r="1358" spans="1:7" ht="15.75">
      <c r="A1358" s="6" t="s">
        <v>3055</v>
      </c>
      <c r="B1358" s="21" t="s">
        <v>25</v>
      </c>
      <c r="C1358" s="93">
        <v>13.7</v>
      </c>
      <c r="D1358" s="94">
        <v>15</v>
      </c>
      <c r="E1358" s="108">
        <v>205.5</v>
      </c>
      <c r="F1358" s="597">
        <v>5.46</v>
      </c>
      <c r="G1358" s="72" t="s">
        <v>3053</v>
      </c>
    </row>
    <row r="1359" spans="1:7" ht="15.75">
      <c r="A1359" s="6" t="s">
        <v>3055</v>
      </c>
      <c r="B1359" s="38" t="s">
        <v>13</v>
      </c>
      <c r="C1359" s="39"/>
      <c r="D1359" s="39" t="s">
        <v>28</v>
      </c>
      <c r="E1359" s="93"/>
      <c r="F1359" s="611">
        <v>12</v>
      </c>
      <c r="G1359" s="72"/>
    </row>
    <row r="1362" spans="1:4" ht="15.75">
      <c r="A1362" s="74" t="s">
        <v>99</v>
      </c>
      <c r="B1362" s="75" t="s">
        <v>142</v>
      </c>
      <c r="C1362" s="89" t="s">
        <v>151</v>
      </c>
    </row>
    <row r="1363" spans="1:4" ht="15">
      <c r="A1363" s="21">
        <v>3336</v>
      </c>
      <c r="B1363" s="55" t="s">
        <v>3056</v>
      </c>
      <c r="C1363" s="611">
        <v>0.88</v>
      </c>
    </row>
    <row r="1364" spans="1:4" ht="15">
      <c r="A1364" s="21">
        <v>3336</v>
      </c>
      <c r="B1364" s="55" t="s">
        <v>3056</v>
      </c>
      <c r="C1364" s="611">
        <v>1.07</v>
      </c>
    </row>
    <row r="1367" spans="1:4" ht="15.75">
      <c r="A1367" s="74" t="s">
        <v>99</v>
      </c>
      <c r="B1367" s="75" t="s">
        <v>3057</v>
      </c>
      <c r="C1367" s="89" t="s">
        <v>151</v>
      </c>
      <c r="D1367" s="89" t="s">
        <v>199</v>
      </c>
    </row>
    <row r="1368" spans="1:4" ht="15">
      <c r="A1368" s="21">
        <v>3336</v>
      </c>
      <c r="B1368" s="55" t="s">
        <v>3058</v>
      </c>
      <c r="C1368" s="611">
        <v>0.88</v>
      </c>
      <c r="D1368" s="28" t="s">
        <v>3059</v>
      </c>
    </row>
    <row r="1369" spans="1:4" ht="15">
      <c r="A1369" s="21">
        <v>3336</v>
      </c>
      <c r="B1369" s="55" t="s">
        <v>3060</v>
      </c>
      <c r="C1369" s="611">
        <v>1.07</v>
      </c>
      <c r="D1369" s="28" t="s">
        <v>3059</v>
      </c>
    </row>
    <row r="1370" spans="1:4" ht="15">
      <c r="A1370" s="21" t="s">
        <v>3061</v>
      </c>
      <c r="B1370" s="55"/>
      <c r="C1370" s="1005" t="s">
        <v>149</v>
      </c>
      <c r="D1370" s="28"/>
    </row>
    <row r="1371" spans="1:4" ht="15">
      <c r="A1371" s="74" t="s">
        <v>99</v>
      </c>
      <c r="B1371" s="74" t="s">
        <v>18</v>
      </c>
      <c r="C1371" s="74" t="s">
        <v>109</v>
      </c>
    </row>
    <row r="1372" spans="1:4" ht="15">
      <c r="A1372" s="740" t="s">
        <v>2549</v>
      </c>
      <c r="B1372" s="163">
        <v>4</v>
      </c>
      <c r="C1372" s="21" t="s">
        <v>201</v>
      </c>
      <c r="D1372" s="11"/>
    </row>
    <row r="1373" spans="1:4" ht="15">
      <c r="A1373" s="740" t="s">
        <v>274</v>
      </c>
      <c r="B1373" s="163">
        <v>4</v>
      </c>
      <c r="C1373" s="21" t="s">
        <v>3062</v>
      </c>
      <c r="D1373" s="11"/>
    </row>
    <row r="1374" spans="1:4" ht="15">
      <c r="A1374" s="740" t="s">
        <v>2550</v>
      </c>
      <c r="B1374" s="163">
        <v>4</v>
      </c>
      <c r="C1374" s="21" t="s">
        <v>3063</v>
      </c>
      <c r="D1374" s="11"/>
    </row>
    <row r="1375" spans="1:4" ht="15">
      <c r="A1375" s="740" t="s">
        <v>2551</v>
      </c>
      <c r="B1375" s="163">
        <v>1</v>
      </c>
      <c r="C1375" s="21" t="s">
        <v>3064</v>
      </c>
      <c r="D1375" s="11"/>
    </row>
    <row r="1378" spans="1:10" ht="14.25">
      <c r="A1378" s="284" t="s">
        <v>22</v>
      </c>
      <c r="B1378" s="96" t="s">
        <v>51</v>
      </c>
      <c r="C1378" s="96" t="s">
        <v>3065</v>
      </c>
      <c r="D1378" s="1047" t="s">
        <v>256</v>
      </c>
    </row>
    <row r="1379" spans="1:10" ht="14.25">
      <c r="A1379" s="47" t="s">
        <v>3066</v>
      </c>
      <c r="B1379" s="46">
        <v>30</v>
      </c>
      <c r="C1379" s="53">
        <v>14</v>
      </c>
      <c r="D1379" s="46">
        <v>420</v>
      </c>
    </row>
    <row r="1380" spans="1:10" ht="14.25">
      <c r="A1380" s="47" t="s">
        <v>3066</v>
      </c>
      <c r="B1380" s="46">
        <v>30</v>
      </c>
      <c r="C1380" s="53">
        <v>34</v>
      </c>
      <c r="D1380" s="46">
        <v>1020</v>
      </c>
    </row>
    <row r="1382" spans="1:10" s="247" customFormat="1" ht="15.75">
      <c r="A1382" s="68" t="s">
        <v>99</v>
      </c>
      <c r="B1382" s="68" t="s">
        <v>163</v>
      </c>
      <c r="C1382" s="68" t="s">
        <v>197</v>
      </c>
      <c r="D1382" s="99" t="s">
        <v>198</v>
      </c>
      <c r="E1382" s="68" t="s">
        <v>2941</v>
      </c>
    </row>
    <row r="1383" spans="1:10" s="247" customFormat="1" ht="15">
      <c r="A1383" s="21">
        <v>1966</v>
      </c>
      <c r="B1383" s="93">
        <v>30</v>
      </c>
      <c r="C1383" s="94">
        <v>14</v>
      </c>
      <c r="D1383" s="93">
        <v>420</v>
      </c>
      <c r="E1383" s="611">
        <v>0.63</v>
      </c>
    </row>
    <row r="1384" spans="1:10" s="247" customFormat="1" ht="15">
      <c r="A1384" s="21">
        <v>1966</v>
      </c>
      <c r="B1384" s="93">
        <v>30</v>
      </c>
      <c r="C1384" s="94">
        <v>34</v>
      </c>
      <c r="D1384" s="93">
        <v>1020</v>
      </c>
      <c r="E1384" s="611">
        <v>0.63</v>
      </c>
    </row>
    <row r="1385" spans="1:10" s="247" customFormat="1" ht="15">
      <c r="A1385" s="48"/>
      <c r="B1385" s="39"/>
      <c r="C1385" s="39">
        <v>1</v>
      </c>
      <c r="D1385" s="39">
        <v>1</v>
      </c>
      <c r="E1385" s="611">
        <v>12</v>
      </c>
    </row>
    <row r="1388" spans="1:10" s="269" customFormat="1" ht="13.5" customHeight="1">
      <c r="A1388" s="2086" t="s">
        <v>174</v>
      </c>
      <c r="B1388" s="2087" t="s">
        <v>161</v>
      </c>
      <c r="C1388" s="2085" t="s">
        <v>241</v>
      </c>
      <c r="D1388" s="2087" t="s">
        <v>205</v>
      </c>
      <c r="E1388" s="2107" t="s">
        <v>206</v>
      </c>
      <c r="F1388" s="2080" t="s">
        <v>207</v>
      </c>
      <c r="G1388" s="2082" t="s">
        <v>175</v>
      </c>
      <c r="H1388" s="2083" t="s">
        <v>176</v>
      </c>
      <c r="I1388" s="595"/>
      <c r="J1388" s="184"/>
    </row>
    <row r="1389" spans="1:10" s="269" customFormat="1" ht="13.5" customHeight="1">
      <c r="A1389" s="2086"/>
      <c r="B1389" s="2088"/>
      <c r="C1389" s="2085"/>
      <c r="D1389" s="2088"/>
      <c r="E1389" s="2108"/>
      <c r="F1389" s="2081"/>
      <c r="G1389" s="2082"/>
      <c r="H1389" s="2084"/>
      <c r="I1389" s="185"/>
      <c r="J1389" s="185"/>
    </row>
    <row r="1390" spans="1:10" s="269" customFormat="1" ht="13.5" customHeight="1">
      <c r="A1390" s="189" t="s">
        <v>3067</v>
      </c>
      <c r="B1390" s="190" t="s">
        <v>177</v>
      </c>
      <c r="C1390" s="188">
        <v>8</v>
      </c>
      <c r="D1390" s="1048" t="s">
        <v>243</v>
      </c>
      <c r="E1390" s="270">
        <v>34.729999999999997</v>
      </c>
      <c r="F1390" s="1049">
        <v>27.78</v>
      </c>
      <c r="G1390" s="186" t="s">
        <v>178</v>
      </c>
      <c r="H1390" s="187"/>
      <c r="I1390" s="187"/>
      <c r="J1390" s="187"/>
    </row>
    <row r="1391" spans="1:10" s="269" customFormat="1" ht="13.5" customHeight="1">
      <c r="A1391" s="189" t="s">
        <v>244</v>
      </c>
      <c r="B1391" s="190" t="s">
        <v>177</v>
      </c>
      <c r="C1391" s="188">
        <v>8</v>
      </c>
      <c r="D1391" s="1048" t="s">
        <v>243</v>
      </c>
      <c r="E1391" s="270">
        <v>22.23</v>
      </c>
      <c r="F1391" s="1049">
        <v>20.84</v>
      </c>
      <c r="G1391" s="186" t="s">
        <v>178</v>
      </c>
      <c r="H1391" s="186"/>
      <c r="I1391" s="186"/>
      <c r="J1391" s="186"/>
    </row>
    <row r="1392" spans="1:10" s="269" customFormat="1" ht="13.5" customHeight="1">
      <c r="A1392" s="189" t="s">
        <v>3068</v>
      </c>
      <c r="B1392" s="190" t="s">
        <v>177</v>
      </c>
      <c r="C1392" s="188">
        <v>54</v>
      </c>
      <c r="D1392" s="1048" t="s">
        <v>3069</v>
      </c>
      <c r="E1392" s="270">
        <v>11.12</v>
      </c>
      <c r="F1392" s="1049">
        <v>10.28</v>
      </c>
      <c r="G1392" s="1050" t="s">
        <v>179</v>
      </c>
      <c r="H1392" s="186"/>
      <c r="I1392" s="186"/>
      <c r="J1392" s="186"/>
    </row>
    <row r="1393" spans="1:10" s="269" customFormat="1" ht="13.5" customHeight="1">
      <c r="A1393" s="189" t="s">
        <v>3070</v>
      </c>
      <c r="B1393" s="190" t="s">
        <v>177</v>
      </c>
      <c r="C1393" s="188">
        <v>58</v>
      </c>
      <c r="D1393" s="1048" t="s">
        <v>3069</v>
      </c>
      <c r="E1393" s="270">
        <v>13.2</v>
      </c>
      <c r="F1393" s="1049">
        <v>12.23</v>
      </c>
      <c r="G1393" s="271" t="s">
        <v>3071</v>
      </c>
      <c r="H1393" s="187"/>
      <c r="I1393" s="187"/>
      <c r="J1393" s="187"/>
    </row>
    <row r="1394" spans="1:10" s="269" customFormat="1" ht="13.5" customHeight="1">
      <c r="A1394" s="189" t="s">
        <v>3072</v>
      </c>
      <c r="B1394" s="190" t="s">
        <v>177</v>
      </c>
      <c r="C1394" s="188">
        <v>48</v>
      </c>
      <c r="D1394" s="1048" t="s">
        <v>3069</v>
      </c>
      <c r="E1394" s="270">
        <v>12.23</v>
      </c>
      <c r="F1394" s="1049">
        <v>10.7</v>
      </c>
      <c r="G1394" s="271" t="s">
        <v>3071</v>
      </c>
      <c r="H1394" s="186"/>
      <c r="I1394" s="186"/>
      <c r="J1394" s="186"/>
    </row>
    <row r="1395" spans="1:10" s="269" customFormat="1" ht="13.5" customHeight="1">
      <c r="A1395" s="189" t="s">
        <v>3073</v>
      </c>
      <c r="B1395" s="190" t="s">
        <v>3074</v>
      </c>
      <c r="C1395" s="188">
        <v>48</v>
      </c>
      <c r="D1395" s="1048" t="s">
        <v>3069</v>
      </c>
      <c r="E1395" s="270">
        <v>10.84</v>
      </c>
      <c r="F1395" s="1049">
        <v>8.34</v>
      </c>
      <c r="G1395" s="1050" t="s">
        <v>178</v>
      </c>
      <c r="H1395" s="186"/>
      <c r="I1395" s="186"/>
      <c r="J1395" s="186"/>
    </row>
    <row r="1396" spans="1:10" s="269" customFormat="1" ht="13.5" customHeight="1">
      <c r="A1396" s="189" t="s">
        <v>3075</v>
      </c>
      <c r="B1396" s="190" t="s">
        <v>177</v>
      </c>
      <c r="C1396" s="188">
        <v>28</v>
      </c>
      <c r="D1396" s="1048" t="s">
        <v>3069</v>
      </c>
      <c r="E1396" s="270">
        <v>6.25</v>
      </c>
      <c r="F1396" s="1049">
        <v>4.45</v>
      </c>
      <c r="G1396" s="271" t="s">
        <v>208</v>
      </c>
      <c r="H1396" s="187"/>
      <c r="I1396" s="187"/>
      <c r="J1396" s="187"/>
    </row>
    <row r="1397" spans="1:10" s="269" customFormat="1" ht="13.5" customHeight="1">
      <c r="A1397" s="189" t="s">
        <v>77</v>
      </c>
      <c r="B1397" s="190" t="s">
        <v>177</v>
      </c>
      <c r="C1397" s="188">
        <v>19</v>
      </c>
      <c r="D1397" s="1048" t="s">
        <v>3069</v>
      </c>
      <c r="E1397" s="270">
        <v>6.25</v>
      </c>
      <c r="F1397" s="1049">
        <v>4.5199999999999996</v>
      </c>
      <c r="G1397" s="271" t="s">
        <v>208</v>
      </c>
      <c r="H1397" s="186"/>
      <c r="I1397" s="186"/>
      <c r="J1397" s="186"/>
    </row>
    <row r="1398" spans="1:10" s="269" customFormat="1" ht="13.5" customHeight="1">
      <c r="A1398" s="189" t="s">
        <v>3076</v>
      </c>
      <c r="B1398" s="190" t="s">
        <v>3077</v>
      </c>
      <c r="C1398" s="188">
        <v>23</v>
      </c>
      <c r="D1398" s="1048" t="s">
        <v>3069</v>
      </c>
      <c r="E1398" s="270">
        <v>4.3099999999999996</v>
      </c>
      <c r="F1398" s="1049">
        <v>3.34</v>
      </c>
      <c r="G1398" s="271" t="s">
        <v>208</v>
      </c>
      <c r="H1398" s="187"/>
      <c r="I1398" s="187"/>
      <c r="J1398" s="187"/>
    </row>
    <row r="1399" spans="1:10" s="269" customFormat="1" ht="13.5" customHeight="1">
      <c r="A1399" s="189" t="s">
        <v>3078</v>
      </c>
      <c r="B1399" s="190" t="s">
        <v>3079</v>
      </c>
      <c r="C1399" s="188">
        <v>38</v>
      </c>
      <c r="D1399" s="1048" t="s">
        <v>3069</v>
      </c>
      <c r="E1399" s="270">
        <v>8.89</v>
      </c>
      <c r="F1399" s="1049">
        <v>7.2299999999999995</v>
      </c>
      <c r="G1399" s="271" t="s">
        <v>3071</v>
      </c>
      <c r="H1399" s="186"/>
      <c r="I1399" s="186"/>
      <c r="J1399" s="186"/>
    </row>
    <row r="1400" spans="1:10" s="269" customFormat="1" ht="13.5" customHeight="1">
      <c r="A1400" s="189" t="s">
        <v>2557</v>
      </c>
      <c r="B1400" s="190" t="s">
        <v>177</v>
      </c>
      <c r="C1400" s="188">
        <v>20</v>
      </c>
      <c r="D1400" s="1048" t="s">
        <v>3069</v>
      </c>
      <c r="E1400" s="270">
        <v>5.84</v>
      </c>
      <c r="F1400" s="1049">
        <v>3.8899999999999997</v>
      </c>
      <c r="G1400" s="271" t="s">
        <v>3080</v>
      </c>
      <c r="H1400" s="187"/>
      <c r="I1400" s="187"/>
      <c r="J1400" s="187"/>
    </row>
    <row r="1401" spans="1:10" s="269" customFormat="1" ht="13.5" customHeight="1">
      <c r="A1401" s="189" t="s">
        <v>3081</v>
      </c>
      <c r="B1401" s="190" t="s">
        <v>177</v>
      </c>
      <c r="C1401" s="188">
        <v>32</v>
      </c>
      <c r="D1401" s="1048" t="s">
        <v>3069</v>
      </c>
      <c r="E1401" s="270">
        <v>4.17</v>
      </c>
      <c r="F1401" s="1049">
        <v>2.78</v>
      </c>
      <c r="G1401" s="271" t="s">
        <v>208</v>
      </c>
      <c r="H1401" s="187"/>
      <c r="I1401" s="187"/>
      <c r="J1401" s="187"/>
    </row>
    <row r="1402" spans="1:10" s="269" customFormat="1" ht="13.5" customHeight="1">
      <c r="A1402" s="189" t="s">
        <v>3082</v>
      </c>
      <c r="B1402" s="190" t="s">
        <v>177</v>
      </c>
      <c r="C1402" s="188">
        <v>32</v>
      </c>
      <c r="D1402" s="1048" t="s">
        <v>3069</v>
      </c>
      <c r="E1402" s="270">
        <v>6.25</v>
      </c>
      <c r="F1402" s="1049">
        <v>2.9899999999999998</v>
      </c>
      <c r="G1402" s="271" t="s">
        <v>208</v>
      </c>
      <c r="H1402" s="186"/>
      <c r="I1402" s="186"/>
      <c r="J1402" s="186"/>
    </row>
    <row r="1403" spans="1:10" s="269" customFormat="1" ht="13.5" customHeight="1">
      <c r="A1403" s="189" t="s">
        <v>3083</v>
      </c>
      <c r="B1403" s="190" t="s">
        <v>177</v>
      </c>
      <c r="C1403" s="188">
        <v>32</v>
      </c>
      <c r="D1403" s="1048" t="s">
        <v>3069</v>
      </c>
      <c r="E1403" s="270">
        <v>6.39</v>
      </c>
      <c r="F1403" s="1049">
        <v>4.45</v>
      </c>
      <c r="G1403" s="271" t="s">
        <v>208</v>
      </c>
      <c r="H1403" s="187"/>
      <c r="I1403" s="187"/>
      <c r="J1403" s="187"/>
    </row>
    <row r="1404" spans="1:10" s="269" customFormat="1" ht="13.5" customHeight="1">
      <c r="A1404" s="189" t="s">
        <v>3084</v>
      </c>
      <c r="B1404" s="190" t="s">
        <v>177</v>
      </c>
      <c r="C1404" s="188">
        <v>32</v>
      </c>
      <c r="D1404" s="1048" t="s">
        <v>3069</v>
      </c>
      <c r="E1404" s="270">
        <v>6.67</v>
      </c>
      <c r="F1404" s="1049">
        <v>4.17</v>
      </c>
      <c r="G1404" s="188" t="s">
        <v>179</v>
      </c>
      <c r="H1404" s="1051"/>
      <c r="I1404" s="1051"/>
      <c r="J1404" s="187"/>
    </row>
    <row r="1405" spans="1:10" s="269" customFormat="1" ht="13.5" customHeight="1">
      <c r="A1405" s="189" t="s">
        <v>3085</v>
      </c>
      <c r="B1405" s="190" t="s">
        <v>177</v>
      </c>
      <c r="C1405" s="188">
        <v>42</v>
      </c>
      <c r="D1405" s="1048" t="s">
        <v>3069</v>
      </c>
      <c r="E1405" s="270">
        <v>6.5299999999999994</v>
      </c>
      <c r="F1405" s="1049">
        <v>4.45</v>
      </c>
      <c r="G1405" s="271" t="s">
        <v>208</v>
      </c>
      <c r="H1405" s="186"/>
      <c r="I1405" s="186"/>
      <c r="J1405" s="187"/>
    </row>
    <row r="1406" spans="1:10" s="269" customFormat="1" ht="13.5" customHeight="1">
      <c r="A1406" s="189" t="s">
        <v>3086</v>
      </c>
      <c r="B1406" s="190" t="s">
        <v>246</v>
      </c>
      <c r="C1406" s="188">
        <v>28</v>
      </c>
      <c r="D1406" s="1048" t="s">
        <v>3069</v>
      </c>
      <c r="E1406" s="270">
        <v>3.48</v>
      </c>
      <c r="F1406" s="1049">
        <v>2.44</v>
      </c>
      <c r="G1406" s="271" t="s">
        <v>208</v>
      </c>
      <c r="H1406" s="187"/>
      <c r="I1406" s="186"/>
      <c r="J1406" s="186"/>
    </row>
    <row r="1409" spans="1:6" ht="15">
      <c r="A1409" s="74" t="s">
        <v>99</v>
      </c>
      <c r="B1409" s="74" t="s">
        <v>18</v>
      </c>
      <c r="C1409" s="74" t="s">
        <v>109</v>
      </c>
    </row>
    <row r="1410" spans="1:6" ht="15">
      <c r="A1410" s="740" t="s">
        <v>274</v>
      </c>
      <c r="B1410" s="163">
        <v>10</v>
      </c>
      <c r="C1410" s="21" t="s">
        <v>3062</v>
      </c>
    </row>
    <row r="1413" spans="1:6" ht="15.75">
      <c r="A1413" s="74" t="s">
        <v>39</v>
      </c>
      <c r="B1413" s="74" t="s">
        <v>17</v>
      </c>
      <c r="C1413" s="74" t="s">
        <v>18</v>
      </c>
      <c r="D1413" s="68" t="s">
        <v>2941</v>
      </c>
    </row>
    <row r="1414" spans="1:6" ht="15">
      <c r="A1414" s="6" t="s">
        <v>2560</v>
      </c>
      <c r="B1414" s="21" t="s">
        <v>25</v>
      </c>
      <c r="C1414" s="163">
        <v>10</v>
      </c>
      <c r="D1414" s="597">
        <v>0.82</v>
      </c>
    </row>
    <row r="1415" spans="1:6" ht="15">
      <c r="A1415" s="6" t="s">
        <v>2560</v>
      </c>
      <c r="B1415" s="38" t="s">
        <v>13</v>
      </c>
      <c r="C1415" s="39">
        <v>1</v>
      </c>
      <c r="D1415" s="611">
        <v>12</v>
      </c>
    </row>
    <row r="1417" spans="1:6" s="269" customFormat="1" ht="13.5" customHeight="1">
      <c r="A1417" s="2086" t="s">
        <v>174</v>
      </c>
      <c r="B1417" s="2087" t="s">
        <v>161</v>
      </c>
      <c r="C1417" s="2085" t="s">
        <v>142</v>
      </c>
      <c r="D1417" s="2059" t="s">
        <v>206</v>
      </c>
      <c r="E1417" s="2089" t="s">
        <v>180</v>
      </c>
      <c r="F1417" s="1052"/>
    </row>
    <row r="1418" spans="1:6" s="269" customFormat="1" ht="13.5" customHeight="1">
      <c r="A1418" s="2086"/>
      <c r="B1418" s="2088"/>
      <c r="C1418" s="2085"/>
      <c r="D1418" s="2060"/>
      <c r="E1418" s="2090"/>
      <c r="F1418" s="1053"/>
    </row>
    <row r="1419" spans="1:6" s="269" customFormat="1" ht="16.149999999999999" customHeight="1">
      <c r="A1419" s="189" t="s">
        <v>3087</v>
      </c>
      <c r="B1419" s="190" t="s">
        <v>177</v>
      </c>
      <c r="C1419" s="188" t="s">
        <v>3088</v>
      </c>
      <c r="D1419" s="1054">
        <v>38.89</v>
      </c>
      <c r="E1419" s="1055" t="s">
        <v>3089</v>
      </c>
      <c r="F1419" s="186"/>
    </row>
    <row r="1422" spans="1:6" ht="13.15" customHeight="1">
      <c r="A1422" s="2086" t="s">
        <v>174</v>
      </c>
      <c r="B1422" s="2087" t="s">
        <v>161</v>
      </c>
      <c r="C1422" s="2109" t="s">
        <v>3090</v>
      </c>
      <c r="D1422" s="2059" t="s">
        <v>3091</v>
      </c>
      <c r="E1422" s="2059" t="s">
        <v>3092</v>
      </c>
      <c r="F1422" s="2085" t="s">
        <v>180</v>
      </c>
    </row>
    <row r="1423" spans="1:6" ht="13.15" customHeight="1">
      <c r="A1423" s="2086"/>
      <c r="B1423" s="2088"/>
      <c r="C1423" s="2110"/>
      <c r="D1423" s="2060"/>
      <c r="E1423" s="2060"/>
      <c r="F1423" s="2085"/>
    </row>
    <row r="1424" spans="1:6">
      <c r="A1424" s="189" t="s">
        <v>3093</v>
      </c>
      <c r="B1424" s="190" t="s">
        <v>177</v>
      </c>
      <c r="C1424" s="1054" t="s">
        <v>3094</v>
      </c>
      <c r="D1424" s="1054">
        <v>50</v>
      </c>
      <c r="E1424" s="1054">
        <v>43.06</v>
      </c>
      <c r="F1424" s="1055" t="s">
        <v>3095</v>
      </c>
    </row>
    <row r="1427" spans="1:5" ht="15.75">
      <c r="A1427" s="74" t="s">
        <v>39</v>
      </c>
      <c r="B1427" s="74" t="s">
        <v>41</v>
      </c>
      <c r="C1427" s="74" t="s">
        <v>45</v>
      </c>
      <c r="D1427" s="74" t="s">
        <v>18</v>
      </c>
      <c r="E1427" s="68" t="s">
        <v>2941</v>
      </c>
    </row>
    <row r="1428" spans="1:5" ht="15">
      <c r="A1428" s="27" t="s">
        <v>2561</v>
      </c>
      <c r="B1428" s="52">
        <v>112</v>
      </c>
      <c r="C1428" s="47" t="s">
        <v>2525</v>
      </c>
      <c r="D1428" s="17">
        <v>38.700000000000003</v>
      </c>
      <c r="E1428" s="611">
        <v>7.39</v>
      </c>
    </row>
    <row r="1429" spans="1:5" ht="15">
      <c r="A1429" s="27" t="s">
        <v>2561</v>
      </c>
      <c r="B1429" s="38"/>
      <c r="C1429" s="38" t="s">
        <v>13</v>
      </c>
      <c r="D1429" s="39">
        <v>1</v>
      </c>
      <c r="E1429" s="611">
        <v>12</v>
      </c>
    </row>
    <row r="1431" spans="1:5" ht="15.75">
      <c r="A1431" s="74" t="s">
        <v>99</v>
      </c>
      <c r="B1431" s="74" t="s">
        <v>18</v>
      </c>
      <c r="C1431" s="68" t="s">
        <v>3096</v>
      </c>
    </row>
    <row r="1432" spans="1:5" ht="15">
      <c r="A1432" s="740" t="s">
        <v>2568</v>
      </c>
      <c r="B1432" s="882">
        <v>1</v>
      </c>
      <c r="C1432" s="597">
        <v>2.21</v>
      </c>
    </row>
    <row r="1433" spans="1:5" ht="15">
      <c r="A1433" s="740" t="s">
        <v>2569</v>
      </c>
      <c r="B1433" s="882">
        <v>1</v>
      </c>
      <c r="C1433" s="597">
        <v>2.2799999999999998</v>
      </c>
    </row>
    <row r="1434" spans="1:5" ht="15">
      <c r="A1434" s="740" t="s">
        <v>2570</v>
      </c>
      <c r="B1434" s="882">
        <v>1</v>
      </c>
      <c r="C1434" s="597">
        <v>2.6</v>
      </c>
    </row>
    <row r="1435" spans="1:5" ht="15">
      <c r="A1435" s="740" t="s">
        <v>2571</v>
      </c>
      <c r="B1435" s="882">
        <v>1</v>
      </c>
      <c r="C1435" s="597">
        <v>2.41</v>
      </c>
    </row>
    <row r="1436" spans="1:5" ht="15.75">
      <c r="A1436" s="74" t="s">
        <v>99</v>
      </c>
      <c r="B1436" s="74" t="s">
        <v>18</v>
      </c>
      <c r="C1436" s="68" t="s">
        <v>3097</v>
      </c>
    </row>
    <row r="1437" spans="1:5" ht="15">
      <c r="A1437" s="740" t="s">
        <v>2574</v>
      </c>
      <c r="B1437" s="887">
        <v>1</v>
      </c>
      <c r="C1437" s="597">
        <v>4.16</v>
      </c>
    </row>
    <row r="1438" spans="1:5" ht="15">
      <c r="A1438" s="740" t="s">
        <v>2575</v>
      </c>
      <c r="B1438" s="887">
        <v>1</v>
      </c>
      <c r="C1438" s="597">
        <v>8.58</v>
      </c>
    </row>
    <row r="1439" spans="1:5" ht="15">
      <c r="A1439" s="21"/>
      <c r="B1439" s="39">
        <v>1</v>
      </c>
      <c r="C1439" s="40">
        <v>15</v>
      </c>
    </row>
    <row r="1441" spans="1:6" ht="31.5">
      <c r="A1441" s="195" t="s">
        <v>153</v>
      </c>
      <c r="B1441" s="196" t="s">
        <v>187</v>
      </c>
      <c r="C1441" s="197" t="s">
        <v>186</v>
      </c>
      <c r="D1441" s="197" t="s">
        <v>195</v>
      </c>
      <c r="E1441" s="194" t="s">
        <v>196</v>
      </c>
      <c r="F1441" s="194" t="s">
        <v>189</v>
      </c>
    </row>
    <row r="1442" spans="1:6" ht="15">
      <c r="A1442" s="21" t="s">
        <v>2043</v>
      </c>
      <c r="B1442" s="38" t="s">
        <v>188</v>
      </c>
      <c r="C1442" s="898">
        <f>ROUNDUP(158/0.7/110,2)</f>
        <v>2.0599999999999996</v>
      </c>
      <c r="D1442" s="898">
        <f>ROUNDUP((158+90)/0.7/110,2)</f>
        <v>3.23</v>
      </c>
      <c r="E1442" s="206" t="s">
        <v>3098</v>
      </c>
      <c r="F1442" s="198"/>
    </row>
    <row r="1443" spans="1:6" ht="46.15" customHeight="1">
      <c r="A1443" s="21" t="s">
        <v>3099</v>
      </c>
      <c r="B1443" s="38" t="s">
        <v>3100</v>
      </c>
      <c r="C1443" s="898">
        <f>ROUNDUP(93/0.7/110,2)</f>
        <v>1.21</v>
      </c>
      <c r="D1443" s="898">
        <f>ROUNDUP(93/0.7/110,2)</f>
        <v>1.21</v>
      </c>
      <c r="E1443" s="1056" t="s">
        <v>3101</v>
      </c>
      <c r="F1443" s="198"/>
    </row>
    <row r="1447" spans="1:6" ht="15.75">
      <c r="A1447" s="74" t="s">
        <v>99</v>
      </c>
      <c r="B1447" s="74" t="s">
        <v>18</v>
      </c>
      <c r="C1447" s="68" t="s">
        <v>212</v>
      </c>
    </row>
    <row r="1448" spans="1:6" ht="14.25">
      <c r="A1448" s="1057" t="s">
        <v>3102</v>
      </c>
      <c r="B1448" s="231">
        <v>1</v>
      </c>
      <c r="C1448" s="1058">
        <v>3.07</v>
      </c>
    </row>
    <row r="1449" spans="1:6" ht="14.25">
      <c r="A1449" s="1057" t="s">
        <v>3103</v>
      </c>
      <c r="B1449" s="231">
        <v>2</v>
      </c>
      <c r="C1449" s="1058">
        <v>2.2599999999999998</v>
      </c>
    </row>
    <row r="1450" spans="1:6" ht="14.25">
      <c r="A1450" s="1057" t="s">
        <v>3104</v>
      </c>
      <c r="B1450" s="231">
        <v>1</v>
      </c>
      <c r="C1450" s="1058">
        <v>2.9299999999999997</v>
      </c>
    </row>
    <row r="1451" spans="1:6" ht="14.25">
      <c r="A1451" s="1057" t="s">
        <v>2425</v>
      </c>
      <c r="B1451" s="231">
        <v>1</v>
      </c>
      <c r="C1451" s="1058">
        <v>3.63</v>
      </c>
    </row>
    <row r="1452" spans="1:6" ht="14.25">
      <c r="A1452" s="1057" t="s">
        <v>3105</v>
      </c>
      <c r="B1452" s="231">
        <v>1</v>
      </c>
      <c r="C1452" s="1058">
        <v>2.34</v>
      </c>
    </row>
    <row r="1453" spans="1:6" ht="14.25">
      <c r="A1453" s="1057" t="s">
        <v>3106</v>
      </c>
      <c r="B1453" s="231">
        <v>2</v>
      </c>
      <c r="C1453" s="1058">
        <v>1.25</v>
      </c>
    </row>
    <row r="1454" spans="1:6" ht="14.25">
      <c r="A1454" s="1057" t="s">
        <v>3107</v>
      </c>
      <c r="B1454" s="231">
        <v>1</v>
      </c>
      <c r="C1454" s="1058">
        <v>3.5799999999999996</v>
      </c>
    </row>
    <row r="1455" spans="1:6" ht="14.25">
      <c r="A1455" s="1057" t="s">
        <v>3108</v>
      </c>
      <c r="B1455" s="231">
        <v>2</v>
      </c>
      <c r="C1455" s="1058">
        <v>1.45</v>
      </c>
    </row>
    <row r="1456" spans="1:6" ht="14.25">
      <c r="A1456" s="1057" t="s">
        <v>3109</v>
      </c>
      <c r="B1456" s="231">
        <v>2</v>
      </c>
      <c r="C1456" s="1058">
        <v>2.0799999999999996</v>
      </c>
    </row>
    <row r="1457" spans="1:6" ht="14.25">
      <c r="A1457" s="1057" t="s">
        <v>3110</v>
      </c>
      <c r="B1457" s="231">
        <v>2</v>
      </c>
      <c r="C1457" s="1058">
        <v>3.9699999999999998</v>
      </c>
    </row>
    <row r="1458" spans="1:6" ht="14.25">
      <c r="A1458" s="1057" t="s">
        <v>3111</v>
      </c>
      <c r="B1458" s="231">
        <v>1</v>
      </c>
      <c r="C1458" s="1058">
        <v>1.59</v>
      </c>
    </row>
    <row r="1459" spans="1:6" ht="14.25">
      <c r="A1459" s="78"/>
      <c r="B1459" s="233"/>
      <c r="C1459" s="1059">
        <v>30</v>
      </c>
    </row>
    <row r="1461" spans="1:6" ht="31.5">
      <c r="A1461" s="195" t="s">
        <v>153</v>
      </c>
      <c r="B1461" s="196" t="s">
        <v>187</v>
      </c>
      <c r="C1461" s="197" t="s">
        <v>186</v>
      </c>
      <c r="D1461" s="197" t="s">
        <v>195</v>
      </c>
      <c r="E1461" s="194" t="s">
        <v>196</v>
      </c>
      <c r="F1461" s="194" t="s">
        <v>3112</v>
      </c>
    </row>
    <row r="1462" spans="1:6" ht="15">
      <c r="A1462" s="21" t="s">
        <v>2445</v>
      </c>
      <c r="B1462" s="38" t="s">
        <v>188</v>
      </c>
      <c r="C1462" s="898">
        <v>5.3</v>
      </c>
      <c r="D1462" s="898">
        <v>6.47</v>
      </c>
      <c r="E1462" s="206" t="s">
        <v>3113</v>
      </c>
      <c r="F1462" s="198" t="s">
        <v>3114</v>
      </c>
    </row>
    <row r="1465" spans="1:6" ht="15.75">
      <c r="A1465" s="74" t="s">
        <v>39</v>
      </c>
      <c r="B1465" s="74" t="s">
        <v>45</v>
      </c>
      <c r="C1465" s="74" t="s">
        <v>18</v>
      </c>
      <c r="D1465" s="68" t="s">
        <v>212</v>
      </c>
    </row>
    <row r="1466" spans="1:6" ht="15">
      <c r="A1466" s="27" t="s">
        <v>2585</v>
      </c>
      <c r="B1466" s="21" t="s">
        <v>2586</v>
      </c>
      <c r="C1466" s="55">
        <v>20</v>
      </c>
      <c r="D1466" s="40">
        <v>5.84</v>
      </c>
    </row>
    <row r="1467" spans="1:6" ht="15">
      <c r="A1467" s="27" t="s">
        <v>2585</v>
      </c>
      <c r="B1467" s="21" t="s">
        <v>2587</v>
      </c>
      <c r="C1467" s="55">
        <v>20</v>
      </c>
      <c r="D1467" s="40">
        <v>5.84</v>
      </c>
    </row>
    <row r="1468" spans="1:6" ht="15">
      <c r="A1468" s="27" t="s">
        <v>2585</v>
      </c>
      <c r="B1468" s="21" t="s">
        <v>2588</v>
      </c>
      <c r="C1468" s="55">
        <v>20</v>
      </c>
      <c r="D1468" s="40">
        <v>5.84</v>
      </c>
    </row>
    <row r="1469" spans="1:6" ht="15">
      <c r="A1469" s="27" t="s">
        <v>2585</v>
      </c>
      <c r="B1469" s="38" t="s">
        <v>2543</v>
      </c>
      <c r="C1469" s="39">
        <v>3</v>
      </c>
      <c r="D1469" s="40">
        <v>45</v>
      </c>
    </row>
    <row r="1470" spans="1:6" ht="15">
      <c r="A1470" s="27" t="s">
        <v>2585</v>
      </c>
      <c r="B1470" s="38" t="s">
        <v>13</v>
      </c>
      <c r="C1470" s="39">
        <v>1</v>
      </c>
      <c r="D1470" s="40">
        <v>20</v>
      </c>
    </row>
    <row r="1474" spans="1:14" ht="31.5">
      <c r="A1474" s="196" t="s">
        <v>99</v>
      </c>
      <c r="B1474" s="196" t="s">
        <v>1810</v>
      </c>
      <c r="C1474" s="1060" t="s">
        <v>3115</v>
      </c>
      <c r="D1474" s="197" t="s">
        <v>186</v>
      </c>
      <c r="E1474" s="197" t="s">
        <v>3116</v>
      </c>
      <c r="F1474" s="239" t="s">
        <v>3117</v>
      </c>
      <c r="G1474" s="1061" t="s">
        <v>3118</v>
      </c>
      <c r="H1474" s="1062" t="s">
        <v>3119</v>
      </c>
      <c r="I1474" s="1062"/>
      <c r="J1474" s="1063" t="s">
        <v>3120</v>
      </c>
      <c r="K1474" s="1063" t="s">
        <v>3121</v>
      </c>
      <c r="L1474" s="1060"/>
      <c r="M1474" s="1061"/>
      <c r="N1474" s="131" t="s">
        <v>3122</v>
      </c>
    </row>
    <row r="1475" spans="1:14" ht="15">
      <c r="A1475" s="1064" t="s">
        <v>2063</v>
      </c>
      <c r="B1475" s="78" t="s">
        <v>3123</v>
      </c>
      <c r="C1475" s="1065">
        <v>900</v>
      </c>
      <c r="D1475" s="898">
        <f>ROUNDUP(C1475/0.8/110,2)</f>
        <v>10.23</v>
      </c>
      <c r="E1475" s="898" t="s">
        <v>149</v>
      </c>
      <c r="F1475" s="1066">
        <v>60</v>
      </c>
      <c r="G1475" s="1067"/>
      <c r="H1475" s="1068"/>
      <c r="I1475" s="1068"/>
      <c r="J1475" s="1069"/>
      <c r="K1475" s="1069"/>
      <c r="L1475" s="1070"/>
      <c r="M1475" s="1067"/>
    </row>
    <row r="1476" spans="1:14" ht="15">
      <c r="A1476" s="1064" t="s">
        <v>3124</v>
      </c>
      <c r="B1476" s="78" t="s">
        <v>3125</v>
      </c>
      <c r="C1476" s="1065">
        <v>1250</v>
      </c>
      <c r="D1476" s="898">
        <f t="shared" ref="D1476:D1486" si="6">ROUNDUP(C1476/0.7/110,2)</f>
        <v>16.240000000000002</v>
      </c>
      <c r="E1476" s="898" t="s">
        <v>149</v>
      </c>
      <c r="F1476" s="1066">
        <v>54.8</v>
      </c>
      <c r="G1476" s="1071">
        <v>350</v>
      </c>
      <c r="H1476" s="1072">
        <f t="shared" ref="H1476:H1486" si="7">C1476+G1476</f>
        <v>1600</v>
      </c>
      <c r="I1476" s="1072"/>
      <c r="J1476" s="1073" t="e">
        <f>CEILING(H1476/(1-$A$3)/$A$5,0.005)</f>
        <v>#VALUE!</v>
      </c>
      <c r="K1476" s="1074">
        <v>26.67</v>
      </c>
      <c r="L1476" s="1075" t="s">
        <v>3126</v>
      </c>
      <c r="M1476" s="1076">
        <v>9000</v>
      </c>
      <c r="N1476" s="1077"/>
    </row>
    <row r="1477" spans="1:14" ht="15">
      <c r="A1477" s="1064" t="s">
        <v>3127</v>
      </c>
      <c r="B1477" s="78" t="s">
        <v>3125</v>
      </c>
      <c r="C1477" s="1065">
        <v>400</v>
      </c>
      <c r="D1477" s="898">
        <f t="shared" si="6"/>
        <v>5.2</v>
      </c>
      <c r="E1477" s="898" t="s">
        <v>149</v>
      </c>
      <c r="F1477" s="1066">
        <v>82.2</v>
      </c>
      <c r="G1477" s="1071">
        <v>80</v>
      </c>
      <c r="H1477" s="1072">
        <f t="shared" si="7"/>
        <v>480</v>
      </c>
      <c r="I1477" s="1072"/>
      <c r="J1477" s="1073" t="e">
        <f>CEILING(H1477/(1-$A$3)/$A$5,0.005)</f>
        <v>#VALUE!</v>
      </c>
      <c r="K1477" s="1074">
        <v>8</v>
      </c>
      <c r="L1477" s="1078" t="s">
        <v>3128</v>
      </c>
      <c r="M1477" s="1079">
        <v>9000</v>
      </c>
      <c r="N1477" s="1077"/>
    </row>
    <row r="1478" spans="1:14" ht="15">
      <c r="A1478" s="259" t="s">
        <v>3129</v>
      </c>
      <c r="B1478" s="78" t="s">
        <v>3130</v>
      </c>
      <c r="C1478" s="1060">
        <v>452</v>
      </c>
      <c r="D1478" s="898">
        <f t="shared" si="6"/>
        <v>5.88</v>
      </c>
      <c r="E1478" s="898" t="s">
        <v>149</v>
      </c>
      <c r="F1478" s="1066" t="s">
        <v>3131</v>
      </c>
      <c r="G1478" s="1080">
        <v>80</v>
      </c>
      <c r="H1478" s="1072">
        <f t="shared" si="7"/>
        <v>532</v>
      </c>
      <c r="I1478" s="1072"/>
      <c r="J1478" s="1073">
        <v>9.64</v>
      </c>
      <c r="K1478" s="1074">
        <v>8.870000000000001</v>
      </c>
      <c r="L1478" s="1078" t="s">
        <v>3128</v>
      </c>
      <c r="M1478" s="1079">
        <v>9000</v>
      </c>
    </row>
    <row r="1479" spans="1:14" ht="15">
      <c r="A1479" s="258" t="s">
        <v>88</v>
      </c>
      <c r="B1479" s="1081" t="s">
        <v>3130</v>
      </c>
      <c r="C1479" s="1082">
        <v>341</v>
      </c>
      <c r="D1479" s="898">
        <f t="shared" si="6"/>
        <v>4.43</v>
      </c>
      <c r="E1479" s="898" t="s">
        <v>149</v>
      </c>
      <c r="F1479" s="1066" t="s">
        <v>3132</v>
      </c>
      <c r="G1479" s="1082">
        <v>50</v>
      </c>
      <c r="H1479" s="1083">
        <f t="shared" si="7"/>
        <v>391</v>
      </c>
      <c r="I1479" s="1083"/>
      <c r="J1479" s="1084" t="e">
        <f t="shared" ref="J1479:J1486" si="8">CEILING(H1479/(1-$A$3)/$A$5,0.005)</f>
        <v>#VALUE!</v>
      </c>
      <c r="K1479" s="1082"/>
      <c r="L1479" s="1075" t="s">
        <v>255</v>
      </c>
      <c r="M1479" s="1076">
        <v>9000</v>
      </c>
      <c r="N1479" s="1082"/>
    </row>
    <row r="1480" spans="1:14" ht="15">
      <c r="A1480" s="259" t="s">
        <v>2597</v>
      </c>
      <c r="B1480" s="78" t="s">
        <v>3130</v>
      </c>
      <c r="C1480" s="1060">
        <v>286</v>
      </c>
      <c r="D1480" s="898">
        <f t="shared" si="6"/>
        <v>3.7199999999999998</v>
      </c>
      <c r="E1480" s="898" t="s">
        <v>149</v>
      </c>
      <c r="F1480" s="1066">
        <v>140</v>
      </c>
      <c r="G1480" s="1080">
        <v>50</v>
      </c>
      <c r="H1480" s="1072">
        <f t="shared" si="7"/>
        <v>336</v>
      </c>
      <c r="I1480" s="1072"/>
      <c r="J1480" s="1073" t="e">
        <f t="shared" si="8"/>
        <v>#VALUE!</v>
      </c>
      <c r="K1480" s="1074">
        <v>5.6000000000000005</v>
      </c>
      <c r="L1480" s="1078" t="s">
        <v>255</v>
      </c>
      <c r="M1480" s="1079">
        <v>9000</v>
      </c>
    </row>
    <row r="1481" spans="1:14" ht="15">
      <c r="A1481" s="1085" t="s">
        <v>3133</v>
      </c>
      <c r="B1481" s="1086" t="s">
        <v>3134</v>
      </c>
      <c r="C1481" s="131">
        <v>145</v>
      </c>
      <c r="D1481" s="898">
        <f t="shared" si="6"/>
        <v>1.89</v>
      </c>
      <c r="E1481" s="898" t="s">
        <v>149</v>
      </c>
      <c r="F1481" s="1066" t="s">
        <v>3135</v>
      </c>
      <c r="G1481" s="131">
        <v>30</v>
      </c>
      <c r="H1481" s="1083">
        <f t="shared" si="7"/>
        <v>175</v>
      </c>
      <c r="I1481" s="1083"/>
      <c r="J1481" s="1073" t="e">
        <f t="shared" si="8"/>
        <v>#VALUE!</v>
      </c>
      <c r="K1481" s="131"/>
      <c r="L1481" s="1087" t="s">
        <v>229</v>
      </c>
      <c r="M1481" s="1079">
        <v>9000</v>
      </c>
      <c r="N1481" s="131"/>
    </row>
    <row r="1482" spans="1:14" ht="15">
      <c r="A1482" s="259">
        <v>25120</v>
      </c>
      <c r="B1482" s="78" t="s">
        <v>3125</v>
      </c>
      <c r="C1482" s="1060">
        <v>660</v>
      </c>
      <c r="D1482" s="898">
        <f t="shared" si="6"/>
        <v>8.58</v>
      </c>
      <c r="E1482" s="898" t="s">
        <v>149</v>
      </c>
      <c r="F1482" s="1066">
        <v>150</v>
      </c>
      <c r="G1482" s="1088">
        <v>50</v>
      </c>
      <c r="H1482" s="1072">
        <f t="shared" si="7"/>
        <v>710</v>
      </c>
      <c r="I1482" s="1072"/>
      <c r="J1482" s="1073" t="e">
        <f t="shared" si="8"/>
        <v>#VALUE!</v>
      </c>
      <c r="K1482" s="1074">
        <v>11.84</v>
      </c>
      <c r="L1482" s="1075" t="s">
        <v>255</v>
      </c>
      <c r="M1482" s="1076">
        <v>9000</v>
      </c>
    </row>
    <row r="1483" spans="1:14" ht="15">
      <c r="A1483" s="286" t="s">
        <v>2991</v>
      </c>
      <c r="B1483" s="1081" t="s">
        <v>3130</v>
      </c>
      <c r="C1483" s="1089">
        <v>112</v>
      </c>
      <c r="D1483" s="898">
        <f t="shared" si="6"/>
        <v>1.46</v>
      </c>
      <c r="E1483" s="898" t="s">
        <v>149</v>
      </c>
      <c r="F1483" s="1066">
        <v>280</v>
      </c>
      <c r="G1483" s="1090">
        <v>35</v>
      </c>
      <c r="H1483" s="1072">
        <f t="shared" si="7"/>
        <v>147</v>
      </c>
      <c r="I1483" s="1072"/>
      <c r="J1483" s="1073" t="e">
        <f t="shared" si="8"/>
        <v>#VALUE!</v>
      </c>
      <c r="K1483" s="1091">
        <v>2.4500000000000002</v>
      </c>
      <c r="L1483" s="1078" t="s">
        <v>3136</v>
      </c>
      <c r="M1483" s="1079">
        <v>9000</v>
      </c>
      <c r="N1483" s="1082"/>
    </row>
    <row r="1484" spans="1:14" ht="15">
      <c r="A1484" s="286" t="s">
        <v>3137</v>
      </c>
      <c r="B1484" s="1081" t="s">
        <v>3130</v>
      </c>
      <c r="C1484" s="1089">
        <v>470</v>
      </c>
      <c r="D1484" s="898">
        <f t="shared" si="6"/>
        <v>6.1099999999999994</v>
      </c>
      <c r="E1484" s="898" t="s">
        <v>149</v>
      </c>
      <c r="F1484" s="1066">
        <v>150</v>
      </c>
      <c r="G1484" s="1090">
        <v>50</v>
      </c>
      <c r="H1484" s="1072">
        <f t="shared" si="7"/>
        <v>520</v>
      </c>
      <c r="I1484" s="1072"/>
      <c r="J1484" s="1073" t="e">
        <f t="shared" si="8"/>
        <v>#VALUE!</v>
      </c>
      <c r="K1484" s="1091">
        <v>8.67</v>
      </c>
      <c r="L1484" s="1075" t="s">
        <v>255</v>
      </c>
      <c r="M1484" s="1076">
        <v>9000</v>
      </c>
      <c r="N1484" s="1082"/>
    </row>
    <row r="1485" spans="1:14" ht="15">
      <c r="A1485" s="1064" t="s">
        <v>3138</v>
      </c>
      <c r="B1485" s="78" t="s">
        <v>3125</v>
      </c>
      <c r="C1485" s="1065">
        <v>900</v>
      </c>
      <c r="D1485" s="898">
        <f t="shared" si="6"/>
        <v>11.69</v>
      </c>
      <c r="E1485" s="898" t="s">
        <v>149</v>
      </c>
      <c r="F1485" s="1066" t="s">
        <v>3135</v>
      </c>
      <c r="G1485" s="1071">
        <v>350</v>
      </c>
      <c r="H1485" s="1072">
        <f t="shared" si="7"/>
        <v>1250</v>
      </c>
      <c r="I1485" s="1072"/>
      <c r="J1485" s="1073" t="e">
        <f t="shared" si="8"/>
        <v>#VALUE!</v>
      </c>
      <c r="K1485" s="1074">
        <v>20.84</v>
      </c>
      <c r="L1485" s="1075" t="s">
        <v>3126</v>
      </c>
      <c r="M1485" s="1076">
        <v>9000</v>
      </c>
      <c r="N1485" s="1077"/>
    </row>
    <row r="1486" spans="1:14" ht="15">
      <c r="A1486" s="1064" t="s">
        <v>2659</v>
      </c>
      <c r="B1486" s="78" t="s">
        <v>3130</v>
      </c>
      <c r="C1486" s="1065">
        <v>115</v>
      </c>
      <c r="D1486" s="898">
        <f t="shared" si="6"/>
        <v>1.5</v>
      </c>
      <c r="E1486" s="898" t="s">
        <v>149</v>
      </c>
      <c r="F1486" s="1066">
        <v>280</v>
      </c>
      <c r="G1486" s="1071">
        <v>350</v>
      </c>
      <c r="H1486" s="1072">
        <f t="shared" si="7"/>
        <v>465</v>
      </c>
      <c r="I1486" s="1072"/>
      <c r="J1486" s="1073" t="e">
        <f t="shared" si="8"/>
        <v>#VALUE!</v>
      </c>
      <c r="K1486" s="1074">
        <v>20.84</v>
      </c>
      <c r="L1486" s="1075" t="s">
        <v>3126</v>
      </c>
      <c r="M1486" s="1076">
        <v>9000</v>
      </c>
      <c r="N1486" s="1077"/>
    </row>
    <row r="1491" spans="1:13" ht="15">
      <c r="A1491" s="74" t="s">
        <v>99</v>
      </c>
      <c r="B1491" s="74" t="s">
        <v>45</v>
      </c>
      <c r="C1491" s="74" t="s">
        <v>18</v>
      </c>
      <c r="D1491" s="80" t="s">
        <v>117</v>
      </c>
    </row>
    <row r="1492" spans="1:13" ht="15">
      <c r="A1492" s="21" t="s">
        <v>2063</v>
      </c>
      <c r="B1492" s="21" t="s">
        <v>46</v>
      </c>
      <c r="C1492" s="17">
        <v>19.8</v>
      </c>
      <c r="D1492" s="1005" t="s">
        <v>3139</v>
      </c>
    </row>
    <row r="1493" spans="1:13" ht="15">
      <c r="A1493" s="21"/>
      <c r="B1493" s="38" t="s">
        <v>13</v>
      </c>
      <c r="C1493" s="39">
        <v>1</v>
      </c>
      <c r="D1493" s="611">
        <v>25</v>
      </c>
    </row>
    <row r="1496" spans="1:13" ht="15.75">
      <c r="A1496" s="74" t="s">
        <v>99</v>
      </c>
      <c r="B1496" s="68" t="s">
        <v>163</v>
      </c>
      <c r="C1496" s="68" t="s">
        <v>197</v>
      </c>
      <c r="D1496" s="99" t="s">
        <v>198</v>
      </c>
    </row>
    <row r="1497" spans="1:13" ht="15">
      <c r="A1497" s="21">
        <v>1966</v>
      </c>
      <c r="B1497" s="93">
        <v>30</v>
      </c>
      <c r="C1497" s="94">
        <v>16</v>
      </c>
      <c r="D1497" s="55">
        <v>480</v>
      </c>
    </row>
    <row r="1498" spans="1:13" ht="15">
      <c r="A1498" s="21">
        <v>1966</v>
      </c>
      <c r="B1498" s="93">
        <v>30</v>
      </c>
      <c r="C1498" s="94">
        <v>5</v>
      </c>
      <c r="D1498" s="55">
        <v>150</v>
      </c>
    </row>
    <row r="1501" spans="1:13" ht="31.5">
      <c r="A1501" s="196" t="s">
        <v>99</v>
      </c>
      <c r="B1501" s="196" t="s">
        <v>1810</v>
      </c>
      <c r="C1501" s="197" t="s">
        <v>186</v>
      </c>
      <c r="D1501" s="197" t="s">
        <v>209</v>
      </c>
      <c r="E1501" s="239" t="s">
        <v>3140</v>
      </c>
      <c r="F1501" s="1061" t="s">
        <v>3118</v>
      </c>
      <c r="G1501" s="1062" t="s">
        <v>3119</v>
      </c>
      <c r="H1501" s="1063" t="s">
        <v>3120</v>
      </c>
      <c r="I1501" s="1063"/>
      <c r="J1501" s="1063" t="s">
        <v>3121</v>
      </c>
      <c r="K1501" s="1060"/>
      <c r="L1501" s="1061"/>
      <c r="M1501" s="131" t="s">
        <v>3122</v>
      </c>
    </row>
    <row r="1502" spans="1:13" ht="15">
      <c r="A1502" s="1064" t="s">
        <v>3141</v>
      </c>
      <c r="B1502" s="78" t="s">
        <v>3142</v>
      </c>
      <c r="C1502" s="898">
        <v>29.55</v>
      </c>
      <c r="D1502" s="898" t="s">
        <v>149</v>
      </c>
      <c r="E1502" s="1066" t="s">
        <v>3143</v>
      </c>
      <c r="F1502" s="1067"/>
      <c r="G1502" s="1068"/>
      <c r="H1502" s="1069"/>
      <c r="I1502" s="1069"/>
      <c r="J1502" s="1069"/>
      <c r="K1502" s="1070"/>
      <c r="L1502" s="1067"/>
    </row>
    <row r="1506" spans="1:6" ht="15.75">
      <c r="A1506" s="74" t="s">
        <v>40</v>
      </c>
      <c r="B1506" s="68" t="s">
        <v>163</v>
      </c>
      <c r="C1506" s="68" t="s">
        <v>197</v>
      </c>
      <c r="D1506" s="99" t="s">
        <v>198</v>
      </c>
      <c r="E1506" s="68" t="s">
        <v>212</v>
      </c>
      <c r="F1506" s="68" t="s">
        <v>3144</v>
      </c>
    </row>
    <row r="1507" spans="1:6" ht="15.75">
      <c r="A1507" s="21">
        <v>1966</v>
      </c>
      <c r="B1507" s="93">
        <v>30</v>
      </c>
      <c r="C1507" s="94">
        <v>16</v>
      </c>
      <c r="D1507" s="55">
        <v>480</v>
      </c>
      <c r="E1507" s="611">
        <v>0.63</v>
      </c>
      <c r="F1507" s="1036" t="s">
        <v>3145</v>
      </c>
    </row>
    <row r="1508" spans="1:6" ht="15.75">
      <c r="A1508" s="21">
        <v>1966</v>
      </c>
      <c r="B1508" s="93">
        <v>30</v>
      </c>
      <c r="C1508" s="94">
        <v>5</v>
      </c>
      <c r="D1508" s="55">
        <v>150</v>
      </c>
      <c r="E1508" s="611">
        <v>0.63</v>
      </c>
      <c r="F1508" s="1036" t="s">
        <v>126</v>
      </c>
    </row>
    <row r="1509" spans="1:6" ht="15">
      <c r="A1509" s="48"/>
      <c r="B1509" s="39"/>
      <c r="C1509" s="39">
        <v>1</v>
      </c>
      <c r="D1509" s="39"/>
      <c r="E1509" s="611">
        <v>12</v>
      </c>
      <c r="F1509" s="611"/>
    </row>
    <row r="1511" spans="1:6" ht="14.25">
      <c r="A1511" s="106" t="s">
        <v>3146</v>
      </c>
    </row>
    <row r="1512" spans="1:6" ht="31.5">
      <c r="A1512" s="196" t="s">
        <v>99</v>
      </c>
      <c r="B1512" s="196" t="s">
        <v>1810</v>
      </c>
      <c r="C1512" s="1060" t="s">
        <v>3115</v>
      </c>
      <c r="D1512" s="197" t="s">
        <v>186</v>
      </c>
      <c r="E1512" s="197" t="s">
        <v>3116</v>
      </c>
      <c r="F1512" s="239" t="s">
        <v>3147</v>
      </c>
    </row>
    <row r="1513" spans="1:6" ht="15">
      <c r="A1513" s="1064" t="s">
        <v>3148</v>
      </c>
      <c r="B1513" s="78" t="s">
        <v>3149</v>
      </c>
      <c r="C1513" s="1065">
        <v>1350</v>
      </c>
      <c r="D1513" s="898">
        <f t="shared" ref="D1513:D1519" si="9">ROUNDUP(C1513/0.8/110,2)</f>
        <v>15.35</v>
      </c>
      <c r="E1513" s="898" t="s">
        <v>149</v>
      </c>
      <c r="F1513" s="1066" t="s">
        <v>3150</v>
      </c>
    </row>
    <row r="1514" spans="1:6" ht="15">
      <c r="A1514" s="1064" t="s">
        <v>2618</v>
      </c>
      <c r="B1514" s="78" t="s">
        <v>3149</v>
      </c>
      <c r="C1514" s="1065">
        <v>950</v>
      </c>
      <c r="D1514" s="898">
        <f t="shared" si="9"/>
        <v>10.799999999999999</v>
      </c>
      <c r="E1514" s="898" t="s">
        <v>149</v>
      </c>
      <c r="F1514" s="1066" t="s">
        <v>3151</v>
      </c>
    </row>
    <row r="1515" spans="1:6" ht="15">
      <c r="A1515" s="1064" t="s">
        <v>96</v>
      </c>
      <c r="B1515" s="78" t="s">
        <v>3123</v>
      </c>
      <c r="C1515" s="1065">
        <f>800+20</f>
        <v>820</v>
      </c>
      <c r="D1515" s="898">
        <f t="shared" si="9"/>
        <v>9.32</v>
      </c>
      <c r="E1515" s="898" t="s">
        <v>149</v>
      </c>
      <c r="F1515" s="1066" t="s">
        <v>3152</v>
      </c>
    </row>
    <row r="1516" spans="1:6" ht="15">
      <c r="A1516" s="1064" t="s">
        <v>3153</v>
      </c>
      <c r="B1516" s="78" t="s">
        <v>3123</v>
      </c>
      <c r="C1516" s="1065">
        <f>780+20</f>
        <v>800</v>
      </c>
      <c r="D1516" s="898">
        <f t="shared" si="9"/>
        <v>9.1</v>
      </c>
      <c r="E1516" s="898" t="s">
        <v>149</v>
      </c>
      <c r="F1516" s="1066" t="s">
        <v>3154</v>
      </c>
    </row>
    <row r="1517" spans="1:6" ht="15">
      <c r="A1517" s="1064" t="s">
        <v>2063</v>
      </c>
      <c r="B1517" s="78" t="s">
        <v>3123</v>
      </c>
      <c r="C1517" s="1065">
        <f>880+20</f>
        <v>900</v>
      </c>
      <c r="D1517" s="898">
        <f t="shared" si="9"/>
        <v>10.23</v>
      </c>
      <c r="E1517" s="898" t="s">
        <v>149</v>
      </c>
      <c r="F1517" s="1066" t="s">
        <v>3155</v>
      </c>
    </row>
    <row r="1518" spans="1:6" ht="15">
      <c r="A1518" s="1064" t="s">
        <v>3156</v>
      </c>
      <c r="B1518" s="78" t="s">
        <v>3123</v>
      </c>
      <c r="C1518" s="1065">
        <v>950</v>
      </c>
      <c r="D1518" s="898">
        <f t="shared" si="9"/>
        <v>10.799999999999999</v>
      </c>
      <c r="E1518" s="898" t="s">
        <v>149</v>
      </c>
      <c r="F1518" s="1066" t="s">
        <v>3157</v>
      </c>
    </row>
    <row r="1519" spans="1:6" ht="15">
      <c r="A1519" s="1064" t="s">
        <v>3158</v>
      </c>
      <c r="B1519" s="78" t="s">
        <v>3123</v>
      </c>
      <c r="C1519" s="1065">
        <f>1380+20</f>
        <v>1400</v>
      </c>
      <c r="D1519" s="898">
        <f t="shared" si="9"/>
        <v>15.91</v>
      </c>
      <c r="E1519" s="898" t="s">
        <v>149</v>
      </c>
      <c r="F1519" s="1066" t="s">
        <v>3159</v>
      </c>
    </row>
    <row r="1521" spans="1:7" s="106" customFormat="1" ht="15.75">
      <c r="A1521" s="74" t="s">
        <v>40</v>
      </c>
      <c r="B1521" s="68" t="s">
        <v>163</v>
      </c>
      <c r="C1521" s="68" t="s">
        <v>197</v>
      </c>
      <c r="D1521" s="99" t="s">
        <v>198</v>
      </c>
      <c r="E1521" s="68" t="s">
        <v>212</v>
      </c>
      <c r="F1521" s="68" t="s">
        <v>3144</v>
      </c>
      <c r="G1521" s="1092"/>
    </row>
    <row r="1522" spans="1:7" s="106" customFormat="1" ht="14.25">
      <c r="A1522" s="85" t="s">
        <v>3160</v>
      </c>
      <c r="B1522" s="202">
        <v>19.8</v>
      </c>
      <c r="C1522" s="1093">
        <v>1</v>
      </c>
      <c r="D1522" s="202">
        <v>19.8</v>
      </c>
      <c r="E1522" s="1094">
        <v>10.23</v>
      </c>
      <c r="F1522" s="1095" t="s">
        <v>3161</v>
      </c>
      <c r="G1522" s="1094">
        <f>E1522*D1522</f>
        <v>202.554</v>
      </c>
    </row>
    <row r="1523" spans="1:7" s="106" customFormat="1" ht="14.25">
      <c r="A1523" s="85"/>
      <c r="B1523" s="202"/>
      <c r="C1523" s="1093"/>
      <c r="D1523" s="202"/>
      <c r="E1523" s="1094"/>
      <c r="F1523" s="1095"/>
      <c r="G1523" s="1094"/>
    </row>
    <row r="1524" spans="1:7" s="106" customFormat="1" ht="14.25">
      <c r="A1524" s="85" t="s">
        <v>3162</v>
      </c>
      <c r="B1524" s="113">
        <v>14</v>
      </c>
      <c r="C1524" s="1096">
        <v>1</v>
      </c>
      <c r="D1524" s="199">
        <v>14</v>
      </c>
      <c r="E1524" s="1094">
        <v>1.39</v>
      </c>
      <c r="F1524" s="1095" t="s">
        <v>3163</v>
      </c>
      <c r="G1524" s="1094">
        <f t="shared" ref="G1524:G1534" si="10">E1524*D1524</f>
        <v>19.459999999999997</v>
      </c>
    </row>
    <row r="1525" spans="1:7" s="106" customFormat="1" ht="14.25">
      <c r="A1525" s="85" t="s">
        <v>3164</v>
      </c>
      <c r="B1525" s="113">
        <v>14</v>
      </c>
      <c r="C1525" s="1096">
        <v>1</v>
      </c>
      <c r="D1525" s="199">
        <v>14</v>
      </c>
      <c r="E1525" s="1094">
        <v>2.3199999999999998</v>
      </c>
      <c r="F1525" s="1095" t="s">
        <v>3163</v>
      </c>
      <c r="G1525" s="1094">
        <f t="shared" si="10"/>
        <v>32.479999999999997</v>
      </c>
    </row>
    <row r="1526" spans="1:7" s="106" customFormat="1" ht="14.25">
      <c r="A1526" s="85" t="s">
        <v>3165</v>
      </c>
      <c r="B1526" s="113">
        <v>14</v>
      </c>
      <c r="C1526" s="1096">
        <v>1</v>
      </c>
      <c r="D1526" s="199">
        <v>14</v>
      </c>
      <c r="E1526" s="1094">
        <v>4.9399999999999995</v>
      </c>
      <c r="F1526" s="1095" t="s">
        <v>3166</v>
      </c>
      <c r="G1526" s="1094">
        <f t="shared" si="10"/>
        <v>69.16</v>
      </c>
    </row>
    <row r="1527" spans="1:7" s="106" customFormat="1" ht="14.25">
      <c r="A1527" s="85" t="s">
        <v>3167</v>
      </c>
      <c r="B1527" s="113">
        <v>14</v>
      </c>
      <c r="C1527" s="1096">
        <v>1</v>
      </c>
      <c r="D1527" s="199">
        <v>14</v>
      </c>
      <c r="E1527" s="1094">
        <v>3.7199999999999998</v>
      </c>
      <c r="F1527" s="1095" t="s">
        <v>3163</v>
      </c>
      <c r="G1527" s="1094">
        <f t="shared" si="10"/>
        <v>52.08</v>
      </c>
    </row>
    <row r="1528" spans="1:7" s="106" customFormat="1" ht="14.25">
      <c r="A1528" s="85" t="s">
        <v>3168</v>
      </c>
      <c r="B1528" s="113">
        <v>13.7</v>
      </c>
      <c r="C1528" s="1096">
        <v>1</v>
      </c>
      <c r="D1528" s="202">
        <v>13.7</v>
      </c>
      <c r="E1528" s="1094">
        <v>5.2</v>
      </c>
      <c r="F1528" s="1095" t="s">
        <v>3163</v>
      </c>
      <c r="G1528" s="1094">
        <f t="shared" si="10"/>
        <v>71.239999999999995</v>
      </c>
    </row>
    <row r="1529" spans="1:7" s="106" customFormat="1" ht="14.25">
      <c r="A1529" s="85" t="s">
        <v>3169</v>
      </c>
      <c r="B1529" s="113">
        <v>13.7</v>
      </c>
      <c r="C1529" s="1096">
        <v>1</v>
      </c>
      <c r="D1529" s="202">
        <v>13.7</v>
      </c>
      <c r="E1529" s="1094">
        <v>2.34</v>
      </c>
      <c r="F1529" s="1095" t="s">
        <v>3163</v>
      </c>
      <c r="G1529" s="1094">
        <f t="shared" si="10"/>
        <v>32.058</v>
      </c>
    </row>
    <row r="1530" spans="1:7" s="106" customFormat="1" ht="14.25">
      <c r="A1530" s="85" t="s">
        <v>3170</v>
      </c>
      <c r="B1530" s="113">
        <v>14</v>
      </c>
      <c r="C1530" s="1096">
        <v>1</v>
      </c>
      <c r="D1530" s="199">
        <v>14</v>
      </c>
      <c r="E1530" s="1094">
        <v>5</v>
      </c>
      <c r="F1530" s="1095" t="s">
        <v>3163</v>
      </c>
      <c r="G1530" s="1094">
        <f t="shared" si="10"/>
        <v>70</v>
      </c>
    </row>
    <row r="1531" spans="1:7" s="106" customFormat="1" ht="14.25">
      <c r="A1531" s="85" t="s">
        <v>3171</v>
      </c>
      <c r="B1531" s="113">
        <v>19.8</v>
      </c>
      <c r="C1531" s="1096">
        <v>1</v>
      </c>
      <c r="D1531" s="202">
        <v>19.8</v>
      </c>
      <c r="E1531" s="1094">
        <v>10.39</v>
      </c>
      <c r="F1531" s="1095" t="s">
        <v>3163</v>
      </c>
      <c r="G1531" s="1094">
        <f t="shared" si="10"/>
        <v>205.72200000000001</v>
      </c>
    </row>
    <row r="1532" spans="1:7" s="106" customFormat="1" ht="14.25">
      <c r="A1532" s="85" t="s">
        <v>3172</v>
      </c>
      <c r="B1532" s="113">
        <v>14</v>
      </c>
      <c r="C1532" s="1096">
        <v>1</v>
      </c>
      <c r="D1532" s="199">
        <v>14</v>
      </c>
      <c r="E1532" s="1094">
        <v>1.72</v>
      </c>
      <c r="F1532" s="1095" t="s">
        <v>3163</v>
      </c>
      <c r="G1532" s="1094">
        <f t="shared" si="10"/>
        <v>24.08</v>
      </c>
    </row>
    <row r="1533" spans="1:7" s="106" customFormat="1" ht="14.25">
      <c r="A1533" s="85" t="s">
        <v>3173</v>
      </c>
      <c r="B1533" s="113">
        <v>13.7</v>
      </c>
      <c r="C1533" s="1096">
        <v>1</v>
      </c>
      <c r="D1533" s="202">
        <v>13.7</v>
      </c>
      <c r="E1533" s="1094">
        <v>3.12</v>
      </c>
      <c r="F1533" s="1095" t="s">
        <v>3163</v>
      </c>
      <c r="G1533" s="1094">
        <f t="shared" si="10"/>
        <v>42.744</v>
      </c>
    </row>
    <row r="1534" spans="1:7" s="106" customFormat="1" ht="14.25">
      <c r="A1534" s="85" t="s">
        <v>3174</v>
      </c>
      <c r="B1534" s="113">
        <v>13.7</v>
      </c>
      <c r="C1534" s="1096">
        <v>1</v>
      </c>
      <c r="D1534" s="202">
        <v>13.7</v>
      </c>
      <c r="E1534" s="1094">
        <v>25.57</v>
      </c>
      <c r="F1534" s="1095" t="s">
        <v>3175</v>
      </c>
      <c r="G1534" s="1094">
        <f t="shared" si="10"/>
        <v>350.30899999999997</v>
      </c>
    </row>
    <row r="1535" spans="1:7" s="106" customFormat="1" ht="14.25">
      <c r="A1535" s="85"/>
      <c r="B1535" s="199"/>
      <c r="C1535" s="200">
        <v>1</v>
      </c>
      <c r="D1535" s="200"/>
      <c r="E1535" s="1094">
        <v>25</v>
      </c>
      <c r="F1535" s="1097"/>
      <c r="G1535" s="1094">
        <v>25</v>
      </c>
    </row>
    <row r="1537" spans="1:10" ht="15.75">
      <c r="A1537" s="74" t="s">
        <v>40</v>
      </c>
      <c r="B1537" s="99" t="s">
        <v>198</v>
      </c>
      <c r="C1537" s="68" t="s">
        <v>212</v>
      </c>
    </row>
    <row r="1538" spans="1:10" ht="15">
      <c r="A1538" s="21" t="s">
        <v>107</v>
      </c>
      <c r="B1538" s="55">
        <v>50</v>
      </c>
      <c r="C1538" s="40">
        <v>4.45</v>
      </c>
    </row>
    <row r="1539" spans="1:10" ht="15">
      <c r="A1539" s="21"/>
      <c r="B1539" s="39">
        <v>1</v>
      </c>
      <c r="C1539" s="40">
        <v>20</v>
      </c>
    </row>
    <row r="1543" spans="1:10" ht="15.75">
      <c r="A1543" s="74" t="s">
        <v>40</v>
      </c>
      <c r="B1543" s="99" t="s">
        <v>198</v>
      </c>
      <c r="C1543" s="68" t="s">
        <v>212</v>
      </c>
    </row>
    <row r="1544" spans="1:10" ht="14.25">
      <c r="A1544" s="78" t="s">
        <v>3176</v>
      </c>
      <c r="B1544" s="231">
        <v>14</v>
      </c>
      <c r="C1544" s="1059">
        <v>1.94</v>
      </c>
    </row>
    <row r="1545" spans="1:10" ht="14.25">
      <c r="A1545" s="78"/>
      <c r="B1545" s="233">
        <v>1</v>
      </c>
      <c r="C1545" s="1059">
        <v>15</v>
      </c>
    </row>
    <row r="1548" spans="1:10" ht="15.75">
      <c r="A1548" s="209" t="s">
        <v>40</v>
      </c>
      <c r="B1548" s="1098" t="s">
        <v>198</v>
      </c>
      <c r="C1548" s="1099" t="s">
        <v>3177</v>
      </c>
      <c r="D1548" s="209" t="s">
        <v>3178</v>
      </c>
      <c r="E1548" s="1100"/>
      <c r="F1548" s="1101"/>
      <c r="G1548" s="1102"/>
      <c r="H1548" s="1102"/>
      <c r="I1548" s="1102"/>
      <c r="J1548" s="1103"/>
    </row>
    <row r="1549" spans="1:10" ht="14.25">
      <c r="A1549" s="85" t="s">
        <v>3162</v>
      </c>
      <c r="B1549" s="199">
        <v>14</v>
      </c>
      <c r="C1549" s="85">
        <v>107</v>
      </c>
      <c r="D1549" s="1104" t="s">
        <v>3179</v>
      </c>
      <c r="E1549" s="1102"/>
      <c r="G1549">
        <v>107</v>
      </c>
    </row>
    <row r="1550" spans="1:10" ht="14.25">
      <c r="A1550" s="85" t="s">
        <v>3164</v>
      </c>
      <c r="B1550" s="199">
        <v>14</v>
      </c>
      <c r="C1550" s="85">
        <v>178</v>
      </c>
      <c r="D1550" s="1104" t="s">
        <v>3180</v>
      </c>
      <c r="E1550" s="1102"/>
      <c r="G1550">
        <v>178</v>
      </c>
    </row>
    <row r="1551" spans="1:10" ht="14.25">
      <c r="A1551" s="85" t="s">
        <v>3181</v>
      </c>
      <c r="B1551" s="199">
        <v>14</v>
      </c>
      <c r="C1551" s="85">
        <v>380</v>
      </c>
      <c r="D1551" s="1104" t="s">
        <v>3182</v>
      </c>
      <c r="E1551" s="1102"/>
      <c r="G1551">
        <v>380</v>
      </c>
    </row>
    <row r="1552" spans="1:10" ht="14.25">
      <c r="A1552" s="85" t="s">
        <v>3183</v>
      </c>
      <c r="B1552" s="199">
        <v>14</v>
      </c>
      <c r="C1552" s="85">
        <v>286</v>
      </c>
      <c r="D1552" s="1104" t="s">
        <v>3180</v>
      </c>
      <c r="E1552" s="1102"/>
      <c r="G1552">
        <v>286</v>
      </c>
    </row>
    <row r="1553" spans="1:10" ht="14.25">
      <c r="A1553" s="85" t="s">
        <v>3184</v>
      </c>
      <c r="B1553" s="202">
        <v>13.7</v>
      </c>
      <c r="C1553" s="85">
        <v>182</v>
      </c>
      <c r="D1553" s="1104" t="s">
        <v>3180</v>
      </c>
      <c r="E1553" s="1102"/>
      <c r="G1553">
        <v>182</v>
      </c>
    </row>
    <row r="1554" spans="1:10" ht="15.75">
      <c r="A1554" s="209" t="s">
        <v>40</v>
      </c>
      <c r="B1554" s="1098" t="s">
        <v>198</v>
      </c>
      <c r="C1554" s="1099" t="s">
        <v>3177</v>
      </c>
      <c r="D1554" s="209" t="s">
        <v>3178</v>
      </c>
      <c r="E1554" s="1100"/>
      <c r="F1554" s="1101"/>
      <c r="G1554" s="1102"/>
      <c r="H1554" s="1102"/>
      <c r="I1554" s="1102"/>
      <c r="J1554" s="1103"/>
    </row>
    <row r="1555" spans="1:10" ht="14.25">
      <c r="A1555" s="85" t="s">
        <v>3168</v>
      </c>
      <c r="B1555" s="202">
        <v>13.7</v>
      </c>
      <c r="C1555" s="85">
        <v>400</v>
      </c>
      <c r="D1555" s="1104" t="s">
        <v>3180</v>
      </c>
      <c r="E1555" s="1102"/>
      <c r="G1555">
        <v>400</v>
      </c>
    </row>
    <row r="1556" spans="1:10" ht="14.25">
      <c r="A1556" s="85" t="s">
        <v>3169</v>
      </c>
      <c r="B1556" s="202">
        <v>13.7</v>
      </c>
      <c r="C1556" s="85">
        <v>180</v>
      </c>
      <c r="D1556" s="1104" t="s">
        <v>3180</v>
      </c>
      <c r="E1556" s="1102"/>
      <c r="G1556">
        <v>180</v>
      </c>
    </row>
    <row r="1557" spans="1:10" ht="14.25">
      <c r="A1557" s="85" t="s">
        <v>3170</v>
      </c>
      <c r="B1557" s="199">
        <v>14</v>
      </c>
      <c r="C1557" s="85">
        <v>385</v>
      </c>
      <c r="D1557" s="1104" t="s">
        <v>3180</v>
      </c>
      <c r="E1557" s="1102"/>
      <c r="G1557">
        <v>385</v>
      </c>
    </row>
    <row r="1558" spans="1:10" ht="14.25">
      <c r="A1558" s="85" t="s">
        <v>3171</v>
      </c>
      <c r="B1558" s="202">
        <v>19.8</v>
      </c>
      <c r="C1558" s="85">
        <v>800</v>
      </c>
      <c r="D1558" s="1104" t="s">
        <v>3180</v>
      </c>
      <c r="E1558" s="1102"/>
      <c r="G1558">
        <v>800</v>
      </c>
    </row>
    <row r="1559" spans="1:10" ht="14.25">
      <c r="A1559" s="85" t="s">
        <v>3172</v>
      </c>
      <c r="B1559" s="199">
        <v>14</v>
      </c>
      <c r="C1559" s="85">
        <v>132</v>
      </c>
      <c r="D1559" s="1104" t="s">
        <v>3180</v>
      </c>
      <c r="E1559" s="1102"/>
      <c r="G1559">
        <v>132</v>
      </c>
    </row>
    <row r="1560" spans="1:10" ht="14.25">
      <c r="A1560" s="85" t="s">
        <v>3185</v>
      </c>
      <c r="B1560" s="202">
        <v>13.7</v>
      </c>
      <c r="C1560" s="85">
        <v>240</v>
      </c>
      <c r="D1560" s="1104" t="s">
        <v>3180</v>
      </c>
      <c r="E1560" s="1102"/>
      <c r="G1560">
        <v>240</v>
      </c>
    </row>
    <row r="1561" spans="1:10" ht="14.25">
      <c r="A1561" s="85" t="s">
        <v>3174</v>
      </c>
      <c r="B1561" s="202">
        <v>13.7</v>
      </c>
      <c r="C1561" s="85">
        <v>2250</v>
      </c>
      <c r="D1561" s="1104" t="s">
        <v>3186</v>
      </c>
      <c r="E1561" s="1102"/>
      <c r="G1561">
        <v>2250</v>
      </c>
    </row>
    <row r="1564" spans="1:10" ht="15.75">
      <c r="A1564" s="209" t="s">
        <v>40</v>
      </c>
      <c r="B1564" s="68" t="s">
        <v>163</v>
      </c>
      <c r="C1564" s="68" t="s">
        <v>197</v>
      </c>
      <c r="D1564" s="99" t="s">
        <v>198</v>
      </c>
      <c r="E1564" s="68" t="s">
        <v>212</v>
      </c>
      <c r="F1564" s="68" t="s">
        <v>301</v>
      </c>
    </row>
    <row r="1565" spans="1:10" ht="15">
      <c r="A1565" s="21">
        <v>1966</v>
      </c>
      <c r="B1565" s="93">
        <v>30</v>
      </c>
      <c r="C1565" s="94">
        <v>16</v>
      </c>
      <c r="D1565" s="55">
        <v>480</v>
      </c>
      <c r="E1565" s="611">
        <v>0.63</v>
      </c>
      <c r="F1565" s="1094">
        <f>E1565*D1565</f>
        <v>302.39999999999998</v>
      </c>
    </row>
    <row r="1566" spans="1:10" ht="15">
      <c r="A1566" s="21">
        <v>1966</v>
      </c>
      <c r="B1566" s="93">
        <v>30</v>
      </c>
      <c r="C1566" s="94">
        <v>5</v>
      </c>
      <c r="D1566" s="55">
        <v>150</v>
      </c>
      <c r="E1566" s="611">
        <v>0.63</v>
      </c>
      <c r="F1566" s="1094">
        <f>E1566*D1566</f>
        <v>94.5</v>
      </c>
    </row>
    <row r="1567" spans="1:10" ht="15">
      <c r="A1567" s="48"/>
      <c r="B1567" s="39"/>
      <c r="C1567" s="39">
        <v>1</v>
      </c>
      <c r="D1567" s="39"/>
      <c r="E1567" s="611">
        <v>12</v>
      </c>
      <c r="F1567" s="1094">
        <v>12</v>
      </c>
    </row>
    <row r="1568" spans="1:10" ht="15.75">
      <c r="A1568" s="48"/>
      <c r="B1568" s="39"/>
      <c r="C1568" s="39"/>
      <c r="D1568" s="39"/>
      <c r="E1568" s="1033" t="s">
        <v>89</v>
      </c>
      <c r="F1568" s="1105">
        <f>SUM(F1565:F1567)</f>
        <v>408.9</v>
      </c>
    </row>
    <row r="1569" spans="1:3" ht="15.75">
      <c r="A1569" s="209" t="s">
        <v>40</v>
      </c>
      <c r="B1569" s="99" t="s">
        <v>198</v>
      </c>
    </row>
    <row r="1570" spans="1:3" ht="14.25">
      <c r="A1570" s="85" t="s">
        <v>3162</v>
      </c>
      <c r="B1570" s="199">
        <v>14</v>
      </c>
    </row>
    <row r="1571" spans="1:3" ht="14.25">
      <c r="A1571" s="85" t="s">
        <v>3164</v>
      </c>
      <c r="B1571" s="199">
        <v>14</v>
      </c>
    </row>
    <row r="1572" spans="1:3" ht="14.25">
      <c r="A1572" s="85" t="s">
        <v>3183</v>
      </c>
      <c r="B1572" s="199">
        <v>14</v>
      </c>
    </row>
    <row r="1573" spans="1:3" ht="14.25">
      <c r="A1573" s="85" t="s">
        <v>3184</v>
      </c>
      <c r="B1573" s="202">
        <v>13.7</v>
      </c>
    </row>
    <row r="1574" spans="1:3" ht="14.25">
      <c r="A1574" s="85" t="s">
        <v>3168</v>
      </c>
      <c r="B1574" s="202">
        <v>13.7</v>
      </c>
    </row>
    <row r="1575" spans="1:3" ht="14.25">
      <c r="A1575" s="85" t="s">
        <v>3169</v>
      </c>
      <c r="B1575" s="202">
        <v>13.7</v>
      </c>
    </row>
    <row r="1576" spans="1:3" ht="14.25">
      <c r="A1576" s="85" t="s">
        <v>3170</v>
      </c>
      <c r="B1576" s="199">
        <v>14</v>
      </c>
    </row>
    <row r="1577" spans="1:3" ht="14.25">
      <c r="A1577" s="85" t="s">
        <v>3171</v>
      </c>
      <c r="B1577" s="202">
        <v>19.8</v>
      </c>
    </row>
    <row r="1578" spans="1:3" ht="14.25">
      <c r="A1578" s="85" t="s">
        <v>3172</v>
      </c>
      <c r="B1578" s="199">
        <v>14</v>
      </c>
    </row>
    <row r="1579" spans="1:3" ht="14.25">
      <c r="A1579" s="85" t="s">
        <v>3185</v>
      </c>
      <c r="B1579" s="202">
        <v>13.7</v>
      </c>
    </row>
    <row r="1582" spans="1:3" ht="15.75">
      <c r="A1582" s="209" t="s">
        <v>40</v>
      </c>
      <c r="B1582" s="99" t="s">
        <v>198</v>
      </c>
      <c r="C1582" s="68" t="s">
        <v>212</v>
      </c>
    </row>
    <row r="1583" spans="1:3" ht="15">
      <c r="A1583" s="21" t="s">
        <v>2615</v>
      </c>
      <c r="B1583" s="17">
        <v>13.7</v>
      </c>
      <c r="C1583" s="611">
        <v>1.51</v>
      </c>
    </row>
    <row r="1584" spans="1:3" ht="15">
      <c r="A1584" s="21"/>
      <c r="B1584" s="39">
        <v>1</v>
      </c>
      <c r="C1584" s="611">
        <v>15</v>
      </c>
    </row>
    <row r="1588" spans="1:4" ht="15.75">
      <c r="A1588" s="209" t="s">
        <v>40</v>
      </c>
      <c r="B1588" s="99" t="s">
        <v>18</v>
      </c>
      <c r="C1588" s="68" t="s">
        <v>212</v>
      </c>
    </row>
    <row r="1589" spans="1:4" ht="15">
      <c r="A1589" s="21" t="s">
        <v>2618</v>
      </c>
      <c r="B1589" s="55">
        <v>2</v>
      </c>
      <c r="C1589" s="611">
        <v>10.8</v>
      </c>
    </row>
    <row r="1590" spans="1:4" ht="15">
      <c r="A1590" s="21"/>
      <c r="B1590" s="39">
        <v>1</v>
      </c>
      <c r="C1590" s="611">
        <v>15</v>
      </c>
    </row>
    <row r="1591" spans="1:4" ht="15">
      <c r="A1591" s="21"/>
      <c r="B1591" s="39">
        <v>1</v>
      </c>
      <c r="C1591" s="611">
        <v>15</v>
      </c>
    </row>
    <row r="1595" spans="1:4" ht="15.75">
      <c r="A1595" s="209" t="s">
        <v>40</v>
      </c>
      <c r="B1595" s="68" t="s">
        <v>163</v>
      </c>
      <c r="C1595" s="68" t="s">
        <v>197</v>
      </c>
      <c r="D1595" s="99" t="s">
        <v>198</v>
      </c>
    </row>
    <row r="1596" spans="1:4" ht="15">
      <c r="A1596" s="21" t="s">
        <v>2557</v>
      </c>
      <c r="B1596" s="17">
        <v>4</v>
      </c>
      <c r="C1596" s="56">
        <v>3</v>
      </c>
      <c r="D1596" s="17">
        <v>12</v>
      </c>
    </row>
    <row r="1597" spans="1:4" ht="15">
      <c r="A1597" s="21" t="s">
        <v>2557</v>
      </c>
      <c r="B1597" s="17">
        <v>7.5</v>
      </c>
      <c r="C1597" s="56">
        <v>1</v>
      </c>
      <c r="D1597" s="17">
        <v>7.5</v>
      </c>
    </row>
    <row r="1598" spans="1:4" ht="15">
      <c r="A1598" s="21" t="s">
        <v>2557</v>
      </c>
      <c r="B1598" s="17">
        <v>2.5</v>
      </c>
      <c r="C1598" s="56">
        <v>1</v>
      </c>
      <c r="D1598" s="17">
        <v>2.5</v>
      </c>
    </row>
    <row r="1601" spans="1:7" ht="15.75">
      <c r="A1601" s="209" t="s">
        <v>40</v>
      </c>
      <c r="B1601" s="99" t="s">
        <v>18</v>
      </c>
      <c r="C1601" s="68" t="s">
        <v>212</v>
      </c>
    </row>
    <row r="1602" spans="1:7" ht="15">
      <c r="A1602" s="21" t="s">
        <v>2620</v>
      </c>
      <c r="B1602" s="55">
        <v>10</v>
      </c>
      <c r="C1602" s="611">
        <v>1.81</v>
      </c>
    </row>
    <row r="1603" spans="1:7" ht="15">
      <c r="A1603" s="21"/>
      <c r="B1603" s="39">
        <v>1</v>
      </c>
      <c r="C1603" s="611">
        <v>15</v>
      </c>
    </row>
    <row r="1605" spans="1:7" ht="15.75">
      <c r="A1605" s="209" t="s">
        <v>40</v>
      </c>
      <c r="B1605" s="209" t="s">
        <v>45</v>
      </c>
      <c r="C1605" s="99" t="s">
        <v>18</v>
      </c>
      <c r="D1605" s="68" t="s">
        <v>212</v>
      </c>
      <c r="E1605" s="68" t="s">
        <v>3187</v>
      </c>
      <c r="F1605" s="688"/>
    </row>
    <row r="1606" spans="1:7" ht="15">
      <c r="A1606" s="21">
        <v>3336</v>
      </c>
      <c r="B1606" s="21" t="s">
        <v>80</v>
      </c>
      <c r="C1606" s="55">
        <v>20</v>
      </c>
      <c r="D1606" s="611">
        <v>0.88</v>
      </c>
      <c r="E1606" s="698" t="s">
        <v>3159</v>
      </c>
      <c r="F1606" s="1106" t="s">
        <v>3188</v>
      </c>
    </row>
    <row r="1607" spans="1:7" ht="15">
      <c r="A1607" s="21">
        <v>3336</v>
      </c>
      <c r="B1607" s="21" t="s">
        <v>38</v>
      </c>
      <c r="C1607" s="55">
        <v>60</v>
      </c>
      <c r="D1607" s="611">
        <v>1.07</v>
      </c>
      <c r="E1607" s="698" t="s">
        <v>137</v>
      </c>
      <c r="F1607" s="688"/>
    </row>
    <row r="1608" spans="1:7" ht="15">
      <c r="A1608" s="21">
        <v>3336</v>
      </c>
      <c r="B1608" s="21" t="s">
        <v>2625</v>
      </c>
      <c r="C1608" s="55">
        <v>40</v>
      </c>
      <c r="D1608" s="611">
        <v>0.88</v>
      </c>
      <c r="E1608" s="698" t="s">
        <v>137</v>
      </c>
      <c r="F1608" s="688"/>
    </row>
    <row r="1609" spans="1:7" ht="15">
      <c r="A1609" s="21">
        <v>3336</v>
      </c>
      <c r="B1609" s="21" t="s">
        <v>2625</v>
      </c>
      <c r="C1609" s="55">
        <v>60</v>
      </c>
      <c r="D1609" s="611">
        <v>1.07</v>
      </c>
      <c r="E1609" s="698" t="s">
        <v>137</v>
      </c>
      <c r="F1609" s="688"/>
    </row>
    <row r="1610" spans="1:7" ht="15">
      <c r="A1610" s="21"/>
      <c r="B1610" s="38" t="s">
        <v>13</v>
      </c>
      <c r="C1610" s="39">
        <v>1</v>
      </c>
      <c r="D1610" s="611">
        <v>15</v>
      </c>
      <c r="E1610" s="690"/>
      <c r="F1610" s="688"/>
    </row>
    <row r="1613" spans="1:7" ht="15">
      <c r="A1613" s="209" t="s">
        <v>40</v>
      </c>
      <c r="B1613" s="209" t="s">
        <v>18</v>
      </c>
      <c r="C1613" s="1099" t="s">
        <v>3177</v>
      </c>
    </row>
    <row r="1614" spans="1:7" ht="15">
      <c r="A1614" s="739">
        <v>221184</v>
      </c>
      <c r="B1614" s="107" t="s">
        <v>3189</v>
      </c>
      <c r="C1614" s="85">
        <v>810</v>
      </c>
    </row>
    <row r="1616" spans="1:7" ht="15.75">
      <c r="A1616" s="209" t="s">
        <v>39</v>
      </c>
      <c r="B1616" s="209" t="s">
        <v>45</v>
      </c>
      <c r="C1616" s="68" t="s">
        <v>163</v>
      </c>
      <c r="D1616" s="68" t="s">
        <v>197</v>
      </c>
      <c r="E1616" s="99" t="s">
        <v>198</v>
      </c>
      <c r="F1616" s="68" t="s">
        <v>212</v>
      </c>
      <c r="G1616" s="68" t="s">
        <v>144</v>
      </c>
    </row>
    <row r="1617" spans="1:7" ht="15">
      <c r="A1617" s="27" t="s">
        <v>3190</v>
      </c>
      <c r="B1617" s="21" t="s">
        <v>25</v>
      </c>
      <c r="C1617" s="93">
        <v>13.7</v>
      </c>
      <c r="D1617" s="94">
        <v>8</v>
      </c>
      <c r="E1617" s="107">
        <v>109.6</v>
      </c>
      <c r="F1617" s="611">
        <v>9.82</v>
      </c>
      <c r="G1617" s="698" t="s">
        <v>3191</v>
      </c>
    </row>
    <row r="1618" spans="1:7" ht="15">
      <c r="A1618" s="27" t="s">
        <v>3190</v>
      </c>
      <c r="B1618" s="38" t="s">
        <v>13</v>
      </c>
      <c r="C1618" s="39"/>
      <c r="D1618" s="39">
        <v>1</v>
      </c>
      <c r="E1618" s="39"/>
      <c r="F1618" s="611">
        <v>12</v>
      </c>
      <c r="G1618" s="698"/>
    </row>
    <row r="1620" spans="1:7" ht="15.75">
      <c r="A1620" s="209" t="s">
        <v>40</v>
      </c>
      <c r="B1620" s="99" t="s">
        <v>18</v>
      </c>
      <c r="C1620" s="68" t="s">
        <v>212</v>
      </c>
    </row>
    <row r="1621" spans="1:7" ht="15">
      <c r="A1621" s="21" t="s">
        <v>2632</v>
      </c>
      <c r="B1621" s="55">
        <v>10</v>
      </c>
      <c r="C1621" s="611">
        <v>1.1299999999999999</v>
      </c>
    </row>
    <row r="1622" spans="1:7" ht="15">
      <c r="A1622" s="21"/>
      <c r="B1622" s="39">
        <v>1</v>
      </c>
      <c r="C1622" s="611">
        <v>15</v>
      </c>
    </row>
    <row r="1624" spans="1:7" ht="15.75">
      <c r="A1624" s="209" t="s">
        <v>40</v>
      </c>
      <c r="B1624" s="99" t="s">
        <v>18</v>
      </c>
      <c r="C1624" s="1099" t="s">
        <v>3177</v>
      </c>
    </row>
    <row r="1625" spans="1:7" ht="15">
      <c r="A1625" s="21" t="s">
        <v>2632</v>
      </c>
      <c r="B1625" s="55">
        <v>10</v>
      </c>
      <c r="C1625" s="85">
        <v>87</v>
      </c>
    </row>
    <row r="1626" spans="1:7" ht="15">
      <c r="A1626" s="21"/>
      <c r="B1626" s="39">
        <v>1</v>
      </c>
      <c r="C1626" s="611">
        <v>15</v>
      </c>
    </row>
    <row r="1629" spans="1:7" ht="15.75">
      <c r="A1629" s="209" t="s">
        <v>40</v>
      </c>
      <c r="B1629" s="68" t="s">
        <v>18</v>
      </c>
      <c r="C1629" s="1099" t="s">
        <v>3177</v>
      </c>
    </row>
    <row r="1630" spans="1:7" ht="15">
      <c r="A1630" s="21" t="s">
        <v>2632</v>
      </c>
      <c r="B1630" s="8">
        <v>10</v>
      </c>
      <c r="C1630" s="50">
        <v>87</v>
      </c>
    </row>
    <row r="1631" spans="1:7" ht="15">
      <c r="A1631" s="21" t="s">
        <v>2634</v>
      </c>
      <c r="B1631" s="8">
        <v>5</v>
      </c>
      <c r="C1631" s="50">
        <v>42</v>
      </c>
    </row>
    <row r="1632" spans="1:7" ht="15">
      <c r="A1632" s="21" t="s">
        <v>2635</v>
      </c>
      <c r="B1632" s="8">
        <v>5</v>
      </c>
      <c r="C1632" s="50">
        <v>28</v>
      </c>
    </row>
    <row r="1634" spans="1:7" ht="15.75">
      <c r="A1634" s="209" t="s">
        <v>40</v>
      </c>
      <c r="B1634" s="68" t="s">
        <v>18</v>
      </c>
      <c r="C1634" s="68" t="s">
        <v>212</v>
      </c>
    </row>
    <row r="1635" spans="1:7" ht="15">
      <c r="A1635" s="21" t="s">
        <v>2632</v>
      </c>
      <c r="B1635" s="55">
        <v>10</v>
      </c>
      <c r="C1635" s="611">
        <v>1.1299999999999999</v>
      </c>
    </row>
    <row r="1636" spans="1:7" ht="15">
      <c r="A1636" s="21" t="s">
        <v>2634</v>
      </c>
      <c r="B1636" s="55">
        <v>5</v>
      </c>
      <c r="C1636" s="611">
        <v>0.55000000000000004</v>
      </c>
    </row>
    <row r="1637" spans="1:7" ht="15">
      <c r="A1637" s="21" t="s">
        <v>2635</v>
      </c>
      <c r="B1637" s="55">
        <v>5</v>
      </c>
      <c r="C1637" s="611">
        <v>0.37</v>
      </c>
    </row>
    <row r="1638" spans="1:7" ht="15">
      <c r="A1638" s="21"/>
      <c r="B1638" s="39">
        <v>1</v>
      </c>
      <c r="C1638" s="611">
        <v>15</v>
      </c>
    </row>
    <row r="1641" spans="1:7" ht="15.75">
      <c r="A1641" s="209" t="s">
        <v>39</v>
      </c>
      <c r="B1641" s="209" t="s">
        <v>45</v>
      </c>
      <c r="C1641" s="68" t="s">
        <v>163</v>
      </c>
      <c r="D1641" s="68" t="s">
        <v>197</v>
      </c>
      <c r="E1641" s="99" t="s">
        <v>198</v>
      </c>
      <c r="F1641" s="68" t="s">
        <v>212</v>
      </c>
      <c r="G1641" s="68" t="s">
        <v>2914</v>
      </c>
    </row>
    <row r="1642" spans="1:7" ht="15">
      <c r="A1642" s="27" t="s">
        <v>2636</v>
      </c>
      <c r="B1642" s="21" t="s">
        <v>2555</v>
      </c>
      <c r="C1642" s="93">
        <v>30</v>
      </c>
      <c r="D1642" s="94">
        <v>5</v>
      </c>
      <c r="E1642" s="55">
        <v>150</v>
      </c>
      <c r="F1642" s="611">
        <v>0.63</v>
      </c>
      <c r="G1642" s="611">
        <f>F1642*E1642</f>
        <v>94.5</v>
      </c>
    </row>
    <row r="1643" spans="1:7" ht="15">
      <c r="A1643" s="27" t="s">
        <v>2636</v>
      </c>
      <c r="B1643" s="38" t="s">
        <v>13</v>
      </c>
      <c r="C1643" s="39"/>
      <c r="D1643" s="39">
        <v>1</v>
      </c>
      <c r="E1643" s="39"/>
      <c r="F1643" s="611">
        <v>12</v>
      </c>
      <c r="G1643" s="611">
        <v>12</v>
      </c>
    </row>
    <row r="1644" spans="1:7" ht="15.75">
      <c r="A1644" s="27"/>
      <c r="B1644" s="38"/>
      <c r="C1644" s="39"/>
      <c r="D1644" s="39"/>
      <c r="E1644" s="39"/>
      <c r="F1644" s="68" t="s">
        <v>89</v>
      </c>
      <c r="G1644" s="1107">
        <f>SUM(G1642:G1643)</f>
        <v>106.5</v>
      </c>
    </row>
    <row r="1647" spans="1:7" ht="15.75">
      <c r="A1647" s="209" t="s">
        <v>40</v>
      </c>
      <c r="B1647" s="1098" t="s">
        <v>198</v>
      </c>
      <c r="C1647" s="1099" t="s">
        <v>3177</v>
      </c>
      <c r="D1647" s="83"/>
      <c r="E1647" s="83"/>
      <c r="F1647" s="7"/>
    </row>
    <row r="1648" spans="1:7" ht="15">
      <c r="A1648" s="21">
        <v>572023</v>
      </c>
      <c r="B1648" s="17">
        <v>54.8</v>
      </c>
      <c r="C1648" s="50">
        <v>240</v>
      </c>
      <c r="D1648" s="83">
        <f>C1648*B1648</f>
        <v>13152</v>
      </c>
      <c r="E1648" s="1"/>
    </row>
    <row r="1649" spans="1:6" ht="15">
      <c r="A1649" s="21">
        <v>232005</v>
      </c>
      <c r="B1649" s="17">
        <v>54.8</v>
      </c>
      <c r="C1649" s="50">
        <v>2250</v>
      </c>
      <c r="D1649" s="83">
        <f>C1649*B1649</f>
        <v>123300</v>
      </c>
      <c r="E1649" s="1"/>
    </row>
    <row r="1650" spans="1:6" ht="15">
      <c r="A1650" s="21">
        <v>232002</v>
      </c>
      <c r="B1650" s="17">
        <v>13.7</v>
      </c>
      <c r="C1650" s="50">
        <v>3500</v>
      </c>
      <c r="D1650" s="83">
        <f>C1650*B1650</f>
        <v>47950</v>
      </c>
      <c r="E1650" s="1"/>
    </row>
    <row r="1651" spans="1:6" ht="15">
      <c r="A1651" s="21">
        <v>232003</v>
      </c>
      <c r="B1651" s="17">
        <v>13.7</v>
      </c>
      <c r="C1651" s="50">
        <v>3200</v>
      </c>
      <c r="D1651" s="83">
        <f>C1651*B1651</f>
        <v>43840</v>
      </c>
      <c r="E1651" s="1"/>
    </row>
    <row r="1652" spans="1:6" ht="15.75">
      <c r="A1652" s="209" t="s">
        <v>40</v>
      </c>
      <c r="B1652" s="1098" t="s">
        <v>198</v>
      </c>
      <c r="C1652" s="1099" t="s">
        <v>3177</v>
      </c>
      <c r="D1652" s="83"/>
      <c r="E1652" s="83"/>
      <c r="F1652" s="7"/>
    </row>
    <row r="1653" spans="1:6" ht="15">
      <c r="A1653" s="21" t="s">
        <v>88</v>
      </c>
      <c r="B1653" s="17">
        <v>14</v>
      </c>
      <c r="C1653" s="50">
        <v>341</v>
      </c>
      <c r="D1653" s="83">
        <f>C1653*B1653</f>
        <v>4774</v>
      </c>
      <c r="E1653" s="1"/>
    </row>
    <row r="1655" spans="1:6" s="7" customFormat="1" ht="18" customHeight="1">
      <c r="A1655" s="13" t="s">
        <v>2003</v>
      </c>
      <c r="B1655" s="21"/>
      <c r="C1655" s="611"/>
      <c r="D1655" s="83"/>
      <c r="E1655" s="83"/>
    </row>
    <row r="1656" spans="1:6" s="1" customFormat="1" ht="18" customHeight="1">
      <c r="A1656" s="13" t="s">
        <v>2003</v>
      </c>
      <c r="B1656" s="21" t="s">
        <v>46</v>
      </c>
      <c r="C1656" s="1108" t="s">
        <v>3192</v>
      </c>
      <c r="D1656" s="1">
        <v>139</v>
      </c>
      <c r="E1656" s="83"/>
    </row>
    <row r="1658" spans="1:6" ht="21">
      <c r="E1658" ph="1"/>
    </row>
    <row r="1660" spans="1:6">
      <c r="A1660" t="s">
        <v>3193</v>
      </c>
    </row>
    <row r="1661" spans="1:6" ht="15.75">
      <c r="A1661" s="209" t="s">
        <v>40</v>
      </c>
      <c r="B1661" s="68" t="s">
        <v>163</v>
      </c>
      <c r="C1661" s="68" t="s">
        <v>197</v>
      </c>
      <c r="D1661" s="99" t="s">
        <v>198</v>
      </c>
      <c r="E1661" s="68" t="s">
        <v>212</v>
      </c>
      <c r="F1661" s="68" t="s">
        <v>49</v>
      </c>
    </row>
    <row r="1662" spans="1:6" ht="15">
      <c r="A1662" s="21" t="s">
        <v>2605</v>
      </c>
      <c r="B1662" s="93">
        <v>13.7</v>
      </c>
      <c r="C1662" s="94">
        <v>4</v>
      </c>
      <c r="D1662" s="17">
        <v>54.8</v>
      </c>
      <c r="E1662" s="611">
        <v>3.12</v>
      </c>
      <c r="F1662" s="1109" t="s">
        <v>126</v>
      </c>
    </row>
    <row r="1663" spans="1:6" ht="25.5">
      <c r="A1663" s="21" t="s">
        <v>2607</v>
      </c>
      <c r="B1663" s="93">
        <v>13.7</v>
      </c>
      <c r="C1663" s="94">
        <v>4</v>
      </c>
      <c r="D1663" s="17">
        <v>54.8</v>
      </c>
      <c r="E1663" s="611">
        <v>25.57</v>
      </c>
      <c r="F1663" s="1109" t="s">
        <v>3194</v>
      </c>
    </row>
    <row r="1664" spans="1:6" ht="15">
      <c r="A1664" s="21" t="s">
        <v>2640</v>
      </c>
      <c r="B1664" s="93">
        <v>13.7</v>
      </c>
      <c r="C1664" s="94">
        <v>1</v>
      </c>
      <c r="D1664" s="17">
        <v>13.7</v>
      </c>
      <c r="E1664" s="611">
        <v>39.78</v>
      </c>
      <c r="F1664" s="1109" t="s">
        <v>126</v>
      </c>
    </row>
    <row r="1665" spans="1:7" ht="15">
      <c r="A1665" s="21" t="s">
        <v>2641</v>
      </c>
      <c r="B1665" s="93">
        <v>13.7</v>
      </c>
      <c r="C1665" s="94">
        <v>1</v>
      </c>
      <c r="D1665" s="17">
        <v>13.7</v>
      </c>
      <c r="E1665" s="611">
        <v>36.369999999999997</v>
      </c>
      <c r="F1665" s="1109" t="s">
        <v>126</v>
      </c>
    </row>
    <row r="1666" spans="1:7" ht="15">
      <c r="A1666" s="21" t="s">
        <v>88</v>
      </c>
      <c r="B1666" s="93">
        <v>14</v>
      </c>
      <c r="C1666" s="94">
        <v>1</v>
      </c>
      <c r="D1666" s="17">
        <v>14</v>
      </c>
      <c r="E1666" s="611">
        <v>4.43</v>
      </c>
      <c r="F1666" s="1109" t="s">
        <v>126</v>
      </c>
    </row>
    <row r="1669" spans="1:7" ht="15">
      <c r="A1669" s="11" t="s">
        <v>2277</v>
      </c>
    </row>
    <row r="1670" spans="1:7" ht="15.75">
      <c r="A1670" s="209" t="s">
        <v>40</v>
      </c>
      <c r="B1670" s="68" t="s">
        <v>142</v>
      </c>
      <c r="C1670" s="68" t="s">
        <v>212</v>
      </c>
    </row>
    <row r="1671" spans="1:7" ht="15">
      <c r="A1671" s="21" t="s">
        <v>2643</v>
      </c>
      <c r="B1671" s="93">
        <v>13.7</v>
      </c>
      <c r="C1671" s="611">
        <v>2.4300000000000002</v>
      </c>
    </row>
    <row r="1674" spans="1:7" ht="15.75">
      <c r="A1674" s="209" t="s">
        <v>3195</v>
      </c>
      <c r="B1674" s="209" t="s">
        <v>45</v>
      </c>
      <c r="C1674" s="209" t="s">
        <v>3196</v>
      </c>
      <c r="D1674" s="68" t="s">
        <v>212</v>
      </c>
    </row>
    <row r="1675" spans="1:7" ht="15">
      <c r="A1675" s="27" t="s">
        <v>3197</v>
      </c>
      <c r="B1675" s="21" t="s">
        <v>25</v>
      </c>
      <c r="C1675" s="107">
        <v>301.39999999999998</v>
      </c>
      <c r="D1675" s="611">
        <v>2.4300000000000002</v>
      </c>
    </row>
    <row r="1676" spans="1:7" ht="15">
      <c r="A1676" s="27" t="s">
        <v>3197</v>
      </c>
      <c r="B1676" s="38" t="s">
        <v>13</v>
      </c>
      <c r="C1676" s="39">
        <v>1</v>
      </c>
      <c r="D1676" s="611">
        <v>12</v>
      </c>
    </row>
    <row r="1680" spans="1:7" ht="15.75">
      <c r="A1680" s="209" t="s">
        <v>3195</v>
      </c>
      <c r="B1680" s="209" t="s">
        <v>45</v>
      </c>
      <c r="C1680" s="68" t="s">
        <v>163</v>
      </c>
      <c r="D1680" s="68" t="s">
        <v>197</v>
      </c>
      <c r="E1680" s="99" t="s">
        <v>198</v>
      </c>
      <c r="F1680" s="68" t="s">
        <v>212</v>
      </c>
      <c r="G1680" s="68" t="s">
        <v>49</v>
      </c>
    </row>
    <row r="1681" spans="1:7" ht="15">
      <c r="A1681" s="27" t="s">
        <v>3198</v>
      </c>
      <c r="B1681" s="21" t="s">
        <v>25</v>
      </c>
      <c r="C1681" s="93">
        <v>13.7</v>
      </c>
      <c r="D1681" s="94">
        <v>4</v>
      </c>
      <c r="E1681" s="107">
        <v>54.8</v>
      </c>
      <c r="F1681" s="597">
        <v>1.49</v>
      </c>
      <c r="G1681" s="1109" t="s">
        <v>126</v>
      </c>
    </row>
    <row r="1682" spans="1:7" ht="15">
      <c r="A1682" s="27" t="s">
        <v>3198</v>
      </c>
      <c r="B1682" s="21" t="s">
        <v>25</v>
      </c>
      <c r="C1682" s="93">
        <v>13.7</v>
      </c>
      <c r="D1682" s="94">
        <v>7</v>
      </c>
      <c r="E1682" s="107">
        <v>95.899999999999991</v>
      </c>
      <c r="F1682" s="597">
        <v>1.49</v>
      </c>
      <c r="G1682" s="1109" t="s">
        <v>3199</v>
      </c>
    </row>
    <row r="1683" spans="1:7" ht="15">
      <c r="A1683" s="27" t="s">
        <v>3198</v>
      </c>
      <c r="B1683" s="38" t="s">
        <v>13</v>
      </c>
      <c r="C1683" s="39"/>
      <c r="D1683" s="39">
        <v>1</v>
      </c>
      <c r="E1683" s="39"/>
      <c r="F1683" s="611">
        <v>12</v>
      </c>
      <c r="G1683" s="688"/>
    </row>
    <row r="1685" spans="1:7" ht="15">
      <c r="A1685" s="88" t="s">
        <v>3200</v>
      </c>
    </row>
    <row r="1686" spans="1:7" ht="25.5">
      <c r="A1686" s="1110" t="s">
        <v>40</v>
      </c>
      <c r="B1686" s="1111" t="s">
        <v>2</v>
      </c>
      <c r="C1686" s="1112" t="s">
        <v>204</v>
      </c>
      <c r="D1686" s="1113" t="s">
        <v>3201</v>
      </c>
    </row>
    <row r="1687" spans="1:7">
      <c r="A1687" s="1114">
        <v>4141</v>
      </c>
      <c r="B1687" s="1115">
        <v>20</v>
      </c>
      <c r="C1687" s="1115" t="s">
        <v>3202</v>
      </c>
      <c r="D1687" s="1116">
        <v>1.04</v>
      </c>
    </row>
    <row r="1688" spans="1:7">
      <c r="A1688" s="1114">
        <v>4141</v>
      </c>
      <c r="B1688" s="1115">
        <v>20</v>
      </c>
      <c r="C1688" s="1115" t="s">
        <v>3202</v>
      </c>
      <c r="D1688" s="1116">
        <v>1.1599999999999999</v>
      </c>
    </row>
    <row r="1689" spans="1:7">
      <c r="A1689" s="1114">
        <v>4141</v>
      </c>
      <c r="B1689" s="1115">
        <v>20</v>
      </c>
      <c r="C1689" s="1115" t="s">
        <v>3203</v>
      </c>
      <c r="D1689" s="1116">
        <v>1.31</v>
      </c>
    </row>
    <row r="1690" spans="1:7">
      <c r="A1690" s="1114">
        <v>4141</v>
      </c>
      <c r="B1690" s="1115">
        <v>20</v>
      </c>
      <c r="C1690" s="1115" t="s">
        <v>3203</v>
      </c>
      <c r="D1690" s="1116">
        <v>1.49</v>
      </c>
    </row>
    <row r="1691" spans="1:7">
      <c r="A1691" s="1114">
        <v>4141</v>
      </c>
      <c r="B1691" s="1115">
        <v>20</v>
      </c>
      <c r="C1691" s="1115" t="s">
        <v>3203</v>
      </c>
      <c r="D1691" s="1116">
        <v>1.75</v>
      </c>
    </row>
    <row r="1692" spans="1:7">
      <c r="A1692" s="1114">
        <v>4141</v>
      </c>
      <c r="B1692" s="1115">
        <v>20</v>
      </c>
      <c r="C1692" s="1115" t="s">
        <v>3203</v>
      </c>
      <c r="D1692" s="1116">
        <v>1.34</v>
      </c>
    </row>
    <row r="1693" spans="1:7">
      <c r="A1693" s="1114">
        <v>4141</v>
      </c>
      <c r="B1693" s="1115">
        <v>20</v>
      </c>
      <c r="C1693" s="1115" t="s">
        <v>3203</v>
      </c>
      <c r="D1693" s="1116">
        <v>1.49</v>
      </c>
    </row>
    <row r="1694" spans="1:7">
      <c r="A1694" s="1114">
        <v>4141</v>
      </c>
      <c r="B1694" s="1115">
        <v>20</v>
      </c>
      <c r="C1694" s="1115" t="s">
        <v>3203</v>
      </c>
      <c r="D1694" s="1116">
        <v>1.75</v>
      </c>
    </row>
    <row r="1697" spans="1:6" ht="15.75">
      <c r="A1697" s="209" t="s">
        <v>3195</v>
      </c>
      <c r="B1697" s="209" t="s">
        <v>45</v>
      </c>
      <c r="C1697" s="209" t="s">
        <v>3196</v>
      </c>
      <c r="D1697" s="68" t="s">
        <v>212</v>
      </c>
    </row>
    <row r="1698" spans="1:6" ht="15">
      <c r="A1698" s="6" t="s">
        <v>2645</v>
      </c>
      <c r="B1698" s="21" t="s">
        <v>2541</v>
      </c>
      <c r="C1698" s="93">
        <v>25</v>
      </c>
      <c r="D1698" s="40">
        <v>4.45</v>
      </c>
    </row>
    <row r="1699" spans="1:6" ht="15">
      <c r="A1699" s="6" t="s">
        <v>2645</v>
      </c>
      <c r="B1699" s="38" t="s">
        <v>154</v>
      </c>
      <c r="C1699" s="39">
        <v>1</v>
      </c>
      <c r="D1699" s="40">
        <v>12</v>
      </c>
    </row>
    <row r="1700" spans="1:6" ht="15">
      <c r="A1700" s="6" t="s">
        <v>2645</v>
      </c>
      <c r="B1700" s="38" t="s">
        <v>13</v>
      </c>
      <c r="C1700" s="39">
        <v>1</v>
      </c>
      <c r="D1700" s="40">
        <v>20</v>
      </c>
    </row>
    <row r="1703" spans="1:6" ht="15.75">
      <c r="A1703" s="209" t="s">
        <v>192</v>
      </c>
      <c r="B1703" s="209" t="s">
        <v>45</v>
      </c>
      <c r="C1703" s="68" t="s">
        <v>163</v>
      </c>
      <c r="D1703" s="68" t="s">
        <v>197</v>
      </c>
      <c r="E1703" s="99" t="s">
        <v>198</v>
      </c>
      <c r="F1703" s="68" t="s">
        <v>212</v>
      </c>
    </row>
    <row r="1704" spans="1:6" ht="15">
      <c r="A1704" s="21">
        <v>4141</v>
      </c>
      <c r="B1704" s="21" t="s">
        <v>2647</v>
      </c>
      <c r="C1704" s="93">
        <v>20</v>
      </c>
      <c r="D1704" s="94">
        <v>1</v>
      </c>
      <c r="E1704" s="55">
        <f>C1704*D1704</f>
        <v>20</v>
      </c>
      <c r="F1704" s="611">
        <v>1.75</v>
      </c>
    </row>
    <row r="1705" spans="1:6" ht="15">
      <c r="A1705" s="21">
        <v>4141</v>
      </c>
      <c r="B1705" s="21" t="s">
        <v>2648</v>
      </c>
      <c r="C1705" s="93">
        <v>20</v>
      </c>
      <c r="D1705" s="94">
        <v>1</v>
      </c>
      <c r="E1705" s="55">
        <f>C1705*D1705</f>
        <v>20</v>
      </c>
      <c r="F1705" s="611">
        <v>1.75</v>
      </c>
    </row>
    <row r="1706" spans="1:6" ht="15">
      <c r="A1706" s="21">
        <v>4141</v>
      </c>
      <c r="B1706" s="21" t="s">
        <v>157</v>
      </c>
      <c r="C1706" s="93">
        <v>20</v>
      </c>
      <c r="D1706" s="94">
        <v>1</v>
      </c>
      <c r="E1706" s="55">
        <f>C1706*D1706</f>
        <v>20</v>
      </c>
      <c r="F1706" s="611">
        <v>1.75</v>
      </c>
    </row>
    <row r="1707" spans="1:6" ht="15">
      <c r="A1707" s="21"/>
      <c r="B1707" s="38" t="s">
        <v>13</v>
      </c>
      <c r="C1707" s="39"/>
      <c r="D1707" s="94"/>
      <c r="E1707" s="39">
        <v>1</v>
      </c>
      <c r="F1707" s="611">
        <v>15</v>
      </c>
    </row>
    <row r="1708" spans="1:6" ht="15.75">
      <c r="A1708" s="209" t="s">
        <v>192</v>
      </c>
      <c r="B1708" s="1117" t="s">
        <v>204</v>
      </c>
      <c r="C1708" s="68" t="s">
        <v>212</v>
      </c>
      <c r="D1708" s="209" t="s">
        <v>3204</v>
      </c>
      <c r="E1708" s="209"/>
    </row>
    <row r="1709" spans="1:6" ht="15">
      <c r="A1709" s="21">
        <v>3377</v>
      </c>
      <c r="B1709" s="2063" t="s">
        <v>3205</v>
      </c>
      <c r="C1709" s="611">
        <v>0.91</v>
      </c>
      <c r="D1709" s="21" t="s">
        <v>3206</v>
      </c>
    </row>
    <row r="1710" spans="1:6" ht="15">
      <c r="A1710" s="21">
        <v>3377</v>
      </c>
      <c r="B1710" s="2064"/>
      <c r="C1710" s="611">
        <v>0.91</v>
      </c>
      <c r="D1710" s="21" t="s">
        <v>3207</v>
      </c>
    </row>
    <row r="1711" spans="1:6" ht="15">
      <c r="A1711" s="21">
        <v>3377</v>
      </c>
      <c r="B1711" s="2064"/>
      <c r="C1711" s="611">
        <v>0.91</v>
      </c>
      <c r="D1711" s="21" t="s">
        <v>3208</v>
      </c>
    </row>
    <row r="1712" spans="1:6" ht="15">
      <c r="A1712" s="21">
        <v>3377</v>
      </c>
      <c r="B1712" s="2064"/>
      <c r="C1712" s="611">
        <v>0.91</v>
      </c>
      <c r="D1712" s="21" t="s">
        <v>3209</v>
      </c>
    </row>
    <row r="1713" spans="1:5" ht="15">
      <c r="A1713" s="21">
        <v>3377</v>
      </c>
      <c r="B1713" s="2064"/>
      <c r="C1713" s="611">
        <v>0.91</v>
      </c>
      <c r="D1713" s="21" t="s">
        <v>3210</v>
      </c>
    </row>
    <row r="1714" spans="1:5" ht="15">
      <c r="A1714" s="21">
        <v>3377</v>
      </c>
      <c r="B1714" s="2065"/>
      <c r="C1714" s="611">
        <v>0.91</v>
      </c>
      <c r="D1714" s="21" t="s">
        <v>3211</v>
      </c>
    </row>
    <row r="1718" spans="1:5" ht="15">
      <c r="A1718" s="18" t="s">
        <v>2185</v>
      </c>
      <c r="B1718" s="17"/>
      <c r="C1718" s="56"/>
      <c r="D1718" s="17"/>
      <c r="E1718" s="611"/>
    </row>
    <row r="1719" spans="1:5" ht="15">
      <c r="A1719" s="21" t="s">
        <v>2620</v>
      </c>
      <c r="B1719" s="55">
        <v>10</v>
      </c>
      <c r="C1719" s="55">
        <v>10</v>
      </c>
      <c r="D1719" s="55">
        <v>10</v>
      </c>
      <c r="E1719" s="611">
        <v>1.81</v>
      </c>
    </row>
    <row r="1720" spans="1:5" ht="22.5">
      <c r="A1720" s="21"/>
      <c r="B1720" s="8"/>
      <c r="C1720" s="94" ph="1"/>
      <c r="D1720" s="39">
        <v>1</v>
      </c>
      <c r="E1720" s="611">
        <v>15</v>
      </c>
    </row>
    <row r="1723" spans="1:5" ht="15.75">
      <c r="A1723" s="209" t="s">
        <v>192</v>
      </c>
      <c r="B1723" s="209" t="s">
        <v>3196</v>
      </c>
      <c r="C1723" s="68" t="s">
        <v>212</v>
      </c>
    </row>
    <row r="1724" spans="1:5" ht="15">
      <c r="A1724" s="21" t="s">
        <v>2620</v>
      </c>
      <c r="B1724" s="55">
        <v>5</v>
      </c>
      <c r="C1724" s="40">
        <v>2.21</v>
      </c>
    </row>
    <row r="1725" spans="1:5" ht="15">
      <c r="A1725" s="21"/>
      <c r="B1725" s="39">
        <v>1</v>
      </c>
      <c r="C1725" s="40">
        <v>15</v>
      </c>
    </row>
    <row r="1727" spans="1:5">
      <c r="A1727" t="s">
        <v>3212</v>
      </c>
    </row>
    <row r="1728" spans="1:5" ht="15.75">
      <c r="A1728" s="209" t="s">
        <v>192</v>
      </c>
      <c r="B1728" s="209" t="s">
        <v>3196</v>
      </c>
      <c r="C1728" s="68" t="s">
        <v>3213</v>
      </c>
    </row>
    <row r="1729" spans="1:5" ht="15">
      <c r="A1729" s="1118" t="s">
        <v>2620</v>
      </c>
      <c r="B1729" s="1119">
        <v>15200</v>
      </c>
      <c r="C1729" s="1120">
        <v>2.27</v>
      </c>
    </row>
    <row r="1730" spans="1:5" ht="15">
      <c r="A1730" s="11"/>
      <c r="B1730" s="248"/>
      <c r="C1730" s="104"/>
    </row>
    <row r="1731" spans="1:5" ht="15">
      <c r="A1731" s="11" t="s">
        <v>3214</v>
      </c>
      <c r="B1731" s="248"/>
      <c r="C1731" s="104"/>
    </row>
    <row r="1732" spans="1:5" s="106" customFormat="1" ht="15.75">
      <c r="A1732" s="209" t="s">
        <v>192</v>
      </c>
      <c r="B1732" s="209" t="s">
        <v>18</v>
      </c>
      <c r="C1732" s="68" t="s">
        <v>212</v>
      </c>
      <c r="D1732" s="80" t="s">
        <v>117</v>
      </c>
      <c r="E1732" s="68" t="s">
        <v>159</v>
      </c>
    </row>
    <row r="1733" spans="1:5" s="106" customFormat="1" ht="15">
      <c r="A1733" s="78">
        <v>4191</v>
      </c>
      <c r="B1733" s="55">
        <v>2</v>
      </c>
      <c r="C1733" s="1121">
        <v>3.87</v>
      </c>
      <c r="D1733" s="78">
        <v>255</v>
      </c>
      <c r="E1733" s="85" t="s">
        <v>50</v>
      </c>
    </row>
    <row r="1734" spans="1:5" s="106" customFormat="1" ht="15">
      <c r="A1734" s="78">
        <v>4191</v>
      </c>
      <c r="B1734" s="55">
        <v>2</v>
      </c>
      <c r="C1734" s="1121">
        <v>3.87</v>
      </c>
      <c r="D1734" s="78">
        <v>255</v>
      </c>
      <c r="E1734" s="85" t="s">
        <v>50</v>
      </c>
    </row>
    <row r="1735" spans="1:5" s="106" customFormat="1" ht="15">
      <c r="A1735" s="78" t="s">
        <v>2659</v>
      </c>
      <c r="B1735" s="55">
        <v>2</v>
      </c>
      <c r="C1735" s="1122">
        <f t="shared" ref="C1735:C1744" si="11">ROUNDUP(D1735/0.7/110,2)</f>
        <v>1.5</v>
      </c>
      <c r="D1735" s="78">
        <v>115</v>
      </c>
      <c r="E1735" s="85" t="s">
        <v>50</v>
      </c>
    </row>
    <row r="1736" spans="1:5" s="106" customFormat="1" ht="15">
      <c r="A1736" s="78" t="s">
        <v>2660</v>
      </c>
      <c r="B1736" s="55">
        <v>2</v>
      </c>
      <c r="C1736" s="1122">
        <f t="shared" si="11"/>
        <v>2.86</v>
      </c>
      <c r="D1736" s="78">
        <v>220</v>
      </c>
      <c r="E1736" s="85" t="s">
        <v>50</v>
      </c>
    </row>
    <row r="1737" spans="1:5" s="106" customFormat="1" ht="15">
      <c r="A1737" s="78" t="s">
        <v>3215</v>
      </c>
      <c r="B1737" s="55">
        <v>2</v>
      </c>
      <c r="C1737" s="1122">
        <f t="shared" si="11"/>
        <v>3.59</v>
      </c>
      <c r="D1737" s="78">
        <v>276</v>
      </c>
      <c r="E1737" s="1123" t="s">
        <v>3216</v>
      </c>
    </row>
    <row r="1738" spans="1:5" s="106" customFormat="1" ht="15">
      <c r="A1738" s="78" t="s">
        <v>2085</v>
      </c>
      <c r="B1738" s="55">
        <v>2</v>
      </c>
      <c r="C1738" s="1122">
        <f t="shared" si="11"/>
        <v>1.95</v>
      </c>
      <c r="D1738" s="78">
        <v>150</v>
      </c>
      <c r="E1738" s="85" t="s">
        <v>50</v>
      </c>
    </row>
    <row r="1739" spans="1:5" s="106" customFormat="1" ht="15">
      <c r="A1739" s="78" t="s">
        <v>76</v>
      </c>
      <c r="B1739" s="55">
        <v>2</v>
      </c>
      <c r="C1739" s="1122">
        <f t="shared" si="11"/>
        <v>2.5199999999999996</v>
      </c>
      <c r="D1739" s="78">
        <v>194</v>
      </c>
      <c r="E1739" s="85" t="s">
        <v>50</v>
      </c>
    </row>
    <row r="1740" spans="1:5" s="106" customFormat="1" ht="15">
      <c r="A1740" s="78" t="s">
        <v>2096</v>
      </c>
      <c r="B1740" s="55">
        <v>2</v>
      </c>
      <c r="C1740" s="1122">
        <f t="shared" si="11"/>
        <v>0.73</v>
      </c>
      <c r="D1740" s="78">
        <v>56</v>
      </c>
      <c r="E1740" s="85" t="s">
        <v>50</v>
      </c>
    </row>
    <row r="1741" spans="1:5" s="106" customFormat="1" ht="15">
      <c r="A1741" s="78" t="s">
        <v>3217</v>
      </c>
      <c r="B1741" s="55">
        <v>2</v>
      </c>
      <c r="C1741" s="1122">
        <f t="shared" si="11"/>
        <v>1.67</v>
      </c>
      <c r="D1741" s="78">
        <v>128</v>
      </c>
      <c r="E1741" s="1123" t="s">
        <v>3216</v>
      </c>
    </row>
    <row r="1742" spans="1:5" s="106" customFormat="1" ht="15">
      <c r="A1742" s="78" t="s">
        <v>2045</v>
      </c>
      <c r="B1742" s="55">
        <v>2</v>
      </c>
      <c r="C1742" s="1122">
        <f t="shared" si="11"/>
        <v>0.29000000000000004</v>
      </c>
      <c r="D1742" s="78">
        <v>22</v>
      </c>
      <c r="E1742" s="85" t="s">
        <v>50</v>
      </c>
    </row>
    <row r="1743" spans="1:5" s="106" customFormat="1" ht="15">
      <c r="A1743" s="78" t="s">
        <v>3218</v>
      </c>
      <c r="B1743" s="55">
        <v>2</v>
      </c>
      <c r="C1743" s="1122">
        <f t="shared" si="11"/>
        <v>2.0599999999999996</v>
      </c>
      <c r="D1743" s="78">
        <v>158</v>
      </c>
      <c r="E1743" s="1123" t="s">
        <v>3216</v>
      </c>
    </row>
    <row r="1744" spans="1:5" s="106" customFormat="1" ht="15">
      <c r="A1744" s="78" t="s">
        <v>2664</v>
      </c>
      <c r="B1744" s="55">
        <v>2</v>
      </c>
      <c r="C1744" s="1122">
        <f t="shared" si="11"/>
        <v>0.65</v>
      </c>
      <c r="D1744" s="78">
        <v>50</v>
      </c>
      <c r="E1744" s="85" t="s">
        <v>50</v>
      </c>
    </row>
    <row r="1745" spans="1:5" s="106" customFormat="1" ht="15">
      <c r="A1745" s="1124" t="s">
        <v>3219</v>
      </c>
      <c r="B1745" s="120"/>
      <c r="C1745" s="1125"/>
      <c r="D1745" s="1124" t="s">
        <v>3220</v>
      </c>
      <c r="E1745" s="1125"/>
    </row>
    <row r="1746" spans="1:5" s="106" customFormat="1" ht="15">
      <c r="A1746" s="1124" t="s">
        <v>3221</v>
      </c>
      <c r="B1746" s="120"/>
      <c r="C1746" s="1125"/>
      <c r="D1746" s="1124" t="s">
        <v>3220</v>
      </c>
      <c r="E1746" s="1125"/>
    </row>
    <row r="1747" spans="1:5" s="106" customFormat="1" ht="15">
      <c r="A1747" s="1124" t="s">
        <v>3222</v>
      </c>
      <c r="B1747" s="120"/>
      <c r="C1747" s="1125"/>
      <c r="D1747" s="1124" t="s">
        <v>3220</v>
      </c>
      <c r="E1747" s="1125"/>
    </row>
    <row r="1748" spans="1:5" s="106" customFormat="1" ht="15">
      <c r="A1748" s="78" t="s">
        <v>2666</v>
      </c>
      <c r="B1748" s="55">
        <v>2</v>
      </c>
      <c r="C1748" s="1122">
        <f t="shared" ref="C1748:C1773" si="12">ROUNDUP(D1748/0.7/110,2)</f>
        <v>2.4099999999999997</v>
      </c>
      <c r="D1748" s="78">
        <v>185</v>
      </c>
      <c r="E1748" s="85" t="s">
        <v>50</v>
      </c>
    </row>
    <row r="1749" spans="1:5" s="106" customFormat="1" ht="15">
      <c r="A1749" s="78" t="s">
        <v>2667</v>
      </c>
      <c r="B1749" s="55">
        <v>2</v>
      </c>
      <c r="C1749" s="1122">
        <f t="shared" si="12"/>
        <v>1.8</v>
      </c>
      <c r="D1749" s="78">
        <v>138</v>
      </c>
      <c r="E1749" s="85" t="s">
        <v>50</v>
      </c>
    </row>
    <row r="1750" spans="1:5" s="106" customFormat="1" ht="15">
      <c r="A1750" s="78" t="s">
        <v>2668</v>
      </c>
      <c r="B1750" s="55">
        <v>2</v>
      </c>
      <c r="C1750" s="1122">
        <f t="shared" si="12"/>
        <v>3.5999999999999996</v>
      </c>
      <c r="D1750" s="78">
        <v>277</v>
      </c>
      <c r="E1750" s="85" t="s">
        <v>50</v>
      </c>
    </row>
    <row r="1751" spans="1:5" s="106" customFormat="1" ht="15">
      <c r="A1751" s="78" t="s">
        <v>2669</v>
      </c>
      <c r="B1751" s="55">
        <v>2</v>
      </c>
      <c r="C1751" s="1122">
        <f t="shared" si="12"/>
        <v>3.5999999999999996</v>
      </c>
      <c r="D1751" s="78">
        <v>277</v>
      </c>
      <c r="E1751" s="85" t="s">
        <v>50</v>
      </c>
    </row>
    <row r="1752" spans="1:5" s="106" customFormat="1" ht="15">
      <c r="A1752" s="78" t="s">
        <v>2671</v>
      </c>
      <c r="B1752" s="55">
        <v>2</v>
      </c>
      <c r="C1752" s="1122">
        <f t="shared" si="12"/>
        <v>3.5999999999999996</v>
      </c>
      <c r="D1752" s="78">
        <v>277</v>
      </c>
      <c r="E1752" s="85" t="s">
        <v>50</v>
      </c>
    </row>
    <row r="1753" spans="1:5" s="106" customFormat="1" ht="15">
      <c r="A1753" s="78" t="s">
        <v>2673</v>
      </c>
      <c r="B1753" s="55">
        <v>2</v>
      </c>
      <c r="C1753" s="1122">
        <f t="shared" si="12"/>
        <v>3.5999999999999996</v>
      </c>
      <c r="D1753" s="78">
        <v>277</v>
      </c>
      <c r="E1753" s="85" t="s">
        <v>50</v>
      </c>
    </row>
    <row r="1754" spans="1:5" s="106" customFormat="1" ht="15">
      <c r="A1754" s="78" t="s">
        <v>2675</v>
      </c>
      <c r="B1754" s="55">
        <v>2</v>
      </c>
      <c r="C1754" s="1122">
        <f t="shared" si="12"/>
        <v>3.15</v>
      </c>
      <c r="D1754" s="78">
        <v>242</v>
      </c>
      <c r="E1754" s="85" t="s">
        <v>50</v>
      </c>
    </row>
    <row r="1755" spans="1:5" s="106" customFormat="1" ht="15">
      <c r="A1755" s="78" t="s">
        <v>2677</v>
      </c>
      <c r="B1755" s="55">
        <v>2</v>
      </c>
      <c r="C1755" s="1122">
        <f t="shared" si="12"/>
        <v>2.0599999999999996</v>
      </c>
      <c r="D1755" s="78">
        <v>158</v>
      </c>
      <c r="E1755" s="85" t="s">
        <v>50</v>
      </c>
    </row>
    <row r="1756" spans="1:5" s="106" customFormat="1" ht="15">
      <c r="A1756" s="78" t="s">
        <v>2390</v>
      </c>
      <c r="B1756" s="55">
        <v>2</v>
      </c>
      <c r="C1756" s="1122">
        <f t="shared" si="12"/>
        <v>2.0599999999999996</v>
      </c>
      <c r="D1756" s="78">
        <v>158</v>
      </c>
      <c r="E1756" s="85" t="s">
        <v>50</v>
      </c>
    </row>
    <row r="1757" spans="1:5" s="106" customFormat="1" ht="15">
      <c r="A1757" s="78" t="s">
        <v>2678</v>
      </c>
      <c r="B1757" s="55">
        <v>2</v>
      </c>
      <c r="C1757" s="1122">
        <f t="shared" si="12"/>
        <v>2.0599999999999996</v>
      </c>
      <c r="D1757" s="78">
        <v>158</v>
      </c>
      <c r="E1757" s="85" t="s">
        <v>50</v>
      </c>
    </row>
    <row r="1758" spans="1:5" s="106" customFormat="1" ht="15">
      <c r="A1758" s="78" t="s">
        <v>2679</v>
      </c>
      <c r="B1758" s="55">
        <v>2</v>
      </c>
      <c r="C1758" s="1122">
        <f t="shared" si="12"/>
        <v>2.0599999999999996</v>
      </c>
      <c r="D1758" s="78">
        <v>158</v>
      </c>
      <c r="E1758" s="85" t="s">
        <v>50</v>
      </c>
    </row>
    <row r="1759" spans="1:5" s="106" customFormat="1" ht="15">
      <c r="A1759" s="78" t="s">
        <v>2680</v>
      </c>
      <c r="B1759" s="55">
        <v>2</v>
      </c>
      <c r="C1759" s="1122">
        <f t="shared" si="12"/>
        <v>1.6</v>
      </c>
      <c r="D1759" s="78">
        <v>123</v>
      </c>
      <c r="E1759" s="85" t="s">
        <v>50</v>
      </c>
    </row>
    <row r="1760" spans="1:5" s="106" customFormat="1" ht="15">
      <c r="A1760" s="78" t="s">
        <v>2681</v>
      </c>
      <c r="B1760" s="55">
        <v>2</v>
      </c>
      <c r="C1760" s="1122">
        <f t="shared" si="12"/>
        <v>1.1200000000000001</v>
      </c>
      <c r="D1760" s="78">
        <v>86</v>
      </c>
      <c r="E1760" s="85" t="s">
        <v>50</v>
      </c>
    </row>
    <row r="1761" spans="1:5" s="106" customFormat="1" ht="15">
      <c r="A1761" s="78" t="s">
        <v>2682</v>
      </c>
      <c r="B1761" s="55">
        <v>2</v>
      </c>
      <c r="C1761" s="1122">
        <f t="shared" si="12"/>
        <v>4.0299999999999994</v>
      </c>
      <c r="D1761" s="78">
        <v>310</v>
      </c>
      <c r="E1761" s="85" t="s">
        <v>3223</v>
      </c>
    </row>
    <row r="1762" spans="1:5" s="106" customFormat="1" ht="15">
      <c r="A1762" s="78" t="s">
        <v>2683</v>
      </c>
      <c r="B1762" s="55">
        <v>2</v>
      </c>
      <c r="C1762" s="1122">
        <f t="shared" si="12"/>
        <v>4.0999999999999996</v>
      </c>
      <c r="D1762" s="78">
        <v>315</v>
      </c>
      <c r="E1762" s="85" t="s">
        <v>3223</v>
      </c>
    </row>
    <row r="1763" spans="1:5" s="106" customFormat="1" ht="15">
      <c r="A1763" s="78" t="s">
        <v>2684</v>
      </c>
      <c r="B1763" s="55">
        <v>2</v>
      </c>
      <c r="C1763" s="1122">
        <f t="shared" si="12"/>
        <v>3.71</v>
      </c>
      <c r="D1763" s="78">
        <v>285</v>
      </c>
      <c r="E1763" s="85" t="s">
        <v>3223</v>
      </c>
    </row>
    <row r="1764" spans="1:5" s="106" customFormat="1" ht="15">
      <c r="A1764" s="78" t="s">
        <v>2685</v>
      </c>
      <c r="B1764" s="55">
        <v>2</v>
      </c>
      <c r="C1764" s="1122">
        <f t="shared" si="12"/>
        <v>1.69</v>
      </c>
      <c r="D1764" s="78">
        <v>130</v>
      </c>
      <c r="E1764" s="85" t="s">
        <v>50</v>
      </c>
    </row>
    <row r="1765" spans="1:5" s="106" customFormat="1" ht="15">
      <c r="A1765" s="78" t="s">
        <v>2686</v>
      </c>
      <c r="B1765" s="55">
        <v>2</v>
      </c>
      <c r="C1765" s="1122">
        <f t="shared" si="12"/>
        <v>1.52</v>
      </c>
      <c r="D1765" s="78">
        <f>87+30</f>
        <v>117</v>
      </c>
      <c r="E1765" s="1123" t="s">
        <v>3224</v>
      </c>
    </row>
    <row r="1766" spans="1:5" s="106" customFormat="1" ht="15">
      <c r="A1766" s="78" t="s">
        <v>2686</v>
      </c>
      <c r="B1766" s="55">
        <v>2</v>
      </c>
      <c r="C1766" s="1122">
        <f t="shared" si="12"/>
        <v>1.52</v>
      </c>
      <c r="D1766" s="78">
        <f>87+30</f>
        <v>117</v>
      </c>
      <c r="E1766" s="1123" t="s">
        <v>3224</v>
      </c>
    </row>
    <row r="1767" spans="1:5" s="106" customFormat="1" ht="15">
      <c r="A1767" s="78" t="s">
        <v>2686</v>
      </c>
      <c r="B1767" s="55">
        <v>2</v>
      </c>
      <c r="C1767" s="1122">
        <f t="shared" si="12"/>
        <v>1.52</v>
      </c>
      <c r="D1767" s="78">
        <f>87+30</f>
        <v>117</v>
      </c>
      <c r="E1767" s="1123" t="s">
        <v>3224</v>
      </c>
    </row>
    <row r="1768" spans="1:5" s="106" customFormat="1" ht="15">
      <c r="A1768" s="78" t="s">
        <v>2686</v>
      </c>
      <c r="B1768" s="55">
        <v>2</v>
      </c>
      <c r="C1768" s="1122">
        <f t="shared" si="12"/>
        <v>1.52</v>
      </c>
      <c r="D1768" s="78">
        <f>87+30</f>
        <v>117</v>
      </c>
      <c r="E1768" s="1123" t="s">
        <v>3224</v>
      </c>
    </row>
    <row r="1769" spans="1:5" s="106" customFormat="1" ht="15">
      <c r="A1769" s="78" t="s">
        <v>2686</v>
      </c>
      <c r="B1769" s="55">
        <v>2</v>
      </c>
      <c r="C1769" s="1122">
        <f t="shared" si="12"/>
        <v>1.52</v>
      </c>
      <c r="D1769" s="78">
        <f>87+30</f>
        <v>117</v>
      </c>
      <c r="E1769" s="1123" t="s">
        <v>3224</v>
      </c>
    </row>
    <row r="1770" spans="1:5" s="106" customFormat="1" ht="15">
      <c r="A1770" s="78" t="s">
        <v>2692</v>
      </c>
      <c r="B1770" s="55">
        <v>2</v>
      </c>
      <c r="C1770" s="1122">
        <f t="shared" si="12"/>
        <v>1.89</v>
      </c>
      <c r="D1770" s="78">
        <f>115+30</f>
        <v>145</v>
      </c>
      <c r="E1770" s="1123" t="s">
        <v>3224</v>
      </c>
    </row>
    <row r="1771" spans="1:5" s="106" customFormat="1" ht="15">
      <c r="A1771" s="78" t="s">
        <v>2692</v>
      </c>
      <c r="B1771" s="55">
        <v>2</v>
      </c>
      <c r="C1771" s="1122">
        <f t="shared" si="12"/>
        <v>1.89</v>
      </c>
      <c r="D1771" s="78">
        <f>115+30</f>
        <v>145</v>
      </c>
      <c r="E1771" s="1123" t="s">
        <v>3224</v>
      </c>
    </row>
    <row r="1772" spans="1:5" s="106" customFormat="1" ht="15">
      <c r="A1772" s="78" t="s">
        <v>124</v>
      </c>
      <c r="B1772" s="55">
        <v>2</v>
      </c>
      <c r="C1772" s="1122">
        <f t="shared" si="12"/>
        <v>1.47</v>
      </c>
      <c r="D1772" s="78">
        <f>83+30</f>
        <v>113</v>
      </c>
      <c r="E1772" s="1123" t="s">
        <v>3224</v>
      </c>
    </row>
    <row r="1773" spans="1:5" s="106" customFormat="1" ht="15">
      <c r="A1773" s="78" t="s">
        <v>124</v>
      </c>
      <c r="B1773" s="55">
        <v>2</v>
      </c>
      <c r="C1773" s="1122">
        <f t="shared" si="12"/>
        <v>1.47</v>
      </c>
      <c r="D1773" s="78">
        <f>83+30</f>
        <v>113</v>
      </c>
      <c r="E1773" s="1123" t="s">
        <v>3224</v>
      </c>
    </row>
    <row r="1774" spans="1:5" s="106" customFormat="1" ht="15">
      <c r="A1774" s="78" t="s">
        <v>2052</v>
      </c>
      <c r="B1774" s="55">
        <v>2</v>
      </c>
      <c r="C1774" s="1122">
        <f>ROUNDUP(D1774/0.6/110,2)</f>
        <v>1.1599999999999999</v>
      </c>
      <c r="D1774" s="78">
        <v>76</v>
      </c>
      <c r="E1774" s="85" t="s">
        <v>50</v>
      </c>
    </row>
    <row r="1775" spans="1:5" s="106" customFormat="1" ht="15">
      <c r="A1775" s="78" t="s">
        <v>2052</v>
      </c>
      <c r="B1775" s="55">
        <v>2</v>
      </c>
      <c r="C1775" s="1122">
        <f>ROUNDUP(D1775/0.6/110,2)</f>
        <v>1.1599999999999999</v>
      </c>
      <c r="D1775" s="78">
        <v>76</v>
      </c>
      <c r="E1775" s="85" t="s">
        <v>50</v>
      </c>
    </row>
    <row r="1776" spans="1:5" s="106" customFormat="1" ht="15">
      <c r="A1776" s="78" t="s">
        <v>181</v>
      </c>
      <c r="B1776" s="39">
        <v>1</v>
      </c>
      <c r="C1776" s="1122">
        <v>50</v>
      </c>
      <c r="D1776" s="78"/>
      <c r="E1776" s="85"/>
    </row>
    <row r="1777" spans="1:3" s="106" customFormat="1" ht="14.25">
      <c r="A1777" s="594"/>
    </row>
    <row r="1778" spans="1:3" s="106" customFormat="1" ht="15">
      <c r="A1778" s="209" t="s">
        <v>192</v>
      </c>
      <c r="B1778" s="209" t="s">
        <v>18</v>
      </c>
      <c r="C1778" s="80" t="s">
        <v>117</v>
      </c>
    </row>
    <row r="1779" spans="1:3" s="106" customFormat="1" ht="15">
      <c r="A1779" s="78" t="s">
        <v>2085</v>
      </c>
      <c r="B1779" s="55">
        <v>2</v>
      </c>
      <c r="C1779" s="78">
        <v>150</v>
      </c>
    </row>
    <row r="1780" spans="1:3" s="106" customFormat="1" ht="15">
      <c r="A1780" s="209" t="s">
        <v>192</v>
      </c>
      <c r="B1780" s="209" t="s">
        <v>18</v>
      </c>
      <c r="C1780" s="80" t="s">
        <v>117</v>
      </c>
    </row>
    <row r="1781" spans="1:3" s="106" customFormat="1" ht="15">
      <c r="A1781" s="78" t="s">
        <v>76</v>
      </c>
      <c r="B1781" s="55">
        <v>2</v>
      </c>
      <c r="C1781" s="1032">
        <v>174</v>
      </c>
    </row>
    <row r="1782" spans="1:3" ht="15">
      <c r="A1782" s="78" t="s">
        <v>2096</v>
      </c>
      <c r="B1782" s="55">
        <v>2</v>
      </c>
      <c r="C1782" s="1032">
        <v>50</v>
      </c>
    </row>
    <row r="1783" spans="1:3" ht="15">
      <c r="A1783" s="78" t="s">
        <v>2045</v>
      </c>
      <c r="B1783" s="55">
        <v>2</v>
      </c>
      <c r="C1783" s="1032">
        <v>19</v>
      </c>
    </row>
    <row r="1784" spans="1:3" ht="15">
      <c r="A1784" s="78" t="s">
        <v>2664</v>
      </c>
      <c r="B1784" s="55">
        <v>2</v>
      </c>
      <c r="C1784" s="1032">
        <v>45</v>
      </c>
    </row>
    <row r="1786" spans="1:3" ht="15">
      <c r="A1786" s="209" t="s">
        <v>192</v>
      </c>
      <c r="B1786" s="209" t="s">
        <v>18</v>
      </c>
      <c r="C1786" s="80" t="s">
        <v>117</v>
      </c>
    </row>
    <row r="1787" spans="1:3" ht="15">
      <c r="A1787" s="78" t="s">
        <v>2667</v>
      </c>
      <c r="B1787" s="55">
        <v>2</v>
      </c>
      <c r="C1787" s="1032">
        <v>138</v>
      </c>
    </row>
    <row r="1788" spans="1:3" ht="15">
      <c r="A1788" s="78" t="s">
        <v>2668</v>
      </c>
      <c r="B1788" s="55">
        <v>2</v>
      </c>
      <c r="C1788" s="1032">
        <v>277</v>
      </c>
    </row>
    <row r="1789" spans="1:3" ht="15">
      <c r="A1789" s="78" t="s">
        <v>2669</v>
      </c>
      <c r="B1789" s="55">
        <v>2</v>
      </c>
      <c r="C1789" s="1032">
        <v>277</v>
      </c>
    </row>
    <row r="1790" spans="1:3" ht="15">
      <c r="A1790" s="78" t="s">
        <v>2671</v>
      </c>
      <c r="B1790" s="55">
        <v>2</v>
      </c>
      <c r="C1790" s="1032">
        <v>277</v>
      </c>
    </row>
    <row r="1791" spans="1:3" ht="15">
      <c r="A1791" s="78" t="s">
        <v>2673</v>
      </c>
      <c r="B1791" s="55">
        <v>2</v>
      </c>
      <c r="C1791" s="1032">
        <v>277</v>
      </c>
    </row>
    <row r="1792" spans="1:3" ht="15">
      <c r="A1792" s="78" t="s">
        <v>2675</v>
      </c>
      <c r="B1792" s="55">
        <v>2</v>
      </c>
      <c r="C1792" s="1032">
        <v>242</v>
      </c>
    </row>
    <row r="1793" spans="1:3" ht="15">
      <c r="A1793" s="78" t="s">
        <v>2677</v>
      </c>
      <c r="B1793" s="55">
        <v>2</v>
      </c>
      <c r="C1793" s="1032">
        <v>158</v>
      </c>
    </row>
    <row r="1794" spans="1:3" ht="15">
      <c r="A1794" s="78" t="s">
        <v>2390</v>
      </c>
      <c r="B1794" s="55">
        <v>2</v>
      </c>
      <c r="C1794" s="1032">
        <v>158</v>
      </c>
    </row>
    <row r="1795" spans="1:3" ht="15">
      <c r="A1795" s="78" t="s">
        <v>2678</v>
      </c>
      <c r="B1795" s="55">
        <v>2</v>
      </c>
      <c r="C1795" s="1032">
        <v>158</v>
      </c>
    </row>
    <row r="1796" spans="1:3" ht="15">
      <c r="A1796" s="78" t="s">
        <v>2679</v>
      </c>
      <c r="B1796" s="55">
        <v>2</v>
      </c>
      <c r="C1796" s="1032">
        <v>158</v>
      </c>
    </row>
    <row r="1797" spans="1:3" ht="15">
      <c r="A1797" s="78" t="s">
        <v>2680</v>
      </c>
      <c r="B1797" s="55">
        <v>2</v>
      </c>
      <c r="C1797" s="1032">
        <v>123</v>
      </c>
    </row>
    <row r="1798" spans="1:3" ht="15">
      <c r="A1798" s="78" t="s">
        <v>2681</v>
      </c>
      <c r="B1798" s="55">
        <v>2</v>
      </c>
      <c r="C1798" s="1032">
        <v>86</v>
      </c>
    </row>
    <row r="1799" spans="1:3" ht="15">
      <c r="A1799" s="78" t="s">
        <v>2682</v>
      </c>
      <c r="B1799" s="55">
        <v>2</v>
      </c>
      <c r="C1799" s="1032">
        <v>310</v>
      </c>
    </row>
    <row r="1800" spans="1:3" ht="15">
      <c r="A1800" s="78" t="s">
        <v>2683</v>
      </c>
      <c r="B1800" s="55">
        <v>2</v>
      </c>
      <c r="C1800" s="1032">
        <v>315</v>
      </c>
    </row>
    <row r="1801" spans="1:3" ht="15">
      <c r="A1801" s="78" t="s">
        <v>2684</v>
      </c>
      <c r="B1801" s="55">
        <v>2</v>
      </c>
      <c r="C1801" s="1032">
        <v>285</v>
      </c>
    </row>
    <row r="1802" spans="1:3" ht="15">
      <c r="A1802" s="78" t="s">
        <v>2685</v>
      </c>
      <c r="B1802" s="55">
        <v>2</v>
      </c>
      <c r="C1802" s="1032">
        <v>130</v>
      </c>
    </row>
    <row r="1805" spans="1:3" ht="15">
      <c r="A1805" s="78" t="s">
        <v>2686</v>
      </c>
      <c r="B1805" s="17">
        <v>0.3</v>
      </c>
    </row>
    <row r="1806" spans="1:3" ht="15">
      <c r="A1806" s="78" t="s">
        <v>2686</v>
      </c>
      <c r="B1806" s="17">
        <v>0.3</v>
      </c>
    </row>
    <row r="1807" spans="1:3" ht="15">
      <c r="A1807" s="78" t="s">
        <v>2686</v>
      </c>
      <c r="B1807" s="17">
        <v>0.3</v>
      </c>
    </row>
    <row r="1808" spans="1:3" ht="15">
      <c r="A1808" s="78" t="s">
        <v>2686</v>
      </c>
      <c r="B1808" s="17">
        <v>0.3</v>
      </c>
    </row>
    <row r="1809" spans="1:6" ht="15">
      <c r="A1809" s="78" t="s">
        <v>2686</v>
      </c>
      <c r="B1809" s="17">
        <v>0.3</v>
      </c>
    </row>
    <row r="1810" spans="1:6" ht="15">
      <c r="A1810" s="78" t="s">
        <v>2692</v>
      </c>
      <c r="B1810" s="17">
        <v>0.3</v>
      </c>
    </row>
    <row r="1811" spans="1:6" ht="15">
      <c r="A1811" s="78" t="s">
        <v>2692</v>
      </c>
      <c r="B1811" s="17">
        <v>0.3</v>
      </c>
    </row>
    <row r="1812" spans="1:6" ht="15">
      <c r="A1812" s="78" t="s">
        <v>124</v>
      </c>
      <c r="B1812" s="17">
        <v>0.3</v>
      </c>
    </row>
    <row r="1813" spans="1:6" ht="15">
      <c r="A1813" s="78" t="s">
        <v>124</v>
      </c>
      <c r="B1813" s="17">
        <v>0.3</v>
      </c>
    </row>
    <row r="1815" spans="1:6" ht="15.75">
      <c r="A1815" s="209" t="s">
        <v>192</v>
      </c>
      <c r="B1815" s="209" t="s">
        <v>18</v>
      </c>
      <c r="C1815" s="68" t="s">
        <v>212</v>
      </c>
    </row>
    <row r="1816" spans="1:6" ht="15">
      <c r="A1816" s="21" t="s">
        <v>2620</v>
      </c>
      <c r="B1816" s="55">
        <v>50</v>
      </c>
      <c r="C1816" s="40">
        <v>2.21</v>
      </c>
    </row>
    <row r="1817" spans="1:6" ht="15">
      <c r="A1817" s="21"/>
      <c r="B1817" s="39">
        <v>1</v>
      </c>
      <c r="C1817" s="40">
        <v>15</v>
      </c>
    </row>
    <row r="1820" spans="1:6" ht="15.75">
      <c r="A1820" s="209" t="s">
        <v>3195</v>
      </c>
      <c r="B1820" s="209" t="s">
        <v>45</v>
      </c>
      <c r="C1820" s="68" t="s">
        <v>163</v>
      </c>
      <c r="D1820" s="68" t="s">
        <v>197</v>
      </c>
      <c r="E1820" s="99" t="s">
        <v>198</v>
      </c>
      <c r="F1820" s="68" t="s">
        <v>212</v>
      </c>
    </row>
    <row r="1821" spans="1:6" ht="15">
      <c r="A1821" s="27" t="s">
        <v>3225</v>
      </c>
      <c r="B1821" s="21" t="s">
        <v>25</v>
      </c>
      <c r="C1821" s="93">
        <v>13.7</v>
      </c>
      <c r="D1821" s="94">
        <v>15</v>
      </c>
      <c r="E1821" s="17">
        <f>C1821*D1821</f>
        <v>205.5</v>
      </c>
      <c r="F1821" s="884">
        <v>2.4</v>
      </c>
    </row>
    <row r="1822" spans="1:6" ht="15">
      <c r="A1822" s="27" t="s">
        <v>3225</v>
      </c>
      <c r="B1822" s="38" t="s">
        <v>13</v>
      </c>
      <c r="C1822" s="39"/>
      <c r="D1822" s="94"/>
      <c r="E1822" s="39">
        <v>1</v>
      </c>
      <c r="F1822" s="611">
        <v>12</v>
      </c>
    </row>
    <row r="1825" spans="1:7" ht="15">
      <c r="A1825" s="209" t="s">
        <v>3226</v>
      </c>
    </row>
    <row r="1826" spans="1:7" ht="15">
      <c r="A1826" s="27" t="s">
        <v>3227</v>
      </c>
    </row>
    <row r="1827" spans="1:7" ht="15">
      <c r="A1827" s="27" t="s">
        <v>3228</v>
      </c>
    </row>
    <row r="1828" spans="1:7" ht="15">
      <c r="A1828" s="27" t="s">
        <v>3229</v>
      </c>
    </row>
    <row r="1829" spans="1:7" ht="15.75">
      <c r="A1829" s="1126" t="s">
        <v>266</v>
      </c>
    </row>
    <row r="1831" spans="1:7" ht="15.75">
      <c r="A1831" s="209" t="s">
        <v>3195</v>
      </c>
      <c r="B1831" s="209" t="s">
        <v>45</v>
      </c>
      <c r="C1831" s="68" t="s">
        <v>163</v>
      </c>
      <c r="D1831" s="68" t="s">
        <v>197</v>
      </c>
      <c r="E1831" s="99" t="s">
        <v>198</v>
      </c>
      <c r="F1831" s="68" t="s">
        <v>212</v>
      </c>
    </row>
    <row r="1832" spans="1:7" ht="15">
      <c r="A1832" s="27" t="s">
        <v>3230</v>
      </c>
      <c r="B1832" s="21" t="s">
        <v>25</v>
      </c>
      <c r="C1832" s="93">
        <v>13.7</v>
      </c>
      <c r="D1832" s="94">
        <v>3</v>
      </c>
      <c r="E1832" s="108">
        <f>C1832*D1832</f>
        <v>41.099999999999994</v>
      </c>
      <c r="F1832" s="597">
        <v>5.46</v>
      </c>
    </row>
    <row r="1833" spans="1:7" ht="15">
      <c r="A1833" s="27" t="s">
        <v>3230</v>
      </c>
      <c r="B1833" s="38" t="s">
        <v>13</v>
      </c>
      <c r="C1833" s="39"/>
      <c r="D1833" s="94"/>
      <c r="E1833" s="39">
        <v>1</v>
      </c>
      <c r="F1833" s="611">
        <v>12</v>
      </c>
    </row>
    <row r="1836" spans="1:7" ht="31.5">
      <c r="A1836" s="246" t="s">
        <v>171</v>
      </c>
      <c r="B1836" s="241" t="s">
        <v>2</v>
      </c>
      <c r="C1836" s="242" t="s">
        <v>204</v>
      </c>
      <c r="D1836" s="249" t="s">
        <v>225</v>
      </c>
      <c r="E1836" s="249" t="s">
        <v>161</v>
      </c>
      <c r="F1836" s="243" t="s">
        <v>3231</v>
      </c>
      <c r="G1836" s="244" t="s">
        <v>176</v>
      </c>
    </row>
    <row r="1837" spans="1:7" ht="15">
      <c r="A1837" s="28" t="s">
        <v>3232</v>
      </c>
      <c r="B1837" s="91">
        <v>100</v>
      </c>
      <c r="C1837" s="28" t="s">
        <v>211</v>
      </c>
      <c r="D1837" s="1127" t="s">
        <v>3233</v>
      </c>
      <c r="E1837" s="1127" t="s">
        <v>3234</v>
      </c>
      <c r="F1837" s="1128">
        <f>ROUNDUP(G1837/0.6/110,2)</f>
        <v>0.21000000000000002</v>
      </c>
      <c r="G1837" s="1129">
        <v>13.5</v>
      </c>
    </row>
    <row r="1838" spans="1:7" ht="15">
      <c r="A1838" s="28" t="s">
        <v>3235</v>
      </c>
      <c r="B1838" s="91">
        <v>50</v>
      </c>
      <c r="C1838" s="28" t="s">
        <v>211</v>
      </c>
      <c r="D1838" s="1127" t="s">
        <v>3233</v>
      </c>
      <c r="E1838" s="1127" t="s">
        <v>3234</v>
      </c>
      <c r="F1838" s="1128">
        <f>ROUNDUP(G1838/0.6/110,2)</f>
        <v>0.19</v>
      </c>
      <c r="G1838" s="1129">
        <v>12.1</v>
      </c>
    </row>
    <row r="1839" spans="1:7" ht="15">
      <c r="A1839" s="28" t="s">
        <v>3235</v>
      </c>
      <c r="B1839" s="91">
        <v>50</v>
      </c>
      <c r="C1839" s="28" t="s">
        <v>211</v>
      </c>
      <c r="D1839" s="1127" t="s">
        <v>3233</v>
      </c>
      <c r="E1839" s="1127" t="s">
        <v>3234</v>
      </c>
      <c r="F1839" s="1128">
        <f>ROUNDUP(G1839/0.6/110,2)</f>
        <v>0.24000000000000002</v>
      </c>
      <c r="G1839" s="1129">
        <v>15.4</v>
      </c>
    </row>
    <row r="1840" spans="1:7" ht="15">
      <c r="A1840" s="28" t="s">
        <v>3235</v>
      </c>
      <c r="B1840" s="91">
        <v>50</v>
      </c>
      <c r="C1840" s="28" t="s">
        <v>211</v>
      </c>
      <c r="D1840" s="1127" t="s">
        <v>3233</v>
      </c>
      <c r="E1840" s="1127" t="s">
        <v>3234</v>
      </c>
      <c r="F1840" s="1128">
        <v>0.23</v>
      </c>
      <c r="G1840" s="1129">
        <v>15.2</v>
      </c>
    </row>
    <row r="1841" spans="1:7" ht="15">
      <c r="A1841" s="28" t="s">
        <v>3235</v>
      </c>
      <c r="B1841" s="91">
        <v>50</v>
      </c>
      <c r="C1841" s="28" t="s">
        <v>211</v>
      </c>
      <c r="D1841" s="1127" t="s">
        <v>3233</v>
      </c>
      <c r="E1841" s="1127" t="s">
        <v>3234</v>
      </c>
      <c r="F1841" s="1128">
        <f>ROUNDUP(G1841/0.6/110,2)</f>
        <v>0.29000000000000004</v>
      </c>
      <c r="G1841" s="1129">
        <v>19.100000000000001</v>
      </c>
    </row>
    <row r="1842" spans="1:7" ht="15">
      <c r="A1842" s="28" t="s">
        <v>3235</v>
      </c>
      <c r="B1842" s="91">
        <v>50</v>
      </c>
      <c r="C1842" s="28" t="s">
        <v>211</v>
      </c>
      <c r="D1842" s="1127" t="s">
        <v>3233</v>
      </c>
      <c r="E1842" s="1127" t="s">
        <v>3234</v>
      </c>
      <c r="F1842" s="1128">
        <f>ROUNDUP(G1842/0.6/110,2)</f>
        <v>0.34</v>
      </c>
      <c r="G1842" s="1129">
        <v>22.4</v>
      </c>
    </row>
    <row r="1843" spans="1:7" ht="15">
      <c r="A1843" s="90" t="s">
        <v>3236</v>
      </c>
      <c r="B1843" s="1130">
        <v>50</v>
      </c>
      <c r="C1843" s="28" t="s">
        <v>211</v>
      </c>
      <c r="D1843" s="1127" t="s">
        <v>3237</v>
      </c>
      <c r="E1843" s="1127" t="s">
        <v>276</v>
      </c>
      <c r="F1843" s="1128">
        <f>ROUNDUP(G1843/0.6/110,2)</f>
        <v>0.35000000000000003</v>
      </c>
      <c r="G1843" s="1129">
        <v>22.5</v>
      </c>
    </row>
    <row r="1844" spans="1:7" ht="15">
      <c r="A1844" s="90" t="s">
        <v>3238</v>
      </c>
      <c r="B1844" s="1130">
        <v>50</v>
      </c>
      <c r="C1844" s="28" t="s">
        <v>211</v>
      </c>
      <c r="D1844" s="1127" t="s">
        <v>3237</v>
      </c>
      <c r="E1844" s="1127" t="s">
        <v>276</v>
      </c>
      <c r="F1844" s="1128">
        <f>ROUNDUP(G1844/0.6/110,2)</f>
        <v>0.35000000000000003</v>
      </c>
      <c r="G1844" s="1129">
        <v>22.5</v>
      </c>
    </row>
    <row r="1848" spans="1:7">
      <c r="A1848" t="s">
        <v>3239</v>
      </c>
    </row>
    <row r="1849" spans="1:7" ht="15.75">
      <c r="A1849" s="209" t="s">
        <v>40</v>
      </c>
      <c r="B1849" s="209" t="s">
        <v>3240</v>
      </c>
      <c r="C1849" s="68" t="s">
        <v>142</v>
      </c>
      <c r="D1849" s="68" t="s">
        <v>212</v>
      </c>
    </row>
    <row r="1850" spans="1:7" ht="15">
      <c r="A1850" s="21" t="s">
        <v>3241</v>
      </c>
      <c r="B1850" s="21" t="s">
        <v>46</v>
      </c>
      <c r="C1850" s="135" t="s">
        <v>3242</v>
      </c>
      <c r="D1850" s="611">
        <v>0.79</v>
      </c>
    </row>
    <row r="1851" spans="1:7" ht="15">
      <c r="A1851" s="21" t="s">
        <v>3241</v>
      </c>
      <c r="B1851" s="21" t="s">
        <v>62</v>
      </c>
      <c r="C1851" s="135" t="s">
        <v>3242</v>
      </c>
      <c r="D1851" s="611">
        <v>0.94</v>
      </c>
    </row>
    <row r="1852" spans="1:7" ht="15">
      <c r="A1852" s="21" t="s">
        <v>3243</v>
      </c>
      <c r="B1852" s="21" t="s">
        <v>46</v>
      </c>
      <c r="C1852" s="135" t="s">
        <v>3242</v>
      </c>
      <c r="D1852" s="611">
        <v>0.79</v>
      </c>
    </row>
    <row r="1853" spans="1:7" ht="15">
      <c r="A1853" s="21" t="s">
        <v>3243</v>
      </c>
      <c r="B1853" s="21" t="s">
        <v>62</v>
      </c>
      <c r="C1853" s="135" t="s">
        <v>3242</v>
      </c>
      <c r="D1853" s="611">
        <v>0.94</v>
      </c>
    </row>
    <row r="1854" spans="1:7" ht="15">
      <c r="A1854" s="11"/>
      <c r="B1854" s="11"/>
      <c r="C1854" s="1131"/>
      <c r="D1854" s="1132"/>
    </row>
    <row r="1855" spans="1:7">
      <c r="A1855" t="s">
        <v>3244</v>
      </c>
    </row>
    <row r="1856" spans="1:7" ht="15.75">
      <c r="A1856" s="195" t="s">
        <v>153</v>
      </c>
      <c r="B1856" s="197" t="s">
        <v>186</v>
      </c>
      <c r="C1856" s="197" t="s">
        <v>195</v>
      </c>
      <c r="D1856" s="194" t="s">
        <v>196</v>
      </c>
    </row>
    <row r="1857" spans="1:5" s="247" customFormat="1" ht="15">
      <c r="A1857" s="741">
        <v>21916</v>
      </c>
      <c r="B1857" s="611">
        <v>1.77</v>
      </c>
      <c r="C1857" s="611">
        <v>3.07</v>
      </c>
      <c r="D1857" s="1133" t="s">
        <v>3245</v>
      </c>
    </row>
    <row r="1859" spans="1:5" ht="15">
      <c r="A1859" s="1134" t="s">
        <v>22</v>
      </c>
      <c r="B1859" s="1135" t="s">
        <v>3246</v>
      </c>
      <c r="C1859" s="1135" t="s">
        <v>3247</v>
      </c>
    </row>
    <row r="1860" spans="1:5" ht="18">
      <c r="A1860" s="1136">
        <v>21916</v>
      </c>
      <c r="B1860" s="1137" t="s">
        <v>3248</v>
      </c>
      <c r="C1860" s="1137" t="s">
        <v>3249</v>
      </c>
    </row>
    <row r="1862" spans="1:5">
      <c r="A1862" t="s">
        <v>3250</v>
      </c>
    </row>
    <row r="1863" spans="1:5" ht="15.75">
      <c r="A1863" s="246" t="s">
        <v>171</v>
      </c>
      <c r="B1863" s="241" t="s">
        <v>2</v>
      </c>
      <c r="C1863" s="242" t="s">
        <v>3251</v>
      </c>
      <c r="D1863" s="243" t="s">
        <v>3231</v>
      </c>
    </row>
    <row r="1864" spans="1:5" ht="15">
      <c r="A1864" s="28">
        <v>5348</v>
      </c>
      <c r="B1864" s="91">
        <v>30</v>
      </c>
      <c r="C1864" s="28" t="s">
        <v>3252</v>
      </c>
      <c r="D1864" s="910">
        <v>0.94</v>
      </c>
    </row>
    <row r="1865" spans="1:5" ht="15">
      <c r="A1865" s="28">
        <v>5348</v>
      </c>
      <c r="B1865" s="91">
        <v>60</v>
      </c>
      <c r="C1865" s="28" t="s">
        <v>3253</v>
      </c>
      <c r="D1865" s="910">
        <v>0.87</v>
      </c>
    </row>
    <row r="1868" spans="1:5" ht="15.75">
      <c r="A1868" s="209" t="s">
        <v>192</v>
      </c>
      <c r="B1868" s="68" t="s">
        <v>163</v>
      </c>
      <c r="C1868" s="68" t="s">
        <v>197</v>
      </c>
      <c r="D1868" s="99" t="s">
        <v>198</v>
      </c>
      <c r="E1868" s="68" t="s">
        <v>212</v>
      </c>
    </row>
    <row r="1869" spans="1:5" ht="15">
      <c r="A1869" s="21">
        <v>5348</v>
      </c>
      <c r="B1869" s="93">
        <v>60</v>
      </c>
      <c r="C1869" s="94">
        <v>1</v>
      </c>
      <c r="D1869" s="55">
        <f>C1869*B1869</f>
        <v>60</v>
      </c>
      <c r="E1869" s="910">
        <v>0.87</v>
      </c>
    </row>
    <row r="1870" spans="1:5" ht="15">
      <c r="A1870" s="48"/>
      <c r="B1870" s="39"/>
      <c r="C1870" s="94"/>
      <c r="D1870" s="39">
        <v>1</v>
      </c>
      <c r="E1870" s="611">
        <v>12</v>
      </c>
    </row>
    <row r="1873" spans="1:4" ht="15">
      <c r="A1873" s="209" t="s">
        <v>3226</v>
      </c>
    </row>
    <row r="1874" spans="1:4" ht="15">
      <c r="A1874" s="27" t="s">
        <v>3227</v>
      </c>
    </row>
    <row r="1875" spans="1:4" ht="15">
      <c r="A1875" s="27" t="s">
        <v>3228</v>
      </c>
    </row>
    <row r="1876" spans="1:4" ht="15">
      <c r="A1876" s="27" t="s">
        <v>3254</v>
      </c>
    </row>
    <row r="1877" spans="1:4" ht="15.75">
      <c r="A1877" s="1126" t="s">
        <v>266</v>
      </c>
    </row>
    <row r="1880" spans="1:4" ht="15">
      <c r="A1880" s="18" t="s">
        <v>19</v>
      </c>
      <c r="B1880" s="55"/>
      <c r="C1880" s="80" t="s">
        <v>117</v>
      </c>
    </row>
    <row r="1881" spans="1:4" ht="15">
      <c r="A1881" s="740" t="s">
        <v>75</v>
      </c>
      <c r="B1881" s="163">
        <v>100</v>
      </c>
      <c r="C1881" s="597" t="s">
        <v>3255</v>
      </c>
    </row>
    <row r="1886" spans="1:4" ht="15.75">
      <c r="A1886" s="209" t="s">
        <v>3195</v>
      </c>
      <c r="B1886" s="209" t="s">
        <v>45</v>
      </c>
      <c r="C1886" s="99" t="s">
        <v>198</v>
      </c>
      <c r="D1886" s="68" t="s">
        <v>212</v>
      </c>
    </row>
    <row r="1887" spans="1:4" ht="15">
      <c r="A1887" s="27" t="s">
        <v>3256</v>
      </c>
      <c r="B1887" s="21" t="s">
        <v>25</v>
      </c>
      <c r="C1887" s="1138">
        <v>100</v>
      </c>
      <c r="D1887" s="1139">
        <v>2.62</v>
      </c>
    </row>
    <row r="1888" spans="1:4" ht="15">
      <c r="A1888" s="27" t="s">
        <v>3256</v>
      </c>
      <c r="B1888" s="38" t="s">
        <v>218</v>
      </c>
      <c r="C1888" s="227">
        <v>1</v>
      </c>
      <c r="D1888" s="1108">
        <v>12</v>
      </c>
    </row>
    <row r="1890" spans="1:5">
      <c r="A1890" t="s">
        <v>3257</v>
      </c>
    </row>
    <row r="1891" spans="1:5" ht="15.75">
      <c r="A1891" s="195" t="s">
        <v>153</v>
      </c>
      <c r="B1891" s="197" t="s">
        <v>186</v>
      </c>
      <c r="C1891" s="197" t="s">
        <v>195</v>
      </c>
      <c r="D1891" s="194" t="s">
        <v>196</v>
      </c>
    </row>
    <row r="1892" spans="1:5" ht="15">
      <c r="A1892" s="741">
        <v>2661</v>
      </c>
      <c r="B1892" s="611">
        <v>1.61</v>
      </c>
      <c r="C1892" s="611">
        <v>2.78</v>
      </c>
      <c r="D1892" s="1133" t="s">
        <v>3258</v>
      </c>
    </row>
    <row r="1895" spans="1:5" ht="15.75">
      <c r="A1895" s="209" t="s">
        <v>192</v>
      </c>
      <c r="B1895" s="68" t="s">
        <v>198</v>
      </c>
      <c r="C1895" s="68" t="s">
        <v>212</v>
      </c>
    </row>
    <row r="1896" spans="1:5" ht="15">
      <c r="A1896" s="740" t="s">
        <v>2179</v>
      </c>
      <c r="B1896" s="163">
        <v>4</v>
      </c>
      <c r="C1896" s="611">
        <v>1.61</v>
      </c>
    </row>
    <row r="1897" spans="1:5" ht="15">
      <c r="A1897" s="21"/>
      <c r="B1897" s="39">
        <v>1</v>
      </c>
      <c r="C1897" s="611">
        <v>12</v>
      </c>
    </row>
    <row r="1901" spans="1:5">
      <c r="A1901" t="s">
        <v>3259</v>
      </c>
    </row>
    <row r="1902" spans="1:5" ht="42.75">
      <c r="A1902" s="975" t="s">
        <v>153</v>
      </c>
      <c r="B1902" s="975" t="s">
        <v>221</v>
      </c>
      <c r="C1902" s="976" t="s">
        <v>3260</v>
      </c>
      <c r="D1902" s="976" t="s">
        <v>3261</v>
      </c>
      <c r="E1902" s="976" t="s">
        <v>3262</v>
      </c>
    </row>
    <row r="1903" spans="1:5" ht="15">
      <c r="A1903" s="975" t="s">
        <v>2904</v>
      </c>
      <c r="B1903" s="975" t="s">
        <v>2905</v>
      </c>
      <c r="C1903" s="910">
        <v>34.32</v>
      </c>
      <c r="D1903" s="910">
        <v>30.91</v>
      </c>
      <c r="E1903" s="975" t="s">
        <v>3263</v>
      </c>
    </row>
    <row r="1904" spans="1:5" ht="15">
      <c r="A1904" s="975" t="s">
        <v>2906</v>
      </c>
      <c r="B1904" s="975" t="s">
        <v>2905</v>
      </c>
      <c r="C1904" s="910">
        <v>37.159999999999997</v>
      </c>
      <c r="D1904" s="910">
        <v>33.75</v>
      </c>
      <c r="E1904" s="975" t="s">
        <v>3263</v>
      </c>
    </row>
    <row r="1907" spans="1:7">
      <c r="A1907" t="s">
        <v>3264</v>
      </c>
    </row>
    <row r="1908" spans="1:7" ht="15.75">
      <c r="A1908" s="246" t="s">
        <v>171</v>
      </c>
      <c r="B1908" s="241" t="s">
        <v>2</v>
      </c>
      <c r="C1908" s="242" t="s">
        <v>3251</v>
      </c>
      <c r="D1908" s="243" t="s">
        <v>3231</v>
      </c>
    </row>
    <row r="1909" spans="1:7" ht="15">
      <c r="A1909" s="28" t="s">
        <v>3265</v>
      </c>
      <c r="B1909" s="91">
        <v>50</v>
      </c>
      <c r="C1909" s="28" t="s">
        <v>3266</v>
      </c>
      <c r="D1909" s="910">
        <v>0.28999999999999998</v>
      </c>
    </row>
    <row r="1912" spans="1:7" ht="15.75">
      <c r="A1912" s="209" t="s">
        <v>192</v>
      </c>
      <c r="B1912" s="209" t="s">
        <v>45</v>
      </c>
      <c r="C1912" s="68" t="s">
        <v>163</v>
      </c>
      <c r="D1912" s="68" t="s">
        <v>197</v>
      </c>
      <c r="E1912" s="99" t="s">
        <v>198</v>
      </c>
      <c r="F1912" s="68" t="s">
        <v>212</v>
      </c>
      <c r="G1912" s="33"/>
    </row>
    <row r="1913" spans="1:7" ht="15">
      <c r="A1913" s="21" t="s">
        <v>2715</v>
      </c>
      <c r="B1913" s="21" t="s">
        <v>2716</v>
      </c>
      <c r="C1913" s="93">
        <v>50</v>
      </c>
      <c r="D1913" s="94">
        <v>1</v>
      </c>
      <c r="E1913" s="55">
        <f>D1913*C1913</f>
        <v>50</v>
      </c>
      <c r="F1913" s="910">
        <v>0.28999999999999998</v>
      </c>
      <c r="G1913" s="598">
        <f>F1913*E1913</f>
        <v>14.499999999999998</v>
      </c>
    </row>
    <row r="1914" spans="1:7" ht="15">
      <c r="A1914" s="21" t="s">
        <v>2715</v>
      </c>
      <c r="B1914" s="21" t="s">
        <v>2717</v>
      </c>
      <c r="C1914" s="93">
        <v>50</v>
      </c>
      <c r="D1914" s="94">
        <v>1</v>
      </c>
      <c r="E1914" s="55">
        <f>D1914*C1914</f>
        <v>50</v>
      </c>
      <c r="F1914" s="910">
        <v>0.28999999999999998</v>
      </c>
      <c r="G1914" s="598">
        <f>F1914*E1914</f>
        <v>14.499999999999998</v>
      </c>
    </row>
    <row r="1915" spans="1:7" ht="15">
      <c r="A1915" s="48"/>
      <c r="B1915" s="38" t="s">
        <v>218</v>
      </c>
      <c r="C1915" s="39"/>
      <c r="D1915" s="94"/>
      <c r="E1915" s="39">
        <v>1</v>
      </c>
      <c r="F1915" s="611">
        <v>12</v>
      </c>
      <c r="G1915" s="598">
        <f>F1915*E1915</f>
        <v>12</v>
      </c>
    </row>
    <row r="1918" spans="1:7" ht="15.75">
      <c r="A1918" s="209" t="s">
        <v>282</v>
      </c>
      <c r="B1918" s="209" t="s">
        <v>45</v>
      </c>
      <c r="C1918" s="68" t="s">
        <v>163</v>
      </c>
      <c r="D1918" s="68" t="s">
        <v>197</v>
      </c>
      <c r="E1918" s="99" t="s">
        <v>198</v>
      </c>
      <c r="F1918" s="68" t="s">
        <v>212</v>
      </c>
    </row>
    <row r="1919" spans="1:7" ht="15">
      <c r="A1919" s="6" t="s">
        <v>3267</v>
      </c>
      <c r="B1919" s="21" t="s">
        <v>25</v>
      </c>
      <c r="C1919" s="93">
        <v>13.7</v>
      </c>
      <c r="D1919" s="94">
        <v>4</v>
      </c>
      <c r="E1919" s="108">
        <f>C1919*D1919</f>
        <v>54.8</v>
      </c>
      <c r="F1919" s="597">
        <v>6.2</v>
      </c>
    </row>
    <row r="1920" spans="1:7" ht="15">
      <c r="A1920" s="6" t="s">
        <v>3267</v>
      </c>
      <c r="B1920" s="38" t="s">
        <v>218</v>
      </c>
      <c r="C1920" s="39"/>
      <c r="D1920" s="94"/>
      <c r="E1920" s="39">
        <v>1</v>
      </c>
      <c r="F1920" s="611">
        <v>12</v>
      </c>
    </row>
    <row r="1922" spans="1:6">
      <c r="A1922" t="s">
        <v>3268</v>
      </c>
    </row>
    <row r="1923" spans="1:6" ht="15">
      <c r="A1923" s="196" t="s">
        <v>99</v>
      </c>
      <c r="B1923" s="196" t="s">
        <v>1810</v>
      </c>
      <c r="C1923" s="197" t="s">
        <v>186</v>
      </c>
      <c r="D1923" s="197" t="s">
        <v>3116</v>
      </c>
    </row>
    <row r="1924" spans="1:6" ht="15">
      <c r="A1924" s="1064" t="s">
        <v>2718</v>
      </c>
      <c r="B1924" s="78" t="s">
        <v>188</v>
      </c>
      <c r="C1924" s="898">
        <v>0.78</v>
      </c>
      <c r="D1924" s="898" t="s">
        <v>149</v>
      </c>
    </row>
    <row r="1925" spans="1:6" ht="15">
      <c r="A1925" s="1064" t="s">
        <v>3269</v>
      </c>
      <c r="B1925" s="78" t="s">
        <v>188</v>
      </c>
      <c r="C1925" s="898">
        <v>1.06</v>
      </c>
      <c r="D1925" s="898" t="s">
        <v>149</v>
      </c>
    </row>
    <row r="1929" spans="1:6" ht="15">
      <c r="A1929" s="21" t="s">
        <v>2718</v>
      </c>
      <c r="B1929" s="55">
        <v>4</v>
      </c>
      <c r="C1929" s="213" t="s">
        <v>3270</v>
      </c>
      <c r="D1929" s="266"/>
      <c r="E1929" s="83">
        <v>60</v>
      </c>
      <c r="F1929" s="83">
        <f>E1929*B1929</f>
        <v>240</v>
      </c>
    </row>
    <row r="1933" spans="1:6" ht="15.75">
      <c r="A1933" s="209" t="s">
        <v>192</v>
      </c>
      <c r="B1933" s="209" t="s">
        <v>45</v>
      </c>
      <c r="C1933" s="68" t="s">
        <v>163</v>
      </c>
      <c r="D1933" s="68" t="s">
        <v>197</v>
      </c>
      <c r="E1933" s="99" t="s">
        <v>198</v>
      </c>
      <c r="F1933" s="68" t="s">
        <v>212</v>
      </c>
    </row>
    <row r="1934" spans="1:6" ht="15">
      <c r="A1934" s="21" t="s">
        <v>2715</v>
      </c>
      <c r="B1934" s="21" t="s">
        <v>2716</v>
      </c>
      <c r="C1934" s="93">
        <v>50</v>
      </c>
      <c r="D1934" s="94">
        <v>1</v>
      </c>
      <c r="E1934" s="55">
        <f>D1934*C1934</f>
        <v>50</v>
      </c>
      <c r="F1934" s="910">
        <v>0.28999999999999998</v>
      </c>
    </row>
    <row r="1935" spans="1:6" ht="15">
      <c r="A1935" s="21" t="s">
        <v>2715</v>
      </c>
      <c r="B1935" s="21" t="s">
        <v>2717</v>
      </c>
      <c r="C1935" s="93">
        <v>50</v>
      </c>
      <c r="D1935" s="94">
        <v>1</v>
      </c>
      <c r="E1935" s="55">
        <f>D1935*C1935</f>
        <v>50</v>
      </c>
      <c r="F1935" s="910">
        <v>0.28999999999999998</v>
      </c>
    </row>
    <row r="1936" spans="1:6" ht="15">
      <c r="A1936" s="18"/>
      <c r="B1936" s="21"/>
      <c r="C1936" s="17"/>
      <c r="D1936" s="56"/>
      <c r="E1936" s="17"/>
      <c r="F1936" s="611"/>
    </row>
    <row r="1937" spans="1:7" ht="15">
      <c r="A1937" s="21" t="s">
        <v>2718</v>
      </c>
      <c r="B1937" s="21" t="s">
        <v>2719</v>
      </c>
      <c r="C1937" s="93"/>
      <c r="D1937" s="94"/>
      <c r="E1937" s="55">
        <v>4</v>
      </c>
      <c r="F1937" s="910">
        <v>0.78</v>
      </c>
    </row>
    <row r="1938" spans="1:7" ht="15">
      <c r="A1938" s="21"/>
      <c r="B1938" s="38" t="s">
        <v>218</v>
      </c>
      <c r="C1938" s="39"/>
      <c r="D1938" s="94"/>
      <c r="E1938" s="39"/>
      <c r="F1938" s="611">
        <v>12</v>
      </c>
    </row>
    <row r="1941" spans="1:7" ht="15.75">
      <c r="A1941" s="209" t="s">
        <v>39</v>
      </c>
      <c r="B1941" s="209" t="s">
        <v>45</v>
      </c>
      <c r="C1941" s="68" t="s">
        <v>163</v>
      </c>
      <c r="D1941" s="68" t="s">
        <v>197</v>
      </c>
      <c r="E1941" s="99" t="s">
        <v>198</v>
      </c>
      <c r="F1941" s="68" t="s">
        <v>212</v>
      </c>
      <c r="G1941" s="68" t="s">
        <v>3271</v>
      </c>
    </row>
    <row r="1942" spans="1:7" ht="15.75">
      <c r="A1942" s="27" t="s">
        <v>3272</v>
      </c>
      <c r="B1942" s="21" t="s">
        <v>25</v>
      </c>
      <c r="C1942" s="93">
        <v>13.7</v>
      </c>
      <c r="D1942" s="94">
        <v>8</v>
      </c>
      <c r="E1942" s="107">
        <f>C1942*D1942</f>
        <v>109.6</v>
      </c>
      <c r="F1942" s="884">
        <v>2.4</v>
      </c>
      <c r="G1942" s="72" t="s">
        <v>3273</v>
      </c>
    </row>
    <row r="1943" spans="1:7" ht="15.75">
      <c r="A1943" s="27" t="s">
        <v>3272</v>
      </c>
      <c r="B1943" s="21" t="s">
        <v>25</v>
      </c>
      <c r="C1943" s="93">
        <v>13.7</v>
      </c>
      <c r="D1943" s="94">
        <v>4</v>
      </c>
      <c r="E1943" s="108">
        <f>C1943*D1943</f>
        <v>54.8</v>
      </c>
      <c r="F1943" s="597">
        <v>3.69</v>
      </c>
      <c r="G1943" s="72" t="s">
        <v>3273</v>
      </c>
    </row>
    <row r="1944" spans="1:7" ht="15.75">
      <c r="A1944" s="27" t="s">
        <v>3272</v>
      </c>
      <c r="B1944" s="21" t="s">
        <v>25</v>
      </c>
      <c r="C1944" s="93">
        <v>13.7</v>
      </c>
      <c r="D1944" s="94">
        <v>8</v>
      </c>
      <c r="E1944" s="108">
        <f>C1944*D1944</f>
        <v>109.6</v>
      </c>
      <c r="F1944" s="597">
        <v>5.46</v>
      </c>
      <c r="G1944" s="72" t="s">
        <v>3274</v>
      </c>
    </row>
    <row r="1945" spans="1:7" ht="15.75">
      <c r="A1945" s="27" t="s">
        <v>3272</v>
      </c>
      <c r="B1945" s="21" t="s">
        <v>25</v>
      </c>
      <c r="C1945" s="93">
        <v>13.7</v>
      </c>
      <c r="D1945" s="94">
        <v>8</v>
      </c>
      <c r="E1945" s="108">
        <f>C1945*D1945</f>
        <v>109.6</v>
      </c>
      <c r="F1945" s="597">
        <v>6.2</v>
      </c>
      <c r="G1945" s="72" t="s">
        <v>3274</v>
      </c>
    </row>
    <row r="1946" spans="1:7" ht="15.75">
      <c r="A1946" s="27" t="s">
        <v>3272</v>
      </c>
      <c r="B1946" s="38" t="s">
        <v>218</v>
      </c>
      <c r="C1946" s="39"/>
      <c r="D1946" s="94"/>
      <c r="E1946" s="39">
        <v>1</v>
      </c>
      <c r="F1946" s="611">
        <v>12</v>
      </c>
      <c r="G1946" s="72"/>
    </row>
    <row r="1950" spans="1:7">
      <c r="A1950" t="s">
        <v>3275</v>
      </c>
    </row>
    <row r="1951" spans="1:7" ht="15.75">
      <c r="A1951" s="246" t="s">
        <v>171</v>
      </c>
      <c r="B1951" s="246" t="s">
        <v>93</v>
      </c>
      <c r="C1951" s="246" t="s">
        <v>45</v>
      </c>
      <c r="D1951" s="241" t="s">
        <v>2</v>
      </c>
      <c r="E1951" s="242" t="s">
        <v>3251</v>
      </c>
      <c r="F1951" s="243" t="s">
        <v>3231</v>
      </c>
    </row>
    <row r="1952" spans="1:7" ht="15">
      <c r="A1952" s="28">
        <v>3717</v>
      </c>
      <c r="B1952" s="28" t="s">
        <v>292</v>
      </c>
      <c r="C1952" s="28" t="s">
        <v>3276</v>
      </c>
      <c r="D1952" s="91">
        <v>30</v>
      </c>
      <c r="E1952" s="28" t="s">
        <v>3252</v>
      </c>
      <c r="F1952" s="910">
        <f>ROUNDUP(G1952/0.6/110,2)</f>
        <v>0.31</v>
      </c>
      <c r="G1952" s="95">
        <v>20</v>
      </c>
    </row>
    <row r="1956" spans="1:11">
      <c r="A1956" s="80" t="s">
        <v>22</v>
      </c>
      <c r="B1956" s="80" t="s">
        <v>152</v>
      </c>
      <c r="C1956" s="80" t="s">
        <v>23</v>
      </c>
      <c r="D1956" s="80" t="s">
        <v>117</v>
      </c>
    </row>
    <row r="1957" spans="1:11" ht="15">
      <c r="A1957" s="21">
        <v>356139</v>
      </c>
      <c r="B1957" s="21" t="s">
        <v>46</v>
      </c>
      <c r="C1957" s="8">
        <v>2</v>
      </c>
      <c r="D1957" s="597" t="s">
        <v>3277</v>
      </c>
    </row>
    <row r="1958" spans="1:11" ht="15">
      <c r="A1958" s="21"/>
      <c r="B1958" s="38" t="s">
        <v>218</v>
      </c>
      <c r="C1958" s="8"/>
      <c r="D1958" s="611">
        <v>12</v>
      </c>
    </row>
    <row r="1960" spans="1:11" ht="15.75">
      <c r="A1960" s="209" t="s">
        <v>192</v>
      </c>
      <c r="B1960" s="209" t="s">
        <v>45</v>
      </c>
      <c r="C1960" s="209" t="s">
        <v>18</v>
      </c>
      <c r="D1960" s="68" t="s">
        <v>212</v>
      </c>
    </row>
    <row r="1961" spans="1:11" ht="15">
      <c r="A1961" s="740" t="s">
        <v>2583</v>
      </c>
      <c r="B1961" s="21" t="s">
        <v>46</v>
      </c>
      <c r="C1961" s="8">
        <v>2</v>
      </c>
      <c r="D1961" s="597">
        <v>2.0799999999999996</v>
      </c>
    </row>
    <row r="1962" spans="1:11" ht="15">
      <c r="A1962" s="21"/>
      <c r="B1962" s="38" t="s">
        <v>218</v>
      </c>
      <c r="C1962" s="39">
        <v>1</v>
      </c>
      <c r="D1962" s="611">
        <v>12</v>
      </c>
    </row>
    <row r="1964" spans="1:11">
      <c r="A1964" s="1140" t="s">
        <v>3278</v>
      </c>
    </row>
    <row r="1965" spans="1:11" s="1144" customFormat="1" ht="19.5" hidden="1" customHeight="1">
      <c r="A1965" s="246" t="s">
        <v>171</v>
      </c>
      <c r="B1965" s="1141" t="s">
        <v>3279</v>
      </c>
      <c r="C1965" s="1142" t="s">
        <v>3280</v>
      </c>
      <c r="D1965" s="1143" t="s">
        <v>3281</v>
      </c>
      <c r="E1965" s="1135" t="s">
        <v>3246</v>
      </c>
      <c r="F1965" s="1143" t="s">
        <v>195</v>
      </c>
      <c r="G1965" s="382" t="s">
        <v>196</v>
      </c>
    </row>
    <row r="1966" spans="1:11" s="1147" customFormat="1" ht="15" hidden="1">
      <c r="A1966" s="741">
        <v>81735</v>
      </c>
      <c r="B1966" s="741" t="s">
        <v>188</v>
      </c>
      <c r="C1966" s="1145">
        <v>129</v>
      </c>
      <c r="D1966" s="977">
        <v>1.68</v>
      </c>
      <c r="E1966" s="1146" t="s">
        <v>230</v>
      </c>
      <c r="F1966" s="977" t="s">
        <v>230</v>
      </c>
      <c r="G1966" s="977" t="s">
        <v>230</v>
      </c>
    </row>
    <row r="1967" spans="1:11" s="247" customFormat="1" ht="15" hidden="1">
      <c r="A1967" s="741">
        <v>81734</v>
      </c>
      <c r="B1967" s="741" t="s">
        <v>188</v>
      </c>
      <c r="C1967" s="1148">
        <v>206</v>
      </c>
      <c r="D1967" s="1149">
        <v>2.6799999999999997</v>
      </c>
      <c r="E1967" s="1150" t="s">
        <v>230</v>
      </c>
      <c r="F1967" s="1149" t="s">
        <v>230</v>
      </c>
      <c r="G1967" s="1149" t="s">
        <v>230</v>
      </c>
      <c r="H1967" s="1151"/>
      <c r="I1967" s="1151"/>
      <c r="J1967" s="1151"/>
      <c r="K1967" s="1151"/>
    </row>
    <row r="1968" spans="1:11" s="247" customFormat="1" ht="15" hidden="1">
      <c r="A1968" s="741" t="s">
        <v>3282</v>
      </c>
      <c r="B1968" s="741" t="s">
        <v>188</v>
      </c>
      <c r="C1968" s="1148">
        <v>128</v>
      </c>
      <c r="D1968" s="1149">
        <v>1.67</v>
      </c>
      <c r="E1968" s="203"/>
      <c r="F1968" s="1149" t="s">
        <v>230</v>
      </c>
      <c r="G1968" s="1149" t="s">
        <v>230</v>
      </c>
    </row>
    <row r="1969" spans="1:11" s="247" customFormat="1" ht="15" hidden="1">
      <c r="A1969" s="741" t="s">
        <v>3283</v>
      </c>
      <c r="B1969" s="741" t="s">
        <v>188</v>
      </c>
      <c r="C1969" s="1148">
        <v>50</v>
      </c>
      <c r="D1969" s="1149">
        <v>0.65</v>
      </c>
      <c r="E1969" s="203"/>
      <c r="F1969" s="1149" t="s">
        <v>230</v>
      </c>
      <c r="G1969" s="1149" t="s">
        <v>230</v>
      </c>
    </row>
    <row r="1970" spans="1:11" s="247" customFormat="1" ht="15" hidden="1">
      <c r="A1970" s="741" t="s">
        <v>3284</v>
      </c>
      <c r="B1970" s="741" t="s">
        <v>188</v>
      </c>
      <c r="C1970" s="1148">
        <v>50</v>
      </c>
      <c r="D1970" s="1149">
        <v>0.65</v>
      </c>
      <c r="E1970" s="203"/>
      <c r="F1970" s="1149" t="s">
        <v>230</v>
      </c>
      <c r="G1970" s="1149" t="s">
        <v>230</v>
      </c>
      <c r="H1970" s="1151"/>
      <c r="I1970" s="1151"/>
      <c r="J1970" s="1151"/>
      <c r="K1970" s="1151"/>
    </row>
    <row r="1971" spans="1:11" s="247" customFormat="1" ht="15" hidden="1">
      <c r="A1971" s="741">
        <v>21991</v>
      </c>
      <c r="B1971" s="741" t="s">
        <v>188</v>
      </c>
      <c r="C1971" s="1148">
        <v>194</v>
      </c>
      <c r="D1971" s="1149">
        <v>2.5199999999999996</v>
      </c>
      <c r="E1971" s="1150" t="s">
        <v>3285</v>
      </c>
      <c r="F1971" s="1149">
        <v>3.5599999999999996</v>
      </c>
      <c r="G1971" s="1152" t="s">
        <v>3286</v>
      </c>
      <c r="H1971" s="1151"/>
      <c r="I1971" s="1151"/>
      <c r="J1971" s="1151"/>
      <c r="K1971" s="1151"/>
    </row>
    <row r="1972" spans="1:11" s="247" customFormat="1" ht="15" hidden="1">
      <c r="A1972" s="741">
        <v>21874</v>
      </c>
      <c r="B1972" s="741" t="s">
        <v>188</v>
      </c>
      <c r="C1972" s="1148">
        <v>253</v>
      </c>
      <c r="D1972" s="1149">
        <v>3.2899999999999996</v>
      </c>
      <c r="E1972" s="1150" t="s">
        <v>3287</v>
      </c>
      <c r="F1972" s="1149">
        <v>4.59</v>
      </c>
      <c r="G1972" s="1152" t="s">
        <v>3288</v>
      </c>
      <c r="H1972" s="1151"/>
      <c r="I1972" s="1151"/>
      <c r="J1972" s="1151"/>
      <c r="K1972" s="1151"/>
    </row>
    <row r="1973" spans="1:11" s="247" customFormat="1" ht="15" hidden="1">
      <c r="A1973" s="741">
        <v>24144</v>
      </c>
      <c r="B1973" s="741" t="s">
        <v>188</v>
      </c>
      <c r="C1973" s="1148">
        <v>106</v>
      </c>
      <c r="D1973" s="1149">
        <v>1.3800000000000001</v>
      </c>
      <c r="E1973" s="1150" t="s">
        <v>3287</v>
      </c>
      <c r="F1973" s="1149">
        <v>2.6799999999999997</v>
      </c>
      <c r="G1973" s="1152" t="s">
        <v>3288</v>
      </c>
      <c r="H1973" s="1151"/>
      <c r="I1973" s="1151"/>
      <c r="J1973" s="1151"/>
      <c r="K1973" s="1151"/>
    </row>
    <row r="1974" spans="1:11" s="247" customFormat="1" ht="15" hidden="1">
      <c r="A1974" s="741" t="s">
        <v>3289</v>
      </c>
      <c r="B1974" s="741" t="s">
        <v>188</v>
      </c>
      <c r="C1974" s="1148">
        <v>140</v>
      </c>
      <c r="D1974" s="1149">
        <v>1.82</v>
      </c>
      <c r="E1974" s="1150" t="s">
        <v>230</v>
      </c>
      <c r="F1974" s="1149" t="s">
        <v>230</v>
      </c>
      <c r="G1974" s="977" t="s">
        <v>230</v>
      </c>
      <c r="H1974" s="1151"/>
      <c r="I1974" s="1151"/>
      <c r="J1974" s="1151"/>
      <c r="K1974" s="1151"/>
    </row>
    <row r="1975" spans="1:11" s="247" customFormat="1" ht="15" hidden="1">
      <c r="A1975" s="741" t="s">
        <v>3290</v>
      </c>
      <c r="B1975" s="741" t="s">
        <v>188</v>
      </c>
      <c r="C1975" s="1148">
        <v>140</v>
      </c>
      <c r="D1975" s="1149">
        <v>1.82</v>
      </c>
      <c r="E1975" s="1150" t="s">
        <v>230</v>
      </c>
      <c r="F1975" s="1149" t="s">
        <v>230</v>
      </c>
      <c r="G1975" s="1149" t="s">
        <v>230</v>
      </c>
      <c r="H1975" s="1151"/>
      <c r="I1975" s="1151"/>
      <c r="J1975" s="1151"/>
      <c r="K1975" s="1151"/>
    </row>
    <row r="1976" spans="1:11" s="247" customFormat="1" ht="15" hidden="1">
      <c r="A1976" s="203" t="s">
        <v>3291</v>
      </c>
      <c r="B1976" s="741" t="s">
        <v>188</v>
      </c>
      <c r="C1976" s="1153">
        <v>275</v>
      </c>
      <c r="D1976" s="1149">
        <f>ROUNDUP(C1976/0.7/110,2)</f>
        <v>3.5799999999999996</v>
      </c>
      <c r="E1976" s="203"/>
      <c r="F1976" s="1149" t="s">
        <v>230</v>
      </c>
      <c r="G1976" s="1149" t="s">
        <v>230</v>
      </c>
    </row>
    <row r="1977" spans="1:11" s="247" customFormat="1" ht="15" hidden="1">
      <c r="A1977" s="741" t="s">
        <v>3292</v>
      </c>
      <c r="B1977" s="741" t="s">
        <v>188</v>
      </c>
      <c r="C1977" s="1153">
        <v>230</v>
      </c>
      <c r="D1977" s="1149">
        <f>ROUNDUP(C1977/0.7/110,2)</f>
        <v>2.9899999999999998</v>
      </c>
      <c r="E1977" s="203"/>
      <c r="F1977" s="1149" t="s">
        <v>230</v>
      </c>
      <c r="G1977" s="1149" t="s">
        <v>230</v>
      </c>
    </row>
    <row r="1978" spans="1:11" s="247" customFormat="1" ht="15" hidden="1">
      <c r="A1978" s="741" t="s">
        <v>3293</v>
      </c>
      <c r="B1978" s="741" t="s">
        <v>188</v>
      </c>
      <c r="C1978" s="1153">
        <v>80</v>
      </c>
      <c r="D1978" s="1149">
        <f>ROUNDUP(C1978/0.7/110,2)</f>
        <v>1.04</v>
      </c>
      <c r="E1978" s="203"/>
      <c r="F1978" s="1149" t="s">
        <v>230</v>
      </c>
      <c r="G1978" s="1149" t="s">
        <v>230</v>
      </c>
    </row>
    <row r="1979" spans="1:11" s="247" customFormat="1" ht="15" hidden="1">
      <c r="A1979" s="741" t="s">
        <v>3294</v>
      </c>
      <c r="B1979" s="741" t="s">
        <v>188</v>
      </c>
      <c r="C1979" s="1153">
        <v>168</v>
      </c>
      <c r="D1979" s="1149">
        <f>ROUNDUP(C1979/0.7/110,2)</f>
        <v>2.19</v>
      </c>
      <c r="E1979" s="1153"/>
      <c r="F1979" s="1149" t="s">
        <v>230</v>
      </c>
      <c r="G1979" s="1149" t="s">
        <v>230</v>
      </c>
      <c r="H1979" s="1154"/>
      <c r="I1979" s="1154"/>
      <c r="J1979" s="1155"/>
    </row>
    <row r="1980" spans="1:11" ht="45">
      <c r="A1980" s="246" t="s">
        <v>171</v>
      </c>
      <c r="B1980" s="1156" t="s">
        <v>3279</v>
      </c>
      <c r="C1980" s="1157" t="s">
        <v>3281</v>
      </c>
      <c r="D1980" s="1157" t="s">
        <v>195</v>
      </c>
      <c r="E1980" s="382" t="s">
        <v>196</v>
      </c>
    </row>
    <row r="1981" spans="1:11" ht="15">
      <c r="A1981" s="741">
        <v>81735</v>
      </c>
      <c r="B1981" s="741" t="s">
        <v>188</v>
      </c>
      <c r="C1981" s="977">
        <v>1.68</v>
      </c>
      <c r="D1981" s="977" t="s">
        <v>230</v>
      </c>
      <c r="E1981" s="977" t="s">
        <v>230</v>
      </c>
    </row>
    <row r="1982" spans="1:11" ht="15">
      <c r="A1982" s="741">
        <v>81734</v>
      </c>
      <c r="B1982" s="741" t="s">
        <v>188</v>
      </c>
      <c r="C1982" s="1149">
        <v>2.6799999999999997</v>
      </c>
      <c r="D1982" s="1149" t="s">
        <v>230</v>
      </c>
      <c r="E1982" s="1149" t="s">
        <v>230</v>
      </c>
    </row>
    <row r="1983" spans="1:11" ht="15">
      <c r="A1983" s="741" t="s">
        <v>3282</v>
      </c>
      <c r="B1983" s="741" t="s">
        <v>188</v>
      </c>
      <c r="C1983" s="1149">
        <v>1.67</v>
      </c>
      <c r="D1983" s="1149" t="s">
        <v>230</v>
      </c>
      <c r="E1983" s="1149" t="s">
        <v>230</v>
      </c>
    </row>
    <row r="1984" spans="1:11" ht="15">
      <c r="A1984" s="741" t="s">
        <v>3283</v>
      </c>
      <c r="B1984" s="741" t="s">
        <v>188</v>
      </c>
      <c r="C1984" s="1149">
        <v>0.65</v>
      </c>
      <c r="D1984" s="1149" t="s">
        <v>230</v>
      </c>
      <c r="E1984" s="1149" t="s">
        <v>230</v>
      </c>
    </row>
    <row r="1985" spans="1:12" ht="15">
      <c r="A1985" s="741" t="s">
        <v>3284</v>
      </c>
      <c r="B1985" s="741" t="s">
        <v>188</v>
      </c>
      <c r="C1985" s="1149">
        <v>0.65</v>
      </c>
      <c r="D1985" s="1149" t="s">
        <v>230</v>
      </c>
      <c r="E1985" s="1149" t="s">
        <v>230</v>
      </c>
    </row>
    <row r="1986" spans="1:12" ht="15">
      <c r="A1986" s="741">
        <v>21991</v>
      </c>
      <c r="B1986" s="741" t="s">
        <v>188</v>
      </c>
      <c r="C1986" s="1149">
        <v>2.5199999999999996</v>
      </c>
      <c r="D1986" s="1149">
        <v>3.5599999999999996</v>
      </c>
      <c r="E1986" s="1152" t="s">
        <v>3286</v>
      </c>
    </row>
    <row r="1987" spans="1:12" ht="15">
      <c r="A1987" s="741">
        <v>21874</v>
      </c>
      <c r="B1987" s="741" t="s">
        <v>188</v>
      </c>
      <c r="C1987" s="1149">
        <v>3.2899999999999996</v>
      </c>
      <c r="D1987" s="1149">
        <v>4.59</v>
      </c>
      <c r="E1987" s="1152" t="s">
        <v>3288</v>
      </c>
    </row>
    <row r="1988" spans="1:12" ht="15">
      <c r="A1988" s="741">
        <v>24144</v>
      </c>
      <c r="B1988" s="741" t="s">
        <v>188</v>
      </c>
      <c r="C1988" s="1149">
        <v>1.3800000000000001</v>
      </c>
      <c r="D1988" s="1149">
        <v>2.6799999999999997</v>
      </c>
      <c r="E1988" s="1152" t="s">
        <v>3288</v>
      </c>
    </row>
    <row r="1989" spans="1:12" ht="15">
      <c r="A1989" s="741" t="s">
        <v>3289</v>
      </c>
      <c r="B1989" s="741" t="s">
        <v>188</v>
      </c>
      <c r="C1989" s="1149">
        <v>1.82</v>
      </c>
      <c r="D1989" s="1149" t="s">
        <v>230</v>
      </c>
      <c r="E1989" s="977" t="s">
        <v>230</v>
      </c>
    </row>
    <row r="1990" spans="1:12" ht="15">
      <c r="A1990" s="741" t="s">
        <v>3290</v>
      </c>
      <c r="B1990" s="741" t="s">
        <v>188</v>
      </c>
      <c r="C1990" s="1149">
        <v>1.82</v>
      </c>
      <c r="D1990" s="1149" t="s">
        <v>230</v>
      </c>
      <c r="E1990" s="1149" t="s">
        <v>230</v>
      </c>
    </row>
    <row r="1991" spans="1:12" ht="15">
      <c r="A1991" s="203" t="s">
        <v>3291</v>
      </c>
      <c r="B1991" s="741" t="s">
        <v>188</v>
      </c>
      <c r="C1991" s="1149">
        <v>3.5799999999999996</v>
      </c>
      <c r="D1991" s="1149" t="s">
        <v>230</v>
      </c>
      <c r="E1991" s="1149" t="s">
        <v>230</v>
      </c>
    </row>
    <row r="1992" spans="1:12" ht="15">
      <c r="A1992" s="741" t="s">
        <v>3292</v>
      </c>
      <c r="B1992" s="741" t="s">
        <v>188</v>
      </c>
      <c r="C1992" s="1149">
        <v>2.9899999999999998</v>
      </c>
      <c r="D1992" s="1149" t="s">
        <v>230</v>
      </c>
      <c r="E1992" s="1149" t="s">
        <v>230</v>
      </c>
    </row>
    <row r="1993" spans="1:12" ht="15">
      <c r="A1993" s="741" t="s">
        <v>3293</v>
      </c>
      <c r="B1993" s="741" t="s">
        <v>188</v>
      </c>
      <c r="C1993" s="1149">
        <v>1.04</v>
      </c>
      <c r="D1993" s="1149" t="s">
        <v>230</v>
      </c>
      <c r="E1993" s="1149" t="s">
        <v>230</v>
      </c>
    </row>
    <row r="1994" spans="1:12" ht="15">
      <c r="A1994" s="741" t="s">
        <v>3294</v>
      </c>
      <c r="B1994" s="741" t="s">
        <v>188</v>
      </c>
      <c r="C1994" s="1149">
        <v>2.19</v>
      </c>
      <c r="D1994" s="1149" t="s">
        <v>230</v>
      </c>
      <c r="E1994" s="1149" t="s">
        <v>230</v>
      </c>
    </row>
    <row r="1996" spans="1:12" s="263" customFormat="1" ht="26.25" hidden="1" customHeight="1">
      <c r="A1996" s="592" t="s">
        <v>171</v>
      </c>
      <c r="B1996" s="1158" t="s">
        <v>3295</v>
      </c>
      <c r="C1996" s="1158" t="s">
        <v>3279</v>
      </c>
      <c r="D1996" s="313" t="s">
        <v>3296</v>
      </c>
      <c r="E1996" s="1159" t="s">
        <v>3297</v>
      </c>
      <c r="F1996" s="1160" t="s">
        <v>3298</v>
      </c>
      <c r="G1996" s="1161" t="s">
        <v>3299</v>
      </c>
      <c r="H1996" s="1159" t="s">
        <v>195</v>
      </c>
      <c r="I1996" s="382" t="s">
        <v>196</v>
      </c>
      <c r="J1996" s="1162" t="s">
        <v>3300</v>
      </c>
      <c r="K1996" s="1163" t="s">
        <v>3301</v>
      </c>
    </row>
    <row r="1997" spans="1:12" s="1170" customFormat="1" ht="14.25" hidden="1">
      <c r="A1997" s="1164" t="s">
        <v>3302</v>
      </c>
      <c r="B1997" s="1164" t="s">
        <v>191</v>
      </c>
      <c r="C1997" s="1165" t="s">
        <v>3303</v>
      </c>
      <c r="D1997" s="1164">
        <v>145</v>
      </c>
      <c r="E1997" s="1166">
        <v>1.89</v>
      </c>
      <c r="F1997" s="1164">
        <v>30</v>
      </c>
      <c r="G1997" s="1165">
        <v>175</v>
      </c>
      <c r="H1997" s="1166">
        <v>2.2799999999999998</v>
      </c>
      <c r="I1997" s="377" t="s">
        <v>3304</v>
      </c>
      <c r="J1997" s="1167" t="s">
        <v>3305</v>
      </c>
      <c r="K1997" s="1168">
        <v>9000</v>
      </c>
      <c r="L1997" s="1169"/>
    </row>
    <row r="1998" spans="1:12" s="1170" customFormat="1" ht="14.25" hidden="1">
      <c r="A1998" s="1164" t="s">
        <v>3306</v>
      </c>
      <c r="B1998" s="1164" t="s">
        <v>191</v>
      </c>
      <c r="C1998" s="1165" t="s">
        <v>3303</v>
      </c>
      <c r="D1998" s="1164">
        <v>140</v>
      </c>
      <c r="E1998" s="1166">
        <v>1.82</v>
      </c>
      <c r="F1998" s="1164">
        <v>30</v>
      </c>
      <c r="G1998" s="1165">
        <v>170</v>
      </c>
      <c r="H1998" s="1166">
        <v>2.21</v>
      </c>
      <c r="I1998" s="377" t="s">
        <v>3304</v>
      </c>
      <c r="J1998" s="1167" t="s">
        <v>3305</v>
      </c>
      <c r="K1998" s="1168">
        <v>9000</v>
      </c>
      <c r="L1998" s="1169"/>
    </row>
    <row r="1999" spans="1:12" s="1170" customFormat="1" ht="14.25" hidden="1">
      <c r="A1999" s="1171">
        <v>25503</v>
      </c>
      <c r="B1999" s="1164" t="s">
        <v>191</v>
      </c>
      <c r="C1999" s="1164" t="s">
        <v>3303</v>
      </c>
      <c r="D1999" s="1164">
        <v>95</v>
      </c>
      <c r="E1999" s="1166">
        <v>1.24</v>
      </c>
      <c r="F1999" s="1165">
        <v>30</v>
      </c>
      <c r="G1999" s="1165">
        <v>125</v>
      </c>
      <c r="H1999" s="1166">
        <v>1.6300000000000001</v>
      </c>
      <c r="I1999" s="377" t="s">
        <v>3304</v>
      </c>
      <c r="J1999" s="1167" t="s">
        <v>3305</v>
      </c>
      <c r="K1999" s="1168">
        <v>9000</v>
      </c>
    </row>
    <row r="2000" spans="1:12" s="1170" customFormat="1" ht="14.25" hidden="1">
      <c r="A2000" s="1171" t="s">
        <v>3307</v>
      </c>
      <c r="B2000" s="1164" t="s">
        <v>3308</v>
      </c>
      <c r="C2000" s="1164" t="s">
        <v>3303</v>
      </c>
      <c r="D2000" s="1164">
        <v>155</v>
      </c>
      <c r="E2000" s="1166">
        <v>2.0199999999999996</v>
      </c>
      <c r="F2000" s="1165" t="s">
        <v>230</v>
      </c>
      <c r="G2000" s="1165">
        <v>155</v>
      </c>
      <c r="H2000" s="1166" t="s">
        <v>230</v>
      </c>
      <c r="I2000" s="1164" t="s">
        <v>230</v>
      </c>
      <c r="J2000" s="1167" t="s">
        <v>230</v>
      </c>
      <c r="K2000" s="1168" t="s">
        <v>230</v>
      </c>
    </row>
    <row r="2001" spans="1:12" s="1170" customFormat="1" ht="14.25" hidden="1">
      <c r="A2001" s="1171" t="s">
        <v>3309</v>
      </c>
      <c r="B2001" s="1164" t="s">
        <v>3310</v>
      </c>
      <c r="C2001" s="1164" t="s">
        <v>3303</v>
      </c>
      <c r="D2001" s="1164">
        <v>155</v>
      </c>
      <c r="E2001" s="1166">
        <v>2.0199999999999996</v>
      </c>
      <c r="F2001" s="1165" t="s">
        <v>230</v>
      </c>
      <c r="G2001" s="1165">
        <v>155</v>
      </c>
      <c r="H2001" s="1166" t="s">
        <v>230</v>
      </c>
      <c r="I2001" s="1164" t="s">
        <v>230</v>
      </c>
      <c r="J2001" s="1167" t="s">
        <v>230</v>
      </c>
      <c r="K2001" s="1168" t="s">
        <v>230</v>
      </c>
    </row>
    <row r="2002" spans="1:12" s="1170" customFormat="1" ht="14.25" hidden="1">
      <c r="A2002" s="1171" t="s">
        <v>3311</v>
      </c>
      <c r="B2002" s="1164" t="s">
        <v>191</v>
      </c>
      <c r="C2002" s="1164" t="s">
        <v>3312</v>
      </c>
      <c r="D2002" s="1164">
        <v>87</v>
      </c>
      <c r="E2002" s="1166">
        <v>1.1300000000000001</v>
      </c>
      <c r="F2002" s="1165">
        <v>30</v>
      </c>
      <c r="G2002" s="1165">
        <v>117</v>
      </c>
      <c r="H2002" s="1166">
        <v>1.52</v>
      </c>
      <c r="I2002" s="377" t="s">
        <v>3304</v>
      </c>
      <c r="J2002" s="1167" t="s">
        <v>3305</v>
      </c>
      <c r="K2002" s="1168">
        <v>9000</v>
      </c>
    </row>
    <row r="2003" spans="1:12" s="1170" customFormat="1" ht="14.25" hidden="1">
      <c r="A2003" s="1164" t="s">
        <v>3313</v>
      </c>
      <c r="B2003" s="1164" t="s">
        <v>191</v>
      </c>
      <c r="C2003" s="1164" t="s">
        <v>3303</v>
      </c>
      <c r="D2003" s="1172">
        <v>115</v>
      </c>
      <c r="E2003" s="1166">
        <v>1.5</v>
      </c>
      <c r="F2003" s="1165">
        <v>30</v>
      </c>
      <c r="G2003" s="1165">
        <v>145</v>
      </c>
      <c r="H2003" s="1166">
        <v>1.89</v>
      </c>
      <c r="I2003" s="377" t="s">
        <v>3304</v>
      </c>
      <c r="J2003" s="1167" t="s">
        <v>3305</v>
      </c>
      <c r="K2003" s="1168">
        <v>9000</v>
      </c>
    </row>
    <row r="2004" spans="1:12" s="1170" customFormat="1" ht="14.25" hidden="1">
      <c r="A2004" s="1173" t="s">
        <v>3314</v>
      </c>
      <c r="B2004" s="1164" t="s">
        <v>191</v>
      </c>
      <c r="C2004" s="1174">
        <v>14</v>
      </c>
      <c r="D2004" s="1164">
        <v>83</v>
      </c>
      <c r="E2004" s="1166">
        <v>1.08</v>
      </c>
      <c r="F2004" s="1165">
        <v>30</v>
      </c>
      <c r="G2004" s="1165">
        <v>113</v>
      </c>
      <c r="H2004" s="1166">
        <v>1.47</v>
      </c>
      <c r="I2004" s="377" t="s">
        <v>3304</v>
      </c>
      <c r="J2004" s="1167" t="s">
        <v>3305</v>
      </c>
      <c r="K2004" s="1168">
        <v>9000</v>
      </c>
    </row>
    <row r="2005" spans="1:12" s="1170" customFormat="1" ht="14.25" hidden="1">
      <c r="A2005" s="1171" t="s">
        <v>3315</v>
      </c>
      <c r="B2005" s="1164" t="s">
        <v>3316</v>
      </c>
      <c r="C2005" s="1164" t="s">
        <v>3303</v>
      </c>
      <c r="D2005" s="1164">
        <v>163</v>
      </c>
      <c r="E2005" s="1166">
        <v>2.1199999999999997</v>
      </c>
      <c r="F2005" s="1165" t="s">
        <v>230</v>
      </c>
      <c r="G2005" s="1164">
        <v>163</v>
      </c>
      <c r="H2005" s="1166" t="s">
        <v>230</v>
      </c>
      <c r="I2005" s="1164" t="s">
        <v>230</v>
      </c>
      <c r="J2005" s="1167" t="s">
        <v>230</v>
      </c>
      <c r="K2005" s="1168" t="s">
        <v>230</v>
      </c>
      <c r="L2005" s="1169"/>
    </row>
    <row r="2006" spans="1:12" s="1170" customFormat="1" ht="14.25" hidden="1"/>
    <row r="2007" spans="1:12" s="1170" customFormat="1" ht="14.25" hidden="1"/>
    <row r="2008" spans="1:12" s="263" customFormat="1" ht="26.25" customHeight="1">
      <c r="A2008" s="592" t="s">
        <v>171</v>
      </c>
      <c r="B2008" s="1158" t="s">
        <v>3295</v>
      </c>
      <c r="C2008" s="1175" t="s">
        <v>3279</v>
      </c>
      <c r="D2008" s="1176" t="s">
        <v>3297</v>
      </c>
      <c r="E2008" s="1159" t="s">
        <v>195</v>
      </c>
      <c r="F2008" s="382" t="s">
        <v>196</v>
      </c>
    </row>
    <row r="2009" spans="1:12" s="1170" customFormat="1" ht="14.25">
      <c r="A2009" s="1164" t="s">
        <v>3302</v>
      </c>
      <c r="B2009" s="1164" t="s">
        <v>191</v>
      </c>
      <c r="C2009" s="1165" t="s">
        <v>3303</v>
      </c>
      <c r="D2009" s="1166">
        <v>1.89</v>
      </c>
      <c r="E2009" s="1166">
        <v>2.2799999999999998</v>
      </c>
      <c r="F2009" s="377" t="s">
        <v>3304</v>
      </c>
      <c r="G2009" s="1169"/>
    </row>
    <row r="2010" spans="1:12" s="1170" customFormat="1" ht="14.25">
      <c r="A2010" s="1164" t="s">
        <v>3306</v>
      </c>
      <c r="B2010" s="1164" t="s">
        <v>191</v>
      </c>
      <c r="C2010" s="1165" t="s">
        <v>3303</v>
      </c>
      <c r="D2010" s="1166">
        <v>1.82</v>
      </c>
      <c r="E2010" s="1166">
        <v>2.21</v>
      </c>
      <c r="F2010" s="377" t="s">
        <v>3304</v>
      </c>
      <c r="G2010" s="1169"/>
    </row>
    <row r="2011" spans="1:12" s="1170" customFormat="1" ht="14.25">
      <c r="A2011" s="1171">
        <v>25503</v>
      </c>
      <c r="B2011" s="1164" t="s">
        <v>191</v>
      </c>
      <c r="C2011" s="1164" t="s">
        <v>3303</v>
      </c>
      <c r="D2011" s="1166">
        <v>1.24</v>
      </c>
      <c r="E2011" s="1166">
        <v>1.6300000000000001</v>
      </c>
      <c r="F2011" s="377" t="s">
        <v>3304</v>
      </c>
    </row>
    <row r="2012" spans="1:12" s="1170" customFormat="1" ht="14.25">
      <c r="A2012" s="1171" t="s">
        <v>3307</v>
      </c>
      <c r="B2012" s="1164" t="s">
        <v>3308</v>
      </c>
      <c r="C2012" s="1164" t="s">
        <v>3303</v>
      </c>
      <c r="D2012" s="1166">
        <v>2.0199999999999996</v>
      </c>
      <c r="E2012" s="1166" t="s">
        <v>230</v>
      </c>
      <c r="F2012" s="1164" t="s">
        <v>230</v>
      </c>
    </row>
    <row r="2013" spans="1:12" s="1170" customFormat="1" ht="14.25">
      <c r="A2013" s="1171" t="s">
        <v>3309</v>
      </c>
      <c r="B2013" s="1164" t="s">
        <v>3310</v>
      </c>
      <c r="C2013" s="1164" t="s">
        <v>3303</v>
      </c>
      <c r="D2013" s="1166">
        <v>2.0199999999999996</v>
      </c>
      <c r="E2013" s="1166" t="s">
        <v>230</v>
      </c>
      <c r="F2013" s="1164" t="s">
        <v>230</v>
      </c>
    </row>
    <row r="2014" spans="1:12" s="1170" customFormat="1" ht="14.25">
      <c r="A2014" s="1171" t="s">
        <v>3311</v>
      </c>
      <c r="B2014" s="1164" t="s">
        <v>191</v>
      </c>
      <c r="C2014" s="1164" t="s">
        <v>3312</v>
      </c>
      <c r="D2014" s="1166">
        <v>1.1300000000000001</v>
      </c>
      <c r="E2014" s="1166">
        <v>1.52</v>
      </c>
      <c r="F2014" s="377" t="s">
        <v>3304</v>
      </c>
    </row>
    <row r="2015" spans="1:12" s="1170" customFormat="1" ht="14.25">
      <c r="A2015" s="1164" t="s">
        <v>3313</v>
      </c>
      <c r="B2015" s="1164" t="s">
        <v>191</v>
      </c>
      <c r="C2015" s="1164" t="s">
        <v>3303</v>
      </c>
      <c r="D2015" s="1166">
        <v>1.5</v>
      </c>
      <c r="E2015" s="1166">
        <v>1.89</v>
      </c>
      <c r="F2015" s="377" t="s">
        <v>3304</v>
      </c>
    </row>
    <row r="2016" spans="1:12" s="1170" customFormat="1" ht="14.25">
      <c r="A2016" s="1173" t="s">
        <v>3314</v>
      </c>
      <c r="B2016" s="1164" t="s">
        <v>191</v>
      </c>
      <c r="C2016" s="1174">
        <v>14</v>
      </c>
      <c r="D2016" s="1166">
        <v>1.08</v>
      </c>
      <c r="E2016" s="1166">
        <v>1.47</v>
      </c>
      <c r="F2016" s="377" t="s">
        <v>3304</v>
      </c>
    </row>
    <row r="2017" spans="1:9" s="1170" customFormat="1" ht="14.25">
      <c r="A2017" s="1171" t="s">
        <v>3315</v>
      </c>
      <c r="B2017" s="1164" t="s">
        <v>3316</v>
      </c>
      <c r="C2017" s="1164" t="s">
        <v>3303</v>
      </c>
      <c r="D2017" s="1166">
        <v>2.1199999999999997</v>
      </c>
      <c r="E2017" s="1166" t="s">
        <v>230</v>
      </c>
      <c r="F2017" s="1164" t="s">
        <v>230</v>
      </c>
      <c r="G2017" s="1169"/>
    </row>
    <row r="2019" spans="1:9" s="287" customFormat="1">
      <c r="A2019" s="287" t="s">
        <v>3317</v>
      </c>
    </row>
    <row r="2020" spans="1:9" s="250" customFormat="1" ht="15.75">
      <c r="A2020" s="246" t="s">
        <v>171</v>
      </c>
      <c r="B2020" s="240" t="s">
        <v>90</v>
      </c>
      <c r="C2020" s="241" t="s">
        <v>2</v>
      </c>
      <c r="D2020" s="242" t="s">
        <v>204</v>
      </c>
      <c r="E2020" s="249" t="s">
        <v>225</v>
      </c>
      <c r="F2020" s="249" t="s">
        <v>161</v>
      </c>
      <c r="G2020" s="243" t="s">
        <v>3231</v>
      </c>
      <c r="H2020" s="244" t="s">
        <v>176</v>
      </c>
    </row>
    <row r="2021" spans="1:9" ht="15">
      <c r="A2021" s="90" t="s">
        <v>236</v>
      </c>
      <c r="B2021" s="23">
        <v>3</v>
      </c>
      <c r="C2021" s="91">
        <v>40</v>
      </c>
      <c r="D2021" s="28" t="s">
        <v>211</v>
      </c>
      <c r="E2021" s="19" t="s">
        <v>73</v>
      </c>
      <c r="F2021" s="19" t="s">
        <v>237</v>
      </c>
      <c r="G2021" s="1128">
        <f>ROUNDUP(H2021/0.6/110,2)</f>
        <v>0.96</v>
      </c>
      <c r="H2021" s="260">
        <v>62.95</v>
      </c>
      <c r="I2021">
        <f t="shared" ref="I2021:I2034" si="13">ROUNDUP(H2021/0.6/90,2)</f>
        <v>1.17</v>
      </c>
    </row>
    <row r="2022" spans="1:9" ht="15">
      <c r="A2022" s="90" t="s">
        <v>236</v>
      </c>
      <c r="B2022" s="23">
        <v>6</v>
      </c>
      <c r="C2022" s="91">
        <v>10</v>
      </c>
      <c r="D2022" s="28" t="s">
        <v>211</v>
      </c>
      <c r="E2022" s="19" t="s">
        <v>73</v>
      </c>
      <c r="F2022" s="19" t="s">
        <v>237</v>
      </c>
      <c r="G2022" s="1128">
        <f>ROUNDUP(H2022/0.6/110,2)</f>
        <v>1</v>
      </c>
      <c r="H2022" s="261">
        <v>66</v>
      </c>
      <c r="I2022">
        <f t="shared" si="13"/>
        <v>1.23</v>
      </c>
    </row>
    <row r="2023" spans="1:9" ht="15">
      <c r="A2023" s="90" t="s">
        <v>236</v>
      </c>
      <c r="B2023" s="23">
        <v>9</v>
      </c>
      <c r="C2023" s="91">
        <v>10</v>
      </c>
      <c r="D2023" s="28" t="s">
        <v>211</v>
      </c>
      <c r="E2023" s="19" t="s">
        <v>73</v>
      </c>
      <c r="F2023" s="19" t="s">
        <v>237</v>
      </c>
      <c r="G2023" s="1128">
        <f t="shared" ref="G2023:G2034" si="14">ROUNDUP(H2023/0.6/110,2)</f>
        <v>1.1100000000000001</v>
      </c>
      <c r="H2023" s="261">
        <v>73</v>
      </c>
      <c r="I2023">
        <f t="shared" si="13"/>
        <v>1.36</v>
      </c>
    </row>
    <row r="2024" spans="1:9" ht="15">
      <c r="A2024" s="90" t="s">
        <v>236</v>
      </c>
      <c r="B2024" s="23">
        <v>12</v>
      </c>
      <c r="C2024" s="91">
        <v>10</v>
      </c>
      <c r="D2024" s="28" t="s">
        <v>211</v>
      </c>
      <c r="E2024" s="19" t="s">
        <v>73</v>
      </c>
      <c r="F2024" s="19" t="s">
        <v>237</v>
      </c>
      <c r="G2024" s="1128">
        <f t="shared" si="14"/>
        <v>1.2</v>
      </c>
      <c r="H2024" s="260">
        <v>78.900000000000006</v>
      </c>
      <c r="I2024">
        <f t="shared" si="13"/>
        <v>1.47</v>
      </c>
    </row>
    <row r="2025" spans="1:9" ht="15">
      <c r="A2025" s="90" t="s">
        <v>236</v>
      </c>
      <c r="B2025" s="23">
        <v>18</v>
      </c>
      <c r="C2025" s="91">
        <v>10</v>
      </c>
      <c r="D2025" s="28" t="s">
        <v>211</v>
      </c>
      <c r="E2025" s="19" t="s">
        <v>73</v>
      </c>
      <c r="F2025" s="19" t="s">
        <v>237</v>
      </c>
      <c r="G2025" s="1128">
        <f t="shared" si="14"/>
        <v>1.55</v>
      </c>
      <c r="H2025" s="260">
        <v>102.2</v>
      </c>
      <c r="I2025">
        <f t="shared" si="13"/>
        <v>1.9</v>
      </c>
    </row>
    <row r="2026" spans="1:9" ht="15">
      <c r="A2026" s="90" t="s">
        <v>236</v>
      </c>
      <c r="B2026" s="23">
        <v>24</v>
      </c>
      <c r="C2026" s="91">
        <v>10</v>
      </c>
      <c r="D2026" s="28" t="s">
        <v>211</v>
      </c>
      <c r="E2026" s="19" t="s">
        <v>73</v>
      </c>
      <c r="F2026" s="19" t="s">
        <v>237</v>
      </c>
      <c r="G2026" s="1128">
        <f t="shared" si="14"/>
        <v>1.92</v>
      </c>
      <c r="H2026" s="260">
        <v>126.7</v>
      </c>
      <c r="I2026">
        <f t="shared" si="13"/>
        <v>2.3499999999999996</v>
      </c>
    </row>
    <row r="2027" spans="1:9" ht="15">
      <c r="A2027" s="90" t="s">
        <v>236</v>
      </c>
      <c r="B2027" s="23">
        <v>36</v>
      </c>
      <c r="C2027" s="91">
        <v>10</v>
      </c>
      <c r="D2027" s="28" t="s">
        <v>211</v>
      </c>
      <c r="E2027" s="19" t="s">
        <v>73</v>
      </c>
      <c r="F2027" s="19" t="s">
        <v>237</v>
      </c>
      <c r="G2027" s="1128">
        <f t="shared" si="14"/>
        <v>3.1999999999999997</v>
      </c>
      <c r="H2027" s="260">
        <v>210.8</v>
      </c>
      <c r="I2027">
        <f t="shared" si="13"/>
        <v>3.9099999999999997</v>
      </c>
    </row>
    <row r="2028" spans="1:9" ht="15">
      <c r="A2028" s="90" t="s">
        <v>236</v>
      </c>
      <c r="B2028" s="23">
        <v>48</v>
      </c>
      <c r="C2028" s="91">
        <v>10</v>
      </c>
      <c r="D2028" s="28" t="s">
        <v>211</v>
      </c>
      <c r="E2028" s="19" t="s">
        <v>73</v>
      </c>
      <c r="F2028" s="19" t="s">
        <v>237</v>
      </c>
      <c r="G2028" s="1128">
        <f t="shared" si="14"/>
        <v>4.71</v>
      </c>
      <c r="H2028" s="260">
        <v>310.7</v>
      </c>
      <c r="I2028">
        <f t="shared" si="13"/>
        <v>5.76</v>
      </c>
    </row>
    <row r="2029" spans="1:9" ht="15">
      <c r="A2029" s="90" t="s">
        <v>3318</v>
      </c>
      <c r="B2029" s="23">
        <v>4</v>
      </c>
      <c r="C2029" s="91">
        <v>40</v>
      </c>
      <c r="D2029" s="28" t="s">
        <v>211</v>
      </c>
      <c r="E2029" s="19" t="s">
        <v>73</v>
      </c>
      <c r="F2029" s="19" t="s">
        <v>3319</v>
      </c>
      <c r="G2029" s="1128">
        <f t="shared" si="14"/>
        <v>1.18</v>
      </c>
      <c r="H2029" s="260">
        <v>77.7</v>
      </c>
      <c r="I2029">
        <f t="shared" si="13"/>
        <v>1.44</v>
      </c>
    </row>
    <row r="2030" spans="1:9" ht="15">
      <c r="A2030" s="90" t="s">
        <v>3318</v>
      </c>
      <c r="B2030" s="23">
        <v>7</v>
      </c>
      <c r="C2030" s="91">
        <v>10</v>
      </c>
      <c r="D2030" s="28" t="s">
        <v>211</v>
      </c>
      <c r="E2030" s="19" t="s">
        <v>73</v>
      </c>
      <c r="F2030" s="19" t="s">
        <v>3319</v>
      </c>
      <c r="G2030" s="1128">
        <f t="shared" si="14"/>
        <v>1.26</v>
      </c>
      <c r="H2030" s="261">
        <v>83</v>
      </c>
      <c r="I2030">
        <f t="shared" si="13"/>
        <v>1.54</v>
      </c>
    </row>
    <row r="2031" spans="1:9" ht="15">
      <c r="A2031" s="90" t="s">
        <v>3318</v>
      </c>
      <c r="B2031" s="23">
        <v>10</v>
      </c>
      <c r="C2031" s="91">
        <v>10</v>
      </c>
      <c r="D2031" s="28" t="s">
        <v>211</v>
      </c>
      <c r="E2031" s="19" t="s">
        <v>73</v>
      </c>
      <c r="F2031" s="19" t="s">
        <v>3319</v>
      </c>
      <c r="G2031" s="1128">
        <f t="shared" si="14"/>
        <v>1.39</v>
      </c>
      <c r="H2031" s="260">
        <v>91.4</v>
      </c>
      <c r="I2031">
        <f t="shared" si="13"/>
        <v>1.7</v>
      </c>
    </row>
    <row r="2032" spans="1:9" ht="15">
      <c r="A2032" s="90" t="s">
        <v>3318</v>
      </c>
      <c r="B2032" s="23">
        <v>13</v>
      </c>
      <c r="C2032" s="91">
        <v>10</v>
      </c>
      <c r="D2032" s="28" t="s">
        <v>211</v>
      </c>
      <c r="E2032" s="19" t="s">
        <v>73</v>
      </c>
      <c r="F2032" s="19" t="s">
        <v>3319</v>
      </c>
      <c r="G2032" s="1128">
        <f t="shared" si="14"/>
        <v>1.52</v>
      </c>
      <c r="H2032" s="260">
        <v>99.8</v>
      </c>
      <c r="I2032">
        <f t="shared" si="13"/>
        <v>1.85</v>
      </c>
    </row>
    <row r="2033" spans="1:9" ht="15">
      <c r="A2033" s="90" t="s">
        <v>3318</v>
      </c>
      <c r="B2033" s="23">
        <v>19</v>
      </c>
      <c r="C2033" s="91">
        <v>10</v>
      </c>
      <c r="D2033" s="28" t="s">
        <v>211</v>
      </c>
      <c r="E2033" s="19" t="s">
        <v>73</v>
      </c>
      <c r="F2033" s="19" t="s">
        <v>3319</v>
      </c>
      <c r="G2033" s="1128">
        <f t="shared" si="14"/>
        <v>1.96</v>
      </c>
      <c r="H2033" s="260">
        <v>129.19999999999999</v>
      </c>
      <c r="I2033">
        <f t="shared" si="13"/>
        <v>2.4</v>
      </c>
    </row>
    <row r="2034" spans="1:9" ht="15">
      <c r="A2034" s="90" t="s">
        <v>3318</v>
      </c>
      <c r="B2034" s="23">
        <v>25</v>
      </c>
      <c r="C2034" s="91">
        <v>10</v>
      </c>
      <c r="D2034" s="28" t="s">
        <v>211</v>
      </c>
      <c r="E2034" s="19" t="s">
        <v>73</v>
      </c>
      <c r="F2034" s="19" t="s">
        <v>3319</v>
      </c>
      <c r="G2034" s="1128">
        <f t="shared" si="14"/>
        <v>2.44</v>
      </c>
      <c r="H2034" s="260">
        <v>160.69999999999999</v>
      </c>
      <c r="I2034">
        <f t="shared" si="13"/>
        <v>2.98</v>
      </c>
    </row>
    <row r="2036" spans="1:9">
      <c r="A2036" t="s">
        <v>3320</v>
      </c>
    </row>
    <row r="2037" spans="1:9" ht="15.75">
      <c r="A2037" s="246" t="s">
        <v>171</v>
      </c>
      <c r="B2037" s="246" t="s">
        <v>93</v>
      </c>
      <c r="C2037" s="246" t="s">
        <v>45</v>
      </c>
      <c r="D2037" s="241" t="s">
        <v>2</v>
      </c>
      <c r="E2037" s="242" t="s">
        <v>3251</v>
      </c>
      <c r="F2037" s="243" t="s">
        <v>3231</v>
      </c>
    </row>
    <row r="2038" spans="1:9" ht="15">
      <c r="A2038" s="28">
        <v>3717</v>
      </c>
      <c r="B2038" s="28">
        <v>9</v>
      </c>
      <c r="C2038" s="28" t="s">
        <v>3276</v>
      </c>
      <c r="D2038" s="91">
        <v>30</v>
      </c>
      <c r="E2038" s="28" t="s">
        <v>3252</v>
      </c>
      <c r="F2038" s="910">
        <v>0.21</v>
      </c>
      <c r="G2038" s="95">
        <v>13.33</v>
      </c>
    </row>
    <row r="2040" spans="1:9" ht="15.75">
      <c r="A2040" s="209" t="s">
        <v>39</v>
      </c>
      <c r="B2040" s="209" t="s">
        <v>192</v>
      </c>
      <c r="C2040" s="209" t="s">
        <v>45</v>
      </c>
      <c r="D2040" s="68" t="s">
        <v>163</v>
      </c>
      <c r="E2040" s="68" t="s">
        <v>197</v>
      </c>
      <c r="F2040" s="99" t="s">
        <v>198</v>
      </c>
      <c r="G2040" s="68" t="s">
        <v>212</v>
      </c>
      <c r="H2040" s="68" t="s">
        <v>3271</v>
      </c>
    </row>
    <row r="2041" spans="1:9" ht="15.75">
      <c r="A2041" s="6" t="s">
        <v>3321</v>
      </c>
      <c r="B2041" s="740" t="s">
        <v>2280</v>
      </c>
      <c r="C2041" s="21" t="s">
        <v>25</v>
      </c>
      <c r="D2041" s="93">
        <v>13.7</v>
      </c>
      <c r="E2041" s="94">
        <v>10</v>
      </c>
      <c r="F2041" s="108">
        <f>D2041*E2041</f>
        <v>137</v>
      </c>
      <c r="G2041" s="597">
        <v>5.46</v>
      </c>
      <c r="H2041" s="72" t="s">
        <v>126</v>
      </c>
    </row>
    <row r="2042" spans="1:9" ht="15.75">
      <c r="A2042" s="6" t="s">
        <v>3321</v>
      </c>
      <c r="B2042" s="740" t="s">
        <v>2280</v>
      </c>
      <c r="C2042" s="21" t="s">
        <v>25</v>
      </c>
      <c r="D2042" s="93">
        <v>13.7</v>
      </c>
      <c r="E2042" s="94">
        <v>1</v>
      </c>
      <c r="F2042" s="108">
        <f>D2042*E2042</f>
        <v>13.7</v>
      </c>
      <c r="G2042" s="597">
        <v>5.46</v>
      </c>
      <c r="H2042" s="72" t="s">
        <v>3322</v>
      </c>
    </row>
    <row r="2043" spans="1:9" ht="15.75">
      <c r="A2043" s="6" t="s">
        <v>3321</v>
      </c>
      <c r="B2043" s="21"/>
      <c r="C2043" s="38" t="s">
        <v>218</v>
      </c>
      <c r="D2043" s="39"/>
      <c r="E2043" s="94"/>
      <c r="F2043" s="39">
        <v>1</v>
      </c>
      <c r="G2043" s="611">
        <v>12</v>
      </c>
      <c r="H2043" s="72"/>
    </row>
    <row r="2046" spans="1:9" ht="15.75">
      <c r="A2046" s="201" t="s">
        <v>40</v>
      </c>
      <c r="B2046" s="201" t="s">
        <v>16</v>
      </c>
      <c r="C2046" s="201" t="s">
        <v>203</v>
      </c>
      <c r="D2046" s="68" t="s">
        <v>163</v>
      </c>
      <c r="E2046" s="68" t="s">
        <v>197</v>
      </c>
      <c r="F2046" s="68" t="s">
        <v>198</v>
      </c>
      <c r="G2046" s="68" t="s">
        <v>212</v>
      </c>
      <c r="H2046" s="33"/>
    </row>
    <row r="2047" spans="1:9" ht="15">
      <c r="A2047" s="21">
        <v>3717</v>
      </c>
      <c r="B2047" s="23">
        <v>9</v>
      </c>
      <c r="C2047" s="21" t="s">
        <v>2727</v>
      </c>
      <c r="D2047" s="93">
        <v>30</v>
      </c>
      <c r="E2047" s="94">
        <v>1</v>
      </c>
      <c r="F2047" s="55">
        <f>D2047*E2047</f>
        <v>30</v>
      </c>
      <c r="G2047" s="910">
        <v>0.21</v>
      </c>
      <c r="H2047" s="598">
        <f>G2047*F2047</f>
        <v>6.3</v>
      </c>
    </row>
    <row r="2048" spans="1:9" ht="15">
      <c r="A2048" s="21">
        <v>5383</v>
      </c>
      <c r="B2048" s="26"/>
      <c r="C2048" s="21" t="s">
        <v>2710</v>
      </c>
      <c r="D2048" s="93">
        <v>50</v>
      </c>
      <c r="E2048" s="94">
        <v>1</v>
      </c>
      <c r="F2048" s="55">
        <f>E2048*D2048</f>
        <v>50</v>
      </c>
      <c r="G2048" s="910"/>
      <c r="H2048" s="598">
        <f>G2048*F2048</f>
        <v>0</v>
      </c>
    </row>
    <row r="2049" spans="1:120" ht="15">
      <c r="A2049" s="48"/>
      <c r="B2049" s="38"/>
      <c r="C2049" s="38" t="s">
        <v>218</v>
      </c>
      <c r="D2049" s="39"/>
      <c r="E2049" s="94"/>
      <c r="F2049" s="39">
        <v>2</v>
      </c>
      <c r="G2049" s="611">
        <v>12</v>
      </c>
      <c r="H2049" s="598">
        <f>G2049*F2049</f>
        <v>24</v>
      </c>
    </row>
    <row r="2053" spans="1:120" ht="15.75">
      <c r="A2053" s="201" t="s">
        <v>40</v>
      </c>
      <c r="B2053" s="201" t="s">
        <v>16</v>
      </c>
      <c r="C2053" s="201" t="s">
        <v>203</v>
      </c>
      <c r="D2053" s="68" t="s">
        <v>163</v>
      </c>
      <c r="E2053" s="68" t="s">
        <v>197</v>
      </c>
      <c r="F2053" s="68" t="s">
        <v>198</v>
      </c>
      <c r="G2053" s="68" t="s">
        <v>212</v>
      </c>
    </row>
    <row r="2054" spans="1:120" ht="15">
      <c r="A2054" s="21">
        <v>3717</v>
      </c>
      <c r="B2054" s="23">
        <v>9</v>
      </c>
      <c r="C2054" s="21" t="s">
        <v>2727</v>
      </c>
      <c r="D2054" s="93">
        <v>30</v>
      </c>
      <c r="E2054" s="94">
        <v>1</v>
      </c>
      <c r="F2054" s="55">
        <f>D2054*E2054</f>
        <v>30</v>
      </c>
      <c r="G2054" s="910">
        <v>0.21</v>
      </c>
    </row>
    <row r="2055" spans="1:120" ht="15">
      <c r="A2055" s="21">
        <v>5383</v>
      </c>
      <c r="B2055" s="26"/>
      <c r="C2055" s="21" t="s">
        <v>2710</v>
      </c>
      <c r="D2055" s="93">
        <v>50</v>
      </c>
      <c r="E2055" s="94">
        <v>1</v>
      </c>
      <c r="F2055" s="55">
        <f>E2055*D2055</f>
        <v>50</v>
      </c>
      <c r="G2055" s="910">
        <v>0.41</v>
      </c>
    </row>
    <row r="2056" spans="1:120" ht="15">
      <c r="A2056" s="48"/>
      <c r="B2056" s="38"/>
      <c r="C2056" s="38" t="s">
        <v>218</v>
      </c>
      <c r="D2056" s="39"/>
      <c r="E2056" s="94"/>
      <c r="F2056" s="39"/>
      <c r="G2056" s="611">
        <v>24</v>
      </c>
    </row>
    <row r="2058" spans="1:120">
      <c r="A2058" t="s">
        <v>3323</v>
      </c>
    </row>
    <row r="2059" spans="1:120" s="250" customFormat="1" ht="31.5">
      <c r="A2059" s="246" t="s">
        <v>171</v>
      </c>
      <c r="B2059" s="240" t="s">
        <v>90</v>
      </c>
      <c r="C2059" s="241" t="s">
        <v>2</v>
      </c>
      <c r="D2059" s="242" t="s">
        <v>204</v>
      </c>
      <c r="E2059" s="249" t="s">
        <v>225</v>
      </c>
      <c r="F2059" s="249" t="s">
        <v>161</v>
      </c>
      <c r="G2059" s="243" t="s">
        <v>3324</v>
      </c>
      <c r="H2059" s="244" t="s">
        <v>176</v>
      </c>
    </row>
    <row r="2060" spans="1:120" s="252" customFormat="1" ht="15" customHeight="1">
      <c r="A2060" s="90" t="s">
        <v>3325</v>
      </c>
      <c r="B2060" s="183">
        <v>38</v>
      </c>
      <c r="C2060" s="91">
        <v>30</v>
      </c>
      <c r="D2060" s="28" t="s">
        <v>211</v>
      </c>
      <c r="E2060" s="19" t="s">
        <v>6</v>
      </c>
      <c r="F2060" s="19" t="s">
        <v>3326</v>
      </c>
      <c r="G2060" s="611">
        <v>1.22</v>
      </c>
      <c r="H2060" s="347"/>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16"/>
      <c r="AH2060" s="16"/>
      <c r="AI2060" s="16"/>
      <c r="AJ2060" s="16"/>
      <c r="AK2060" s="16"/>
      <c r="AL2060" s="16"/>
      <c r="AM2060" s="16"/>
      <c r="AN2060" s="16"/>
      <c r="AO2060" s="16"/>
      <c r="AP2060" s="16"/>
      <c r="AQ2060" s="16"/>
      <c r="AR2060" s="16"/>
      <c r="AS2060" s="16"/>
      <c r="AT2060" s="16"/>
      <c r="AU2060" s="16"/>
      <c r="AV2060" s="16"/>
      <c r="AW2060" s="16"/>
      <c r="AX2060" s="16"/>
      <c r="AY2060" s="16"/>
      <c r="AZ2060" s="16"/>
      <c r="BA2060" s="16"/>
      <c r="BB2060" s="16"/>
      <c r="BC2060" s="16"/>
      <c r="BD2060" s="16"/>
      <c r="BE2060" s="16"/>
      <c r="BF2060" s="16"/>
      <c r="BG2060" s="16"/>
      <c r="BH2060" s="16"/>
      <c r="BI2060" s="16"/>
      <c r="BJ2060" s="16"/>
      <c r="BK2060" s="16"/>
      <c r="BL2060" s="16"/>
      <c r="BM2060" s="16"/>
      <c r="BN2060" s="16"/>
      <c r="BO2060" s="16"/>
      <c r="BP2060" s="16"/>
      <c r="BQ2060" s="16"/>
      <c r="BR2060" s="16"/>
      <c r="BS2060" s="16"/>
      <c r="BT2060" s="16"/>
      <c r="BU2060" s="16"/>
      <c r="BV2060" s="16"/>
      <c r="BW2060" s="16"/>
      <c r="BX2060" s="16"/>
      <c r="BY2060" s="16"/>
      <c r="BZ2060" s="16"/>
      <c r="CA2060" s="16"/>
      <c r="CB2060" s="16"/>
      <c r="CC2060" s="16"/>
      <c r="CD2060" s="16"/>
      <c r="CE2060" s="16"/>
      <c r="CF2060" s="16"/>
      <c r="CG2060" s="16"/>
      <c r="CH2060" s="16"/>
      <c r="CI2060" s="16"/>
      <c r="CJ2060" s="16"/>
      <c r="CK2060" s="16"/>
      <c r="CL2060" s="16"/>
      <c r="CM2060" s="16"/>
      <c r="CN2060" s="16"/>
      <c r="CO2060" s="16"/>
      <c r="CP2060" s="16"/>
      <c r="CQ2060" s="16"/>
      <c r="CR2060" s="16"/>
      <c r="CS2060" s="16"/>
      <c r="CT2060" s="16"/>
      <c r="CU2060" s="16"/>
      <c r="CV2060" s="16"/>
      <c r="CW2060" s="16"/>
      <c r="CX2060" s="16"/>
      <c r="CY2060" s="16"/>
      <c r="CZ2060" s="16"/>
      <c r="DA2060" s="16"/>
      <c r="DB2060" s="16"/>
      <c r="DC2060" s="16"/>
      <c r="DD2060" s="16"/>
      <c r="DE2060" s="16"/>
      <c r="DF2060" s="16"/>
      <c r="DG2060" s="16"/>
      <c r="DH2060" s="16"/>
      <c r="DI2060" s="16"/>
      <c r="DJ2060" s="16"/>
      <c r="DK2060" s="16"/>
      <c r="DL2060" s="16"/>
      <c r="DM2060" s="16"/>
      <c r="DN2060" s="16"/>
      <c r="DO2060" s="16"/>
      <c r="DP2060" s="16"/>
    </row>
    <row r="2061" spans="1:120" s="252" customFormat="1" ht="15" customHeight="1">
      <c r="A2061" s="90" t="s">
        <v>226</v>
      </c>
      <c r="B2061" s="23">
        <v>24</v>
      </c>
      <c r="C2061" s="91">
        <v>20</v>
      </c>
      <c r="D2061" s="28" t="s">
        <v>211</v>
      </c>
      <c r="E2061" s="19" t="s">
        <v>10</v>
      </c>
      <c r="F2061" s="19" t="s">
        <v>3327</v>
      </c>
      <c r="G2061" s="611">
        <v>2.04</v>
      </c>
      <c r="H2061" s="251"/>
      <c r="I2061" s="16"/>
      <c r="J2061" s="16"/>
      <c r="K2061" s="16"/>
      <c r="L2061" s="16"/>
      <c r="M2061" s="16"/>
      <c r="N2061" s="16"/>
      <c r="O2061" s="16"/>
      <c r="P2061" s="16"/>
      <c r="Q2061" s="16"/>
      <c r="R2061" s="16"/>
      <c r="S2061" s="16"/>
      <c r="T2061" s="16"/>
      <c r="U2061" s="16"/>
      <c r="V2061" s="16"/>
      <c r="W2061" s="16"/>
      <c r="X2061" s="16"/>
      <c r="Y2061" s="16"/>
      <c r="Z2061" s="16"/>
      <c r="AA2061" s="16"/>
      <c r="AB2061" s="16"/>
      <c r="AC2061" s="16"/>
      <c r="AD2061" s="16"/>
      <c r="AE2061" s="16"/>
      <c r="AF2061" s="16"/>
      <c r="AG2061" s="16"/>
      <c r="AH2061" s="16"/>
      <c r="AI2061" s="16"/>
      <c r="AJ2061" s="16"/>
      <c r="AK2061" s="16"/>
      <c r="AL2061" s="16"/>
      <c r="AM2061" s="16"/>
      <c r="AN2061" s="16"/>
      <c r="AO2061" s="16"/>
      <c r="AP2061" s="16"/>
      <c r="AQ2061" s="16"/>
      <c r="AR2061" s="16"/>
      <c r="AS2061" s="16"/>
      <c r="AT2061" s="16"/>
      <c r="AU2061" s="16"/>
      <c r="AV2061" s="16"/>
      <c r="AW2061" s="16"/>
      <c r="AX2061" s="16"/>
      <c r="AY2061" s="16"/>
      <c r="AZ2061" s="16"/>
      <c r="BA2061" s="16"/>
      <c r="BB2061" s="16"/>
      <c r="BC2061" s="16"/>
      <c r="BD2061" s="16"/>
      <c r="BE2061" s="16"/>
      <c r="BF2061" s="16"/>
      <c r="BG2061" s="16"/>
      <c r="BH2061" s="16"/>
      <c r="BI2061" s="16"/>
      <c r="BJ2061" s="16"/>
      <c r="BK2061" s="16"/>
      <c r="BL2061" s="16"/>
      <c r="BM2061" s="16"/>
      <c r="BN2061" s="16"/>
      <c r="BO2061" s="16"/>
      <c r="BP2061" s="16"/>
      <c r="BQ2061" s="16"/>
      <c r="BR2061" s="16"/>
      <c r="BS2061" s="16"/>
      <c r="BT2061" s="16"/>
      <c r="BU2061" s="16"/>
      <c r="BV2061" s="16"/>
      <c r="BW2061" s="16"/>
      <c r="BX2061" s="16"/>
      <c r="BY2061" s="16"/>
      <c r="BZ2061" s="16"/>
      <c r="CA2061" s="16"/>
      <c r="CB2061" s="16"/>
      <c r="CC2061" s="16"/>
      <c r="CD2061" s="16"/>
      <c r="CE2061" s="16"/>
      <c r="CF2061" s="16"/>
      <c r="CG2061" s="16"/>
      <c r="CH2061" s="16"/>
      <c r="CI2061" s="16"/>
      <c r="CJ2061" s="16"/>
      <c r="CK2061" s="16"/>
      <c r="CL2061" s="16"/>
      <c r="CM2061" s="16"/>
      <c r="CN2061" s="16"/>
      <c r="CO2061" s="16"/>
      <c r="CP2061" s="16"/>
      <c r="CQ2061" s="16"/>
      <c r="CR2061" s="16"/>
      <c r="CS2061" s="16"/>
      <c r="CT2061" s="16"/>
      <c r="CU2061" s="16"/>
      <c r="CV2061" s="16"/>
      <c r="CW2061" s="16"/>
      <c r="CX2061" s="16"/>
      <c r="CY2061" s="16"/>
      <c r="CZ2061" s="16"/>
      <c r="DA2061" s="16"/>
      <c r="DB2061" s="16"/>
      <c r="DC2061" s="16"/>
      <c r="DD2061" s="16"/>
      <c r="DE2061" s="16"/>
      <c r="DF2061" s="16"/>
      <c r="DG2061" s="16"/>
      <c r="DH2061" s="16"/>
      <c r="DI2061" s="16"/>
      <c r="DJ2061" s="16"/>
      <c r="DK2061" s="16"/>
      <c r="DL2061" s="16"/>
      <c r="DM2061" s="16"/>
      <c r="DN2061" s="16"/>
      <c r="DO2061" s="16"/>
      <c r="DP2061" s="16"/>
    </row>
    <row r="2062" spans="1:120">
      <c r="A2062">
        <v>20220218</v>
      </c>
    </row>
    <row r="2063" spans="1:120" ht="15.75">
      <c r="A2063" s="246" t="s">
        <v>171</v>
      </c>
      <c r="B2063" s="246" t="s">
        <v>93</v>
      </c>
      <c r="C2063" s="246" t="s">
        <v>45</v>
      </c>
      <c r="D2063" s="241" t="s">
        <v>2</v>
      </c>
      <c r="E2063" s="242" t="s">
        <v>3251</v>
      </c>
      <c r="F2063" s="243" t="s">
        <v>3231</v>
      </c>
    </row>
    <row r="2064" spans="1:120" ht="15">
      <c r="A2064" s="28">
        <v>3717</v>
      </c>
      <c r="B2064" s="28" t="s">
        <v>292</v>
      </c>
      <c r="C2064" s="28" t="s">
        <v>3276</v>
      </c>
      <c r="D2064" s="91">
        <v>30</v>
      </c>
      <c r="E2064" s="28" t="s">
        <v>3252</v>
      </c>
      <c r="F2064" s="910">
        <f>ROUNDUP(G2064/0.6/110,2)</f>
        <v>0.31</v>
      </c>
      <c r="G2064" s="95">
        <v>20</v>
      </c>
    </row>
    <row r="2066" spans="1:120">
      <c r="A2066" t="s">
        <v>3328</v>
      </c>
    </row>
    <row r="2067" spans="1:120" s="250" customFormat="1" ht="31.5">
      <c r="A2067" s="246" t="s">
        <v>171</v>
      </c>
      <c r="B2067" s="240" t="s">
        <v>90</v>
      </c>
      <c r="C2067" s="241" t="s">
        <v>2</v>
      </c>
      <c r="D2067" s="242" t="s">
        <v>204</v>
      </c>
      <c r="E2067" s="249" t="s">
        <v>225</v>
      </c>
      <c r="F2067" s="249" t="s">
        <v>161</v>
      </c>
      <c r="G2067" s="243" t="s">
        <v>3324</v>
      </c>
      <c r="H2067" s="244" t="s">
        <v>176</v>
      </c>
    </row>
    <row r="2068" spans="1:120" s="252" customFormat="1" ht="15" customHeight="1">
      <c r="A2068" s="90" t="s">
        <v>3325</v>
      </c>
      <c r="B2068" s="183">
        <v>19</v>
      </c>
      <c r="C2068" s="91">
        <v>30</v>
      </c>
      <c r="D2068" s="28" t="s">
        <v>211</v>
      </c>
      <c r="E2068" s="19" t="s">
        <v>6</v>
      </c>
      <c r="F2068" s="19" t="s">
        <v>3326</v>
      </c>
      <c r="G2068" s="611">
        <v>0.57999999999999996</v>
      </c>
      <c r="H2068" s="347"/>
      <c r="I2068" s="16"/>
      <c r="J2068" s="16"/>
      <c r="K2068" s="16"/>
      <c r="L2068" s="16"/>
      <c r="M2068" s="16"/>
      <c r="N2068" s="16"/>
      <c r="O2068" s="16"/>
      <c r="P2068" s="16"/>
      <c r="Q2068" s="16"/>
      <c r="R2068" s="16"/>
      <c r="S2068" s="16"/>
      <c r="T2068" s="16"/>
      <c r="U2068" s="16"/>
      <c r="V2068" s="16"/>
      <c r="W2068" s="16"/>
      <c r="X2068" s="16"/>
      <c r="Y2068" s="16"/>
      <c r="Z2068" s="16"/>
      <c r="AA2068" s="16"/>
      <c r="AB2068" s="16"/>
      <c r="AC2068" s="16"/>
      <c r="AD2068" s="16"/>
      <c r="AE2068" s="16"/>
      <c r="AF2068" s="16"/>
      <c r="AG2068" s="16"/>
      <c r="AH2068" s="16"/>
      <c r="AI2068" s="16"/>
      <c r="AJ2068" s="16"/>
      <c r="AK2068" s="16"/>
      <c r="AL2068" s="16"/>
      <c r="AM2068" s="16"/>
      <c r="AN2068" s="16"/>
      <c r="AO2068" s="16"/>
      <c r="AP2068" s="16"/>
      <c r="AQ2068" s="16"/>
      <c r="AR2068" s="16"/>
      <c r="AS2068" s="16"/>
      <c r="AT2068" s="16"/>
      <c r="AU2068" s="16"/>
      <c r="AV2068" s="16"/>
      <c r="AW2068" s="16"/>
      <c r="AX2068" s="16"/>
      <c r="AY2068" s="16"/>
      <c r="AZ2068" s="16"/>
      <c r="BA2068" s="16"/>
      <c r="BB2068" s="16"/>
      <c r="BC2068" s="16"/>
      <c r="BD2068" s="16"/>
      <c r="BE2068" s="16"/>
      <c r="BF2068" s="16"/>
      <c r="BG2068" s="16"/>
      <c r="BH2068" s="16"/>
      <c r="BI2068" s="16"/>
      <c r="BJ2068" s="16"/>
      <c r="BK2068" s="16"/>
      <c r="BL2068" s="16"/>
      <c r="BM2068" s="16"/>
      <c r="BN2068" s="16"/>
      <c r="BO2068" s="16"/>
      <c r="BP2068" s="16"/>
      <c r="BQ2068" s="16"/>
      <c r="BR2068" s="16"/>
      <c r="BS2068" s="16"/>
      <c r="BT2068" s="16"/>
      <c r="BU2068" s="16"/>
      <c r="BV2068" s="16"/>
      <c r="BW2068" s="16"/>
      <c r="BX2068" s="16"/>
      <c r="BY2068" s="16"/>
      <c r="BZ2068" s="16"/>
      <c r="CA2068" s="16"/>
      <c r="CB2068" s="16"/>
      <c r="CC2068" s="16"/>
      <c r="CD2068" s="16"/>
      <c r="CE2068" s="16"/>
      <c r="CF2068" s="16"/>
      <c r="CG2068" s="16"/>
      <c r="CH2068" s="16"/>
      <c r="CI2068" s="16"/>
      <c r="CJ2068" s="16"/>
      <c r="CK2068" s="16"/>
      <c r="CL2068" s="16"/>
      <c r="CM2068" s="16"/>
      <c r="CN2068" s="16"/>
      <c r="CO2068" s="16"/>
      <c r="CP2068" s="16"/>
      <c r="CQ2068" s="16"/>
      <c r="CR2068" s="16"/>
      <c r="CS2068" s="16"/>
      <c r="CT2068" s="16"/>
      <c r="CU2068" s="16"/>
      <c r="CV2068" s="16"/>
      <c r="CW2068" s="16"/>
      <c r="CX2068" s="16"/>
      <c r="CY2068" s="16"/>
      <c r="CZ2068" s="16"/>
      <c r="DA2068" s="16"/>
      <c r="DB2068" s="16"/>
      <c r="DC2068" s="16"/>
      <c r="DD2068" s="16"/>
      <c r="DE2068" s="16"/>
      <c r="DF2068" s="16"/>
      <c r="DG2068" s="16"/>
      <c r="DH2068" s="16"/>
      <c r="DI2068" s="16"/>
      <c r="DJ2068" s="16"/>
      <c r="DK2068" s="16"/>
      <c r="DL2068" s="16"/>
      <c r="DM2068" s="16"/>
      <c r="DN2068" s="16"/>
      <c r="DO2068" s="16"/>
      <c r="DP2068" s="16"/>
    </row>
    <row r="2071" spans="1:120" ht="15.75">
      <c r="A2071" s="201" t="s">
        <v>40</v>
      </c>
      <c r="B2071" s="201" t="s">
        <v>203</v>
      </c>
      <c r="C2071" s="68" t="s">
        <v>163</v>
      </c>
      <c r="D2071" s="68" t="s">
        <v>197</v>
      </c>
      <c r="E2071" s="68" t="s">
        <v>198</v>
      </c>
      <c r="F2071" s="68" t="s">
        <v>212</v>
      </c>
    </row>
    <row r="2072" spans="1:120" ht="15">
      <c r="A2072" s="740" t="s">
        <v>2722</v>
      </c>
      <c r="B2072" s="21" t="s">
        <v>25</v>
      </c>
      <c r="C2072" s="93">
        <v>13.7</v>
      </c>
      <c r="D2072" s="94">
        <v>4</v>
      </c>
      <c r="E2072" s="108">
        <f>C2072*D2072</f>
        <v>54.8</v>
      </c>
      <c r="F2072" s="597">
        <v>3.69</v>
      </c>
    </row>
    <row r="2073" spans="1:120" ht="15">
      <c r="A2073" s="21"/>
      <c r="B2073" s="38" t="s">
        <v>218</v>
      </c>
      <c r="C2073" s="39"/>
      <c r="D2073" s="94"/>
      <c r="E2073" s="39">
        <v>1</v>
      </c>
      <c r="F2073" s="611">
        <v>12</v>
      </c>
    </row>
    <row r="2076" spans="1:120" ht="15.75">
      <c r="A2076" s="201" t="s">
        <v>40</v>
      </c>
      <c r="B2076" s="201" t="s">
        <v>203</v>
      </c>
      <c r="C2076" s="68" t="s">
        <v>3329</v>
      </c>
      <c r="D2076" s="68" t="s">
        <v>212</v>
      </c>
    </row>
    <row r="2077" spans="1:120" ht="15">
      <c r="A2077" s="740" t="s">
        <v>43</v>
      </c>
      <c r="B2077" s="21" t="s">
        <v>25</v>
      </c>
      <c r="C2077" s="93">
        <v>13.7</v>
      </c>
      <c r="D2077" s="597">
        <v>1.93</v>
      </c>
    </row>
    <row r="2078" spans="1:120" ht="15">
      <c r="A2078" s="21"/>
      <c r="B2078" s="38" t="s">
        <v>218</v>
      </c>
      <c r="C2078" s="39"/>
      <c r="D2078" s="94"/>
      <c r="E2078" s="39">
        <v>1</v>
      </c>
      <c r="F2078" s="611">
        <v>12</v>
      </c>
    </row>
    <row r="2081" spans="1:9">
      <c r="A2081" t="s">
        <v>3330</v>
      </c>
    </row>
    <row r="2082" spans="1:9" s="290" customFormat="1" ht="12.75">
      <c r="A2082" s="592" t="s">
        <v>171</v>
      </c>
      <c r="B2082" s="592" t="s">
        <v>93</v>
      </c>
      <c r="C2082" s="592" t="s">
        <v>45</v>
      </c>
      <c r="D2082" s="323" t="s">
        <v>2</v>
      </c>
      <c r="E2082" s="324" t="s">
        <v>150</v>
      </c>
      <c r="F2082" s="326" t="s">
        <v>3331</v>
      </c>
    </row>
    <row r="2083" spans="1:9" s="290" customFormat="1" ht="12.75">
      <c r="A2083" s="44">
        <v>5636</v>
      </c>
      <c r="B2083" s="44" t="s">
        <v>261</v>
      </c>
      <c r="C2083" s="44" t="s">
        <v>3332</v>
      </c>
      <c r="D2083" s="327">
        <v>50</v>
      </c>
      <c r="E2083" s="44" t="s">
        <v>3333</v>
      </c>
      <c r="F2083" s="1177">
        <v>0.42</v>
      </c>
    </row>
    <row r="2084" spans="1:9" s="290" customFormat="1" ht="12.75">
      <c r="A2084" s="44">
        <v>5636</v>
      </c>
      <c r="B2084" s="44" t="s">
        <v>261</v>
      </c>
      <c r="C2084" s="44" t="s">
        <v>3334</v>
      </c>
      <c r="D2084" s="327">
        <v>50</v>
      </c>
      <c r="E2084" s="44" t="s">
        <v>3335</v>
      </c>
      <c r="F2084" s="1177">
        <v>0.49</v>
      </c>
    </row>
    <row r="2089" spans="1:9" ht="15.75">
      <c r="A2089" s="201" t="s">
        <v>40</v>
      </c>
      <c r="B2089" s="201" t="s">
        <v>16</v>
      </c>
      <c r="C2089" s="201" t="s">
        <v>203</v>
      </c>
      <c r="D2089" s="68" t="s">
        <v>163</v>
      </c>
      <c r="E2089" s="68" t="s">
        <v>197</v>
      </c>
      <c r="F2089" s="68" t="s">
        <v>198</v>
      </c>
      <c r="G2089" s="68" t="s">
        <v>212</v>
      </c>
      <c r="H2089" s="33"/>
    </row>
    <row r="2090" spans="1:9" ht="15">
      <c r="A2090" s="71">
        <v>3717</v>
      </c>
      <c r="B2090" s="23">
        <v>15</v>
      </c>
      <c r="C2090" s="21" t="s">
        <v>2731</v>
      </c>
      <c r="D2090" s="93">
        <v>30</v>
      </c>
      <c r="E2090" s="94">
        <v>7</v>
      </c>
      <c r="F2090" s="55">
        <f>D2090*E2090</f>
        <v>210</v>
      </c>
      <c r="G2090" s="910">
        <v>0.31</v>
      </c>
      <c r="H2090" s="598">
        <f>G2090*F2090</f>
        <v>65.099999999999994</v>
      </c>
    </row>
    <row r="2091" spans="1:9" ht="15">
      <c r="A2091" s="71" t="s">
        <v>2732</v>
      </c>
      <c r="B2091" s="26" t="s">
        <v>215</v>
      </c>
      <c r="C2091" s="21" t="s">
        <v>2733</v>
      </c>
      <c r="D2091" s="93">
        <v>50</v>
      </c>
      <c r="E2091" s="94">
        <v>7</v>
      </c>
      <c r="F2091" s="55">
        <f>E2091*D2091</f>
        <v>350</v>
      </c>
      <c r="G2091" s="910">
        <v>0.22</v>
      </c>
      <c r="H2091" s="598">
        <f>G2091*F2091</f>
        <v>77</v>
      </c>
    </row>
    <row r="2092" spans="1:9" ht="15">
      <c r="A2092" s="48"/>
      <c r="B2092" s="38"/>
      <c r="C2092" s="38" t="s">
        <v>218</v>
      </c>
      <c r="D2092" s="39"/>
      <c r="E2092" s="94"/>
      <c r="F2092" s="39"/>
      <c r="G2092" s="611">
        <v>24</v>
      </c>
      <c r="H2092" s="598">
        <f>G2092*F2092</f>
        <v>0</v>
      </c>
    </row>
    <row r="2094" spans="1:9" ht="21.75" customHeight="1"/>
    <row r="2095" spans="1:9" ht="15.75">
      <c r="A2095" s="246" t="s">
        <v>171</v>
      </c>
      <c r="B2095" s="240" t="s">
        <v>90</v>
      </c>
      <c r="C2095" s="241" t="s">
        <v>2</v>
      </c>
      <c r="D2095" s="242" t="s">
        <v>204</v>
      </c>
      <c r="E2095" s="249" t="s">
        <v>225</v>
      </c>
      <c r="F2095" s="249" t="s">
        <v>161</v>
      </c>
      <c r="G2095" s="243" t="s">
        <v>3231</v>
      </c>
    </row>
    <row r="2096" spans="1:9" ht="15">
      <c r="A2096" s="28">
        <v>3717</v>
      </c>
      <c r="B2096" s="23">
        <v>6</v>
      </c>
      <c r="C2096" s="91">
        <v>30</v>
      </c>
      <c r="D2096" s="28" t="s">
        <v>211</v>
      </c>
      <c r="E2096" s="19" t="s">
        <v>3336</v>
      </c>
      <c r="F2096" s="19" t="s">
        <v>260</v>
      </c>
      <c r="G2096" s="1178">
        <f t="shared" ref="G2096:G2102" si="15">ROUNDUP(H2096/0.6/110,2)</f>
        <v>0.18000000000000002</v>
      </c>
      <c r="H2096" s="264">
        <v>11.333</v>
      </c>
      <c r="I2096">
        <f t="shared" ref="I2096:I2102" si="16">ROUNDUP(H2096/0.6/90,2)</f>
        <v>0.21000000000000002</v>
      </c>
    </row>
    <row r="2097" spans="1:9" ht="15">
      <c r="A2097" s="28">
        <v>3717</v>
      </c>
      <c r="B2097" s="23">
        <v>9</v>
      </c>
      <c r="C2097" s="91">
        <v>30</v>
      </c>
      <c r="D2097" s="28" t="s">
        <v>211</v>
      </c>
      <c r="E2097" s="19" t="s">
        <v>3336</v>
      </c>
      <c r="F2097" s="19" t="s">
        <v>260</v>
      </c>
      <c r="G2097" s="1178">
        <f t="shared" si="15"/>
        <v>0.21000000000000002</v>
      </c>
      <c r="H2097" s="264">
        <v>13.333</v>
      </c>
      <c r="I2097">
        <f t="shared" si="16"/>
        <v>0.25</v>
      </c>
    </row>
    <row r="2098" spans="1:9" ht="15">
      <c r="A2098" s="28">
        <v>3717</v>
      </c>
      <c r="B2098" s="23">
        <v>12</v>
      </c>
      <c r="C2098" s="91">
        <v>30</v>
      </c>
      <c r="D2098" s="28" t="s">
        <v>211</v>
      </c>
      <c r="E2098" s="19" t="s">
        <v>3336</v>
      </c>
      <c r="F2098" s="19" t="s">
        <v>260</v>
      </c>
      <c r="G2098" s="1178">
        <f t="shared" si="15"/>
        <v>0.26</v>
      </c>
      <c r="H2098" s="264">
        <v>16.666</v>
      </c>
      <c r="I2098">
        <f t="shared" si="16"/>
        <v>0.31</v>
      </c>
    </row>
    <row r="2099" spans="1:9" ht="15">
      <c r="A2099" s="28">
        <v>3717</v>
      </c>
      <c r="B2099" s="23">
        <v>15</v>
      </c>
      <c r="C2099" s="91">
        <v>30</v>
      </c>
      <c r="D2099" s="28" t="s">
        <v>211</v>
      </c>
      <c r="E2099" s="19" t="s">
        <v>3336</v>
      </c>
      <c r="F2099" s="19" t="s">
        <v>260</v>
      </c>
      <c r="G2099" s="1178">
        <f t="shared" si="15"/>
        <v>0.31</v>
      </c>
      <c r="H2099" s="265">
        <v>20</v>
      </c>
      <c r="I2099">
        <f t="shared" si="16"/>
        <v>0.38</v>
      </c>
    </row>
    <row r="2100" spans="1:9" ht="15">
      <c r="A2100" s="28">
        <v>3717</v>
      </c>
      <c r="B2100" s="23">
        <v>19</v>
      </c>
      <c r="C2100" s="91">
        <v>30</v>
      </c>
      <c r="D2100" s="28" t="s">
        <v>211</v>
      </c>
      <c r="E2100" s="19" t="s">
        <v>3336</v>
      </c>
      <c r="F2100" s="19" t="s">
        <v>260</v>
      </c>
      <c r="G2100" s="1178">
        <f t="shared" si="15"/>
        <v>0.36</v>
      </c>
      <c r="H2100" s="264">
        <v>23.332999999999998</v>
      </c>
      <c r="I2100">
        <f t="shared" si="16"/>
        <v>0.44</v>
      </c>
    </row>
    <row r="2101" spans="1:9" ht="15">
      <c r="A2101" s="28">
        <v>3717</v>
      </c>
      <c r="B2101" s="23">
        <v>25</v>
      </c>
      <c r="C2101" s="91">
        <v>30</v>
      </c>
      <c r="D2101" s="28" t="s">
        <v>211</v>
      </c>
      <c r="E2101" s="19" t="s">
        <v>3336</v>
      </c>
      <c r="F2101" s="19" t="s">
        <v>260</v>
      </c>
      <c r="G2101" s="1178">
        <f t="shared" si="15"/>
        <v>0.46</v>
      </c>
      <c r="H2101" s="265">
        <v>30</v>
      </c>
      <c r="I2101">
        <f t="shared" si="16"/>
        <v>0.56000000000000005</v>
      </c>
    </row>
    <row r="2102" spans="1:9" ht="15">
      <c r="A2102" s="28">
        <v>3717</v>
      </c>
      <c r="B2102" s="23">
        <v>32</v>
      </c>
      <c r="C2102" s="91">
        <v>30</v>
      </c>
      <c r="D2102" s="28" t="s">
        <v>211</v>
      </c>
      <c r="E2102" s="19" t="s">
        <v>3336</v>
      </c>
      <c r="F2102" s="19" t="s">
        <v>260</v>
      </c>
      <c r="G2102" s="1178">
        <f t="shared" si="15"/>
        <v>0.61</v>
      </c>
      <c r="H2102" s="265">
        <v>40</v>
      </c>
      <c r="I2102">
        <f t="shared" si="16"/>
        <v>0.75</v>
      </c>
    </row>
    <row r="2105" spans="1:9" ht="14.25">
      <c r="A2105" s="96" t="s">
        <v>22</v>
      </c>
      <c r="B2105" s="96" t="s">
        <v>3337</v>
      </c>
      <c r="C2105" s="96" t="s">
        <v>23</v>
      </c>
      <c r="D2105" s="80" t="s">
        <v>117</v>
      </c>
    </row>
    <row r="2106" spans="1:9" ht="15">
      <c r="A2106" s="21" t="s">
        <v>2736</v>
      </c>
      <c r="B2106" s="21" t="s">
        <v>25</v>
      </c>
      <c r="C2106" s="55">
        <v>10</v>
      </c>
      <c r="D2106" s="1179" t="s">
        <v>3338</v>
      </c>
    </row>
    <row r="2107" spans="1:9" ht="21">
      <c r="E2107" ph="1"/>
    </row>
    <row r="2108" spans="1:9" ht="15.75">
      <c r="A2108" s="201" t="s">
        <v>40</v>
      </c>
      <c r="B2108" s="201" t="s">
        <v>203</v>
      </c>
      <c r="C2108" s="68" t="s">
        <v>198</v>
      </c>
      <c r="D2108" s="68" t="s">
        <v>212</v>
      </c>
    </row>
    <row r="2109" spans="1:9" ht="15">
      <c r="A2109" s="21" t="s">
        <v>2736</v>
      </c>
      <c r="B2109" s="21" t="s">
        <v>25</v>
      </c>
      <c r="C2109" s="55">
        <v>10</v>
      </c>
      <c r="D2109" s="611">
        <v>1.07</v>
      </c>
    </row>
    <row r="2110" spans="1:9" ht="15">
      <c r="A2110" s="285"/>
      <c r="B2110" s="38" t="s">
        <v>218</v>
      </c>
      <c r="C2110" s="39">
        <v>1</v>
      </c>
      <c r="D2110" s="611">
        <v>15</v>
      </c>
      <c r="E2110" s="39">
        <v>1</v>
      </c>
      <c r="F2110" s="611">
        <v>15</v>
      </c>
    </row>
    <row r="2112" spans="1:9" ht="15.75">
      <c r="A2112" s="201" t="s">
        <v>40</v>
      </c>
      <c r="B2112" s="201" t="s">
        <v>203</v>
      </c>
      <c r="C2112" s="68" t="s">
        <v>198</v>
      </c>
      <c r="D2112" s="68" t="s">
        <v>212</v>
      </c>
    </row>
    <row r="2113" spans="1:5" ht="15">
      <c r="A2113" s="21" t="s">
        <v>2738</v>
      </c>
      <c r="B2113" s="21" t="s">
        <v>25</v>
      </c>
      <c r="C2113" s="55">
        <v>10</v>
      </c>
      <c r="D2113" s="611">
        <v>1.9</v>
      </c>
    </row>
    <row r="2114" spans="1:5" ht="15">
      <c r="A2114" s="21" t="s">
        <v>2739</v>
      </c>
      <c r="B2114" s="21" t="s">
        <v>25</v>
      </c>
      <c r="C2114" s="55">
        <v>10</v>
      </c>
      <c r="D2114" s="611">
        <v>0.84</v>
      </c>
    </row>
    <row r="2115" spans="1:5" ht="15">
      <c r="A2115" s="21"/>
      <c r="B2115" s="38" t="s">
        <v>218</v>
      </c>
      <c r="C2115" s="39">
        <v>1</v>
      </c>
      <c r="D2115" s="611">
        <v>15</v>
      </c>
    </row>
    <row r="2118" spans="1:5" ht="15.75">
      <c r="A2118" s="201" t="s">
        <v>40</v>
      </c>
      <c r="B2118" s="201" t="s">
        <v>203</v>
      </c>
      <c r="C2118" s="68" t="s">
        <v>198</v>
      </c>
      <c r="D2118" s="68" t="s">
        <v>212</v>
      </c>
    </row>
    <row r="2119" spans="1:5" ht="15">
      <c r="A2119" s="740" t="s">
        <v>274</v>
      </c>
      <c r="B2119" s="21" t="s">
        <v>25</v>
      </c>
      <c r="C2119" s="163">
        <v>100</v>
      </c>
      <c r="D2119" s="611">
        <v>0.91</v>
      </c>
    </row>
    <row r="2120" spans="1:5" ht="15">
      <c r="A2120" s="48"/>
      <c r="B2120" s="38" t="s">
        <v>3339</v>
      </c>
      <c r="C2120" s="39">
        <v>2</v>
      </c>
      <c r="D2120" s="611">
        <v>24</v>
      </c>
    </row>
    <row r="2124" spans="1:5" ht="15.75">
      <c r="A2124" s="201" t="s">
        <v>39</v>
      </c>
      <c r="B2124" s="201" t="s">
        <v>40</v>
      </c>
      <c r="C2124" s="201" t="s">
        <v>203</v>
      </c>
      <c r="D2124" s="68" t="s">
        <v>198</v>
      </c>
      <c r="E2124" s="68" t="s">
        <v>212</v>
      </c>
    </row>
    <row r="2125" spans="1:5" ht="15">
      <c r="A2125" s="27" t="s">
        <v>3340</v>
      </c>
      <c r="B2125" s="21" t="s">
        <v>107</v>
      </c>
      <c r="C2125" s="21" t="s">
        <v>2541</v>
      </c>
      <c r="D2125" s="55">
        <v>10</v>
      </c>
      <c r="E2125" s="40">
        <v>4.45</v>
      </c>
    </row>
    <row r="2126" spans="1:5" ht="15">
      <c r="A2126" s="27" t="s">
        <v>3340</v>
      </c>
      <c r="B2126" s="21"/>
      <c r="C2126" s="38" t="s">
        <v>154</v>
      </c>
      <c r="D2126" s="39">
        <v>1</v>
      </c>
      <c r="E2126" s="40">
        <v>12</v>
      </c>
    </row>
    <row r="2127" spans="1:5" ht="15">
      <c r="A2127" s="27" t="s">
        <v>3340</v>
      </c>
      <c r="B2127" s="21"/>
      <c r="C2127" s="38" t="s">
        <v>13</v>
      </c>
      <c r="D2127" s="39">
        <v>1</v>
      </c>
      <c r="E2127" s="40">
        <v>20</v>
      </c>
    </row>
    <row r="2130" spans="1:8">
      <c r="A2130" t="s">
        <v>3341</v>
      </c>
    </row>
    <row r="2131" spans="1:8" s="277" customFormat="1" ht="30">
      <c r="A2131" s="278" t="s">
        <v>174</v>
      </c>
      <c r="B2131" s="279" t="s">
        <v>250</v>
      </c>
      <c r="C2131" s="280" t="s">
        <v>161</v>
      </c>
      <c r="D2131" s="1180" t="s">
        <v>242</v>
      </c>
      <c r="E2131" s="280" t="s">
        <v>205</v>
      </c>
    </row>
    <row r="2132" spans="1:8" s="277" customFormat="1" ht="24" customHeight="1">
      <c r="A2132" s="272" t="s">
        <v>254</v>
      </c>
      <c r="B2132" s="273" t="s">
        <v>245</v>
      </c>
      <c r="C2132" s="274" t="s">
        <v>253</v>
      </c>
      <c r="D2132" s="275">
        <v>25</v>
      </c>
      <c r="E2132" s="276" t="s">
        <v>243</v>
      </c>
    </row>
    <row r="2133" spans="1:8" s="277" customFormat="1" ht="24" customHeight="1">
      <c r="A2133" s="272" t="s">
        <v>281</v>
      </c>
      <c r="B2133" s="273" t="s">
        <v>280</v>
      </c>
      <c r="C2133" s="274" t="s">
        <v>253</v>
      </c>
      <c r="D2133" s="275">
        <v>6.25</v>
      </c>
      <c r="E2133" s="272"/>
    </row>
    <row r="2134" spans="1:8" s="277" customFormat="1" ht="24" customHeight="1">
      <c r="A2134" s="272" t="s">
        <v>130</v>
      </c>
      <c r="B2134" s="273" t="s">
        <v>247</v>
      </c>
      <c r="C2134" s="274" t="s">
        <v>252</v>
      </c>
      <c r="D2134" s="275">
        <v>5</v>
      </c>
      <c r="E2134" s="276" t="s">
        <v>248</v>
      </c>
    </row>
    <row r="2137" spans="1:8">
      <c r="A2137" t="s">
        <v>3342</v>
      </c>
    </row>
    <row r="2138" spans="1:8" ht="15.75">
      <c r="A2138" s="283" t="s">
        <v>171</v>
      </c>
      <c r="B2138" s="281" t="s">
        <v>142</v>
      </c>
      <c r="C2138" s="282" t="s">
        <v>3343</v>
      </c>
    </row>
    <row r="2139" spans="1:8" ht="15">
      <c r="A2139" s="90" t="s">
        <v>3344</v>
      </c>
      <c r="B2139" s="245" t="s">
        <v>3345</v>
      </c>
      <c r="C2139" s="611">
        <v>0.81</v>
      </c>
    </row>
    <row r="2140" spans="1:8" ht="15">
      <c r="A2140" s="90" t="s">
        <v>3346</v>
      </c>
      <c r="B2140" s="245" t="s">
        <v>3345</v>
      </c>
      <c r="C2140" s="611">
        <v>0.91</v>
      </c>
    </row>
    <row r="2143" spans="1:8">
      <c r="A2143" s="295" t="s">
        <v>39</v>
      </c>
      <c r="B2143" s="295" t="s">
        <v>40</v>
      </c>
      <c r="C2143" s="295" t="s">
        <v>16</v>
      </c>
      <c r="D2143" s="295" t="s">
        <v>203</v>
      </c>
      <c r="E2143" s="289" t="s">
        <v>163</v>
      </c>
      <c r="F2143" s="289" t="s">
        <v>197</v>
      </c>
      <c r="G2143" s="289" t="s">
        <v>198</v>
      </c>
      <c r="H2143" s="289" t="s">
        <v>212</v>
      </c>
    </row>
    <row r="2144" spans="1:8">
      <c r="A2144" s="314" t="s">
        <v>2743</v>
      </c>
      <c r="B2144" s="41">
        <v>5636</v>
      </c>
      <c r="C2144" s="42" t="s">
        <v>1808</v>
      </c>
      <c r="D2144" s="41" t="s">
        <v>2746</v>
      </c>
      <c r="E2144" s="296">
        <v>50</v>
      </c>
      <c r="F2144" s="297">
        <v>4</v>
      </c>
      <c r="G2144" s="43">
        <f>E2144*F2144</f>
        <v>200</v>
      </c>
      <c r="H2144" s="1177">
        <v>0.49</v>
      </c>
    </row>
    <row r="2145" spans="1:9">
      <c r="A2145" s="314" t="s">
        <v>2743</v>
      </c>
      <c r="B2145" s="41">
        <v>5636</v>
      </c>
      <c r="C2145" s="42" t="s">
        <v>1808</v>
      </c>
      <c r="D2145" s="41" t="s">
        <v>2747</v>
      </c>
      <c r="E2145" s="296">
        <v>50</v>
      </c>
      <c r="F2145" s="297">
        <v>9</v>
      </c>
      <c r="G2145" s="43">
        <f>E2145*F2145</f>
        <v>450</v>
      </c>
      <c r="H2145" s="1177">
        <v>0.49</v>
      </c>
    </row>
    <row r="2146" spans="1:9">
      <c r="A2146" s="314" t="s">
        <v>2743</v>
      </c>
      <c r="B2146" s="41">
        <v>5636</v>
      </c>
      <c r="C2146" s="42" t="s">
        <v>1808</v>
      </c>
      <c r="D2146" s="41" t="s">
        <v>2748</v>
      </c>
      <c r="E2146" s="296">
        <v>50</v>
      </c>
      <c r="F2146" s="297">
        <v>12</v>
      </c>
      <c r="G2146" s="43">
        <f>E2146*F2146</f>
        <v>600</v>
      </c>
      <c r="H2146" s="1177">
        <v>0.42</v>
      </c>
    </row>
    <row r="2147" spans="1:9">
      <c r="A2147" s="314" t="s">
        <v>2743</v>
      </c>
      <c r="B2147" s="41"/>
      <c r="C2147" s="136"/>
      <c r="D2147" s="136" t="s">
        <v>218</v>
      </c>
      <c r="E2147" s="292"/>
      <c r="F2147" s="297"/>
      <c r="G2147" s="292">
        <v>1</v>
      </c>
      <c r="H2147" s="1181">
        <v>12</v>
      </c>
    </row>
    <row r="2151" spans="1:9">
      <c r="A2151" s="290"/>
      <c r="B2151" s="290"/>
      <c r="C2151" s="290"/>
      <c r="D2151" s="290"/>
      <c r="E2151" s="290"/>
    </row>
    <row r="2152" spans="1:9">
      <c r="A2152" s="295" t="s">
        <v>39</v>
      </c>
      <c r="B2152" s="295" t="s">
        <v>40</v>
      </c>
      <c r="C2152" s="295" t="s">
        <v>203</v>
      </c>
      <c r="D2152" s="295" t="s">
        <v>18</v>
      </c>
      <c r="E2152" s="289" t="s">
        <v>212</v>
      </c>
    </row>
    <row r="2153" spans="1:9">
      <c r="A2153" s="4" t="s">
        <v>3347</v>
      </c>
      <c r="B2153" s="1182" t="s">
        <v>2045</v>
      </c>
      <c r="C2153" s="41" t="s">
        <v>25</v>
      </c>
      <c r="D2153" s="43">
        <v>60</v>
      </c>
      <c r="E2153" s="1183">
        <v>1.06</v>
      </c>
    </row>
    <row r="2154" spans="1:9">
      <c r="A2154" s="4" t="s">
        <v>3347</v>
      </c>
      <c r="B2154" s="41"/>
      <c r="C2154" s="136" t="s">
        <v>218</v>
      </c>
      <c r="D2154" s="292">
        <v>1</v>
      </c>
      <c r="E2154" s="1181">
        <v>12</v>
      </c>
    </row>
    <row r="2157" spans="1:9">
      <c r="A2157" s="295" t="s">
        <v>39</v>
      </c>
      <c r="B2157" s="295" t="s">
        <v>40</v>
      </c>
      <c r="C2157" s="295" t="s">
        <v>16</v>
      </c>
      <c r="D2157" s="295" t="s">
        <v>203</v>
      </c>
      <c r="E2157" s="289" t="s">
        <v>163</v>
      </c>
      <c r="F2157" s="289" t="s">
        <v>197</v>
      </c>
      <c r="G2157" s="289" t="s">
        <v>198</v>
      </c>
      <c r="H2157" s="289" t="s">
        <v>212</v>
      </c>
      <c r="I2157" s="33"/>
    </row>
    <row r="2158" spans="1:9" ht="15">
      <c r="A2158" s="4" t="s">
        <v>2750</v>
      </c>
      <c r="B2158" s="41">
        <v>3717</v>
      </c>
      <c r="C2158" s="42">
        <v>32</v>
      </c>
      <c r="D2158" s="41" t="s">
        <v>2751</v>
      </c>
      <c r="E2158" s="296">
        <v>30</v>
      </c>
      <c r="F2158" s="297">
        <v>2</v>
      </c>
      <c r="G2158" s="43">
        <f>E2158*F2158</f>
        <v>60</v>
      </c>
      <c r="H2158" s="1177">
        <v>0.61</v>
      </c>
      <c r="I2158" s="598">
        <f>H2158*G2158</f>
        <v>36.6</v>
      </c>
    </row>
    <row r="2159" spans="1:9" ht="15">
      <c r="A2159" s="4" t="s">
        <v>2750</v>
      </c>
      <c r="B2159" s="41">
        <v>3717</v>
      </c>
      <c r="C2159" s="42">
        <v>32</v>
      </c>
      <c r="D2159" s="41" t="s">
        <v>2752</v>
      </c>
      <c r="E2159" s="296">
        <v>30</v>
      </c>
      <c r="F2159" s="297">
        <v>4</v>
      </c>
      <c r="G2159" s="43">
        <f>E2159*F2159</f>
        <v>120</v>
      </c>
      <c r="H2159" s="1177">
        <v>0.61</v>
      </c>
      <c r="I2159" s="598">
        <f>H2159*G2159</f>
        <v>73.2</v>
      </c>
    </row>
    <row r="2160" spans="1:9" ht="15">
      <c r="A2160" s="4" t="s">
        <v>2750</v>
      </c>
      <c r="B2160" s="236"/>
      <c r="C2160" s="136"/>
      <c r="D2160" s="136" t="s">
        <v>218</v>
      </c>
      <c r="E2160" s="292"/>
      <c r="F2160" s="297"/>
      <c r="G2160" s="292">
        <v>1</v>
      </c>
      <c r="H2160" s="1181">
        <v>12</v>
      </c>
      <c r="I2160" s="598">
        <f>H2160*G2160</f>
        <v>12</v>
      </c>
    </row>
    <row r="2164" spans="1:7">
      <c r="A2164" s="295" t="s">
        <v>40</v>
      </c>
      <c r="B2164" s="295" t="s">
        <v>203</v>
      </c>
      <c r="C2164" s="289" t="s">
        <v>163</v>
      </c>
      <c r="D2164" s="289" t="s">
        <v>197</v>
      </c>
      <c r="E2164" s="289" t="s">
        <v>198</v>
      </c>
      <c r="F2164" s="289" t="s">
        <v>212</v>
      </c>
    </row>
    <row r="2165" spans="1:7" ht="15">
      <c r="A2165" s="740" t="s">
        <v>2280</v>
      </c>
      <c r="B2165" s="21" t="s">
        <v>25</v>
      </c>
      <c r="C2165" s="93">
        <v>13.7</v>
      </c>
      <c r="D2165" s="94">
        <v>8</v>
      </c>
      <c r="E2165" s="108">
        <f>C2165*D2165</f>
        <v>109.6</v>
      </c>
      <c r="F2165" s="597">
        <v>5.46</v>
      </c>
    </row>
    <row r="2166" spans="1:7" ht="15">
      <c r="A2166" s="21"/>
      <c r="B2166" s="38" t="s">
        <v>218</v>
      </c>
      <c r="C2166" s="39"/>
      <c r="D2166" s="94"/>
      <c r="E2166" s="39">
        <v>1</v>
      </c>
      <c r="F2166" s="611">
        <v>12</v>
      </c>
    </row>
    <row r="2169" spans="1:7" s="290" customFormat="1" ht="12.75">
      <c r="A2169" s="295" t="s">
        <v>40</v>
      </c>
      <c r="B2169" s="295" t="s">
        <v>16</v>
      </c>
      <c r="C2169" s="295" t="s">
        <v>203</v>
      </c>
      <c r="D2169" s="289" t="s">
        <v>163</v>
      </c>
      <c r="E2169" s="289" t="s">
        <v>197</v>
      </c>
      <c r="F2169" s="289" t="s">
        <v>198</v>
      </c>
      <c r="G2169" s="289" t="s">
        <v>212</v>
      </c>
    </row>
    <row r="2170" spans="1:7" s="290" customFormat="1" ht="12.75">
      <c r="A2170" s="41">
        <v>14552</v>
      </c>
      <c r="B2170" s="42">
        <v>25</v>
      </c>
      <c r="C2170" s="302" t="s">
        <v>37</v>
      </c>
      <c r="D2170" s="296">
        <v>30</v>
      </c>
      <c r="E2170" s="297">
        <v>1</v>
      </c>
      <c r="F2170" s="298">
        <f>D2170*E2170</f>
        <v>30</v>
      </c>
      <c r="G2170" s="1184">
        <v>0.99</v>
      </c>
    </row>
    <row r="2171" spans="1:7" s="290" customFormat="1" ht="12.75">
      <c r="A2171" s="41">
        <v>14552</v>
      </c>
      <c r="B2171" s="42">
        <v>25</v>
      </c>
      <c r="C2171" s="302" t="s">
        <v>2755</v>
      </c>
      <c r="D2171" s="296">
        <v>30</v>
      </c>
      <c r="E2171" s="297">
        <v>1</v>
      </c>
      <c r="F2171" s="298">
        <f>D2171*E2171</f>
        <v>30</v>
      </c>
      <c r="G2171" s="1184">
        <v>0.99</v>
      </c>
    </row>
    <row r="2172" spans="1:7" s="290" customFormat="1" ht="12.75">
      <c r="A2172" s="41">
        <v>14552</v>
      </c>
      <c r="B2172" s="42">
        <v>25</v>
      </c>
      <c r="C2172" s="302" t="s">
        <v>2756</v>
      </c>
      <c r="D2172" s="296">
        <v>30</v>
      </c>
      <c r="E2172" s="297">
        <v>1</v>
      </c>
      <c r="F2172" s="298">
        <f>D2172*E2172</f>
        <v>30</v>
      </c>
      <c r="G2172" s="1184">
        <v>0.99</v>
      </c>
    </row>
    <row r="2173" spans="1:7" s="290" customFormat="1" ht="12.75">
      <c r="A2173" s="41">
        <v>14552</v>
      </c>
      <c r="B2173" s="42">
        <v>25</v>
      </c>
      <c r="C2173" s="302" t="s">
        <v>85</v>
      </c>
      <c r="D2173" s="296">
        <v>30</v>
      </c>
      <c r="E2173" s="297">
        <v>1</v>
      </c>
      <c r="F2173" s="298">
        <f>D2173*E2173</f>
        <v>30</v>
      </c>
      <c r="G2173" s="1184">
        <v>0.99</v>
      </c>
    </row>
    <row r="2174" spans="1:7" s="290" customFormat="1" ht="12.75">
      <c r="A2174" s="41"/>
      <c r="B2174" s="291"/>
      <c r="C2174" s="41" t="s">
        <v>218</v>
      </c>
      <c r="D2174" s="298"/>
      <c r="E2174" s="299"/>
      <c r="F2174" s="292">
        <v>1</v>
      </c>
      <c r="G2174" s="1181">
        <v>12</v>
      </c>
    </row>
    <row r="2175" spans="1:7" s="290" customFormat="1" ht="12"/>
    <row r="2177" spans="1:7">
      <c r="A2177" t="s">
        <v>3348</v>
      </c>
    </row>
    <row r="2179" spans="1:7">
      <c r="A2179" s="1158" t="s">
        <v>40</v>
      </c>
      <c r="B2179" s="1185" t="s">
        <v>163</v>
      </c>
      <c r="C2179" s="324" t="s">
        <v>204</v>
      </c>
      <c r="D2179" s="326" t="s">
        <v>3349</v>
      </c>
    </row>
    <row r="2180" spans="1:7">
      <c r="A2180" s="41">
        <v>1966</v>
      </c>
      <c r="B2180" s="296">
        <v>30</v>
      </c>
      <c r="C2180" s="44" t="s">
        <v>211</v>
      </c>
      <c r="D2180" s="1181">
        <v>0.63</v>
      </c>
    </row>
    <row r="2182" spans="1:7">
      <c r="A2182" t="s">
        <v>3350</v>
      </c>
    </row>
    <row r="2183" spans="1:7">
      <c r="A2183" s="295" t="s">
        <v>40</v>
      </c>
      <c r="B2183" s="295" t="s">
        <v>16</v>
      </c>
      <c r="C2183" s="289" t="s">
        <v>163</v>
      </c>
      <c r="D2183" s="320" t="s">
        <v>204</v>
      </c>
      <c r="E2183" s="321" t="s">
        <v>3349</v>
      </c>
    </row>
    <row r="2184" spans="1:7">
      <c r="A2184" s="41" t="s">
        <v>53</v>
      </c>
      <c r="B2184" s="41" t="s">
        <v>3351</v>
      </c>
      <c r="C2184" s="296">
        <v>20</v>
      </c>
      <c r="D2184" s="44" t="s">
        <v>211</v>
      </c>
      <c r="E2184" s="1181">
        <v>2.5099999999999998</v>
      </c>
    </row>
    <row r="2185" spans="1:7">
      <c r="A2185" s="41" t="s">
        <v>54</v>
      </c>
      <c r="B2185" s="41" t="s">
        <v>14</v>
      </c>
      <c r="C2185" s="296">
        <v>20</v>
      </c>
      <c r="D2185" s="44" t="s">
        <v>211</v>
      </c>
      <c r="E2185" s="1181">
        <v>3.16</v>
      </c>
    </row>
    <row r="2188" spans="1:7">
      <c r="A2188" s="295" t="s">
        <v>40</v>
      </c>
      <c r="B2188" s="295" t="s">
        <v>16</v>
      </c>
      <c r="C2188" s="295" t="s">
        <v>203</v>
      </c>
      <c r="D2188" s="289" t="s">
        <v>163</v>
      </c>
      <c r="E2188" s="289" t="s">
        <v>197</v>
      </c>
      <c r="F2188" s="289" t="s">
        <v>198</v>
      </c>
      <c r="G2188" s="289" t="s">
        <v>212</v>
      </c>
    </row>
    <row r="2189" spans="1:7">
      <c r="A2189" s="41">
        <v>14552</v>
      </c>
      <c r="B2189" s="42">
        <v>25</v>
      </c>
      <c r="C2189" s="302" t="s">
        <v>3352</v>
      </c>
      <c r="D2189" s="296">
        <v>30</v>
      </c>
      <c r="E2189" s="297">
        <v>1</v>
      </c>
      <c r="F2189" s="298">
        <f>D2189*E2189</f>
        <v>30</v>
      </c>
      <c r="G2189" s="1184">
        <v>0.99</v>
      </c>
    </row>
    <row r="2190" spans="1:7">
      <c r="A2190" s="41">
        <v>14552</v>
      </c>
      <c r="B2190" s="42">
        <v>25</v>
      </c>
      <c r="C2190" s="302" t="s">
        <v>3353</v>
      </c>
      <c r="D2190" s="296">
        <v>30</v>
      </c>
      <c r="E2190" s="297">
        <v>1</v>
      </c>
      <c r="F2190" s="298">
        <f>D2190*E2190</f>
        <v>30</v>
      </c>
      <c r="G2190" s="1184">
        <v>0.99</v>
      </c>
    </row>
    <row r="2191" spans="1:7">
      <c r="A2191" s="41"/>
      <c r="B2191" s="291"/>
      <c r="C2191" s="41" t="s">
        <v>218</v>
      </c>
      <c r="D2191" s="298"/>
      <c r="E2191" s="299"/>
      <c r="F2191" s="292">
        <v>1</v>
      </c>
      <c r="G2191" s="1181">
        <v>12</v>
      </c>
    </row>
    <row r="2194" spans="1:120" s="290" customFormat="1" ht="12.75">
      <c r="A2194" s="295" t="s">
        <v>59</v>
      </c>
      <c r="B2194" s="295" t="s">
        <v>40</v>
      </c>
      <c r="C2194" s="295" t="s">
        <v>203</v>
      </c>
      <c r="D2194" s="289" t="s">
        <v>163</v>
      </c>
      <c r="E2194" s="289" t="s">
        <v>197</v>
      </c>
      <c r="F2194" s="289" t="s">
        <v>198</v>
      </c>
      <c r="G2194" s="289" t="s">
        <v>212</v>
      </c>
      <c r="H2194" s="289" t="s">
        <v>263</v>
      </c>
    </row>
    <row r="2195" spans="1:120" s="290" customFormat="1" ht="12.75">
      <c r="A2195" s="314" t="s">
        <v>3354</v>
      </c>
      <c r="B2195" s="1182" t="s">
        <v>2761</v>
      </c>
      <c r="C2195" s="41" t="s">
        <v>25</v>
      </c>
      <c r="D2195" s="296">
        <v>13.7</v>
      </c>
      <c r="E2195" s="297">
        <v>2</v>
      </c>
      <c r="F2195" s="1186">
        <f>D2195*E2195</f>
        <v>27.4</v>
      </c>
      <c r="G2195" s="1184">
        <v>9.82</v>
      </c>
      <c r="H2195" s="1187" t="s">
        <v>3355</v>
      </c>
    </row>
    <row r="2196" spans="1:120" s="290" customFormat="1" ht="12.75">
      <c r="A2196" s="314" t="s">
        <v>3354</v>
      </c>
      <c r="B2196" s="1182" t="s">
        <v>2763</v>
      </c>
      <c r="C2196" s="41" t="s">
        <v>25</v>
      </c>
      <c r="D2196" s="296">
        <v>13.7</v>
      </c>
      <c r="E2196" s="297">
        <v>2</v>
      </c>
      <c r="F2196" s="1186">
        <f>D2196*E2196</f>
        <v>27.4</v>
      </c>
      <c r="G2196" s="1184">
        <v>3.88</v>
      </c>
      <c r="H2196" s="1187" t="s">
        <v>139</v>
      </c>
    </row>
    <row r="2197" spans="1:120" s="290" customFormat="1" ht="12.75">
      <c r="A2197" s="314" t="s">
        <v>3354</v>
      </c>
      <c r="B2197" s="41"/>
      <c r="C2197" s="136" t="s">
        <v>218</v>
      </c>
      <c r="D2197" s="292"/>
      <c r="E2197" s="297"/>
      <c r="F2197" s="292">
        <v>1</v>
      </c>
      <c r="G2197" s="1181">
        <v>12</v>
      </c>
      <c r="H2197" s="1187"/>
    </row>
    <row r="2198" spans="1:120" s="290" customFormat="1" ht="12"/>
    <row r="2199" spans="1:120" s="290" customFormat="1" ht="12">
      <c r="A2199" s="290" t="s">
        <v>3356</v>
      </c>
    </row>
    <row r="2200" spans="1:120" s="250" customFormat="1" ht="25.5">
      <c r="A2200" s="592" t="s">
        <v>171</v>
      </c>
      <c r="B2200" s="322" t="s">
        <v>90</v>
      </c>
      <c r="C2200" s="323" t="s">
        <v>78</v>
      </c>
      <c r="D2200" s="324" t="s">
        <v>204</v>
      </c>
      <c r="E2200" s="325" t="s">
        <v>225</v>
      </c>
      <c r="F2200" s="325" t="s">
        <v>161</v>
      </c>
      <c r="G2200" s="326" t="s">
        <v>3357</v>
      </c>
      <c r="H2200" s="244" t="s">
        <v>176</v>
      </c>
    </row>
    <row r="2201" spans="1:120" s="252" customFormat="1" ht="15" customHeight="1">
      <c r="A2201" s="310" t="s">
        <v>3325</v>
      </c>
      <c r="B2201" s="1188">
        <v>4</v>
      </c>
      <c r="C2201" s="327">
        <v>30</v>
      </c>
      <c r="D2201" s="44" t="s">
        <v>211</v>
      </c>
      <c r="E2201" s="44" t="s">
        <v>6</v>
      </c>
      <c r="F2201" s="44" t="s">
        <v>3326</v>
      </c>
      <c r="G2201" s="1181">
        <f t="shared" ref="G2201:G2211" si="17">ROUNDUP(H2201/0.53/125,2)</f>
        <v>0.37</v>
      </c>
      <c r="H2201" s="261">
        <v>24.065999999999999</v>
      </c>
      <c r="I2201" s="1189"/>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16"/>
      <c r="AH2201" s="16"/>
      <c r="AI2201" s="16"/>
      <c r="AJ2201" s="16"/>
      <c r="AK2201" s="16"/>
      <c r="AL2201" s="16"/>
      <c r="AM2201" s="16"/>
      <c r="AN2201" s="16"/>
      <c r="AO2201" s="16"/>
      <c r="AP2201" s="16"/>
      <c r="AQ2201" s="16"/>
      <c r="AR2201" s="16"/>
      <c r="AS2201" s="16"/>
      <c r="AT2201" s="16"/>
      <c r="AU2201" s="16"/>
      <c r="AV2201" s="16"/>
      <c r="AW2201" s="16"/>
      <c r="AX2201" s="16"/>
      <c r="AY2201" s="16"/>
      <c r="AZ2201" s="16"/>
      <c r="BA2201" s="16"/>
      <c r="BB2201" s="16"/>
      <c r="BC2201" s="16"/>
      <c r="BD2201" s="16"/>
      <c r="BE2201" s="16"/>
      <c r="BF2201" s="16"/>
      <c r="BG2201" s="16"/>
      <c r="BH2201" s="16"/>
      <c r="BI2201" s="16"/>
      <c r="BJ2201" s="16"/>
      <c r="BK2201" s="16"/>
      <c r="BL2201" s="16"/>
      <c r="BM2201" s="16"/>
      <c r="BN2201" s="16"/>
      <c r="BO2201" s="16"/>
      <c r="BP2201" s="16"/>
      <c r="BQ2201" s="16"/>
      <c r="BR2201" s="16"/>
      <c r="BS2201" s="16"/>
      <c r="BT2201" s="16"/>
      <c r="BU2201" s="16"/>
      <c r="BV2201" s="16"/>
      <c r="BW2201" s="16"/>
      <c r="BX2201" s="16"/>
      <c r="BY2201" s="16"/>
      <c r="BZ2201" s="16"/>
      <c r="CA2201" s="16"/>
      <c r="CB2201" s="16"/>
      <c r="CC2201" s="16"/>
      <c r="CD2201" s="16"/>
      <c r="CE2201" s="16"/>
      <c r="CF2201" s="16"/>
      <c r="CG2201" s="16"/>
      <c r="CH2201" s="16"/>
      <c r="CI2201" s="16"/>
      <c r="CJ2201" s="16"/>
      <c r="CK2201" s="16"/>
      <c r="CL2201" s="16"/>
      <c r="CM2201" s="16"/>
      <c r="CN2201" s="16"/>
      <c r="CO2201" s="16"/>
      <c r="CP2201" s="16"/>
      <c r="CQ2201" s="16"/>
      <c r="CR2201" s="16"/>
      <c r="CS2201" s="16"/>
      <c r="CT2201" s="16"/>
      <c r="CU2201" s="16"/>
      <c r="CV2201" s="16"/>
      <c r="CW2201" s="16"/>
      <c r="CX2201" s="16"/>
      <c r="CY2201" s="16"/>
      <c r="CZ2201" s="16"/>
      <c r="DA2201" s="16"/>
      <c r="DB2201" s="16"/>
      <c r="DC2201" s="16"/>
      <c r="DD2201" s="16"/>
      <c r="DE2201" s="16"/>
      <c r="DF2201" s="16"/>
      <c r="DG2201" s="16"/>
      <c r="DH2201" s="16"/>
      <c r="DI2201" s="16"/>
      <c r="DJ2201" s="16"/>
      <c r="DK2201" s="16"/>
      <c r="DL2201" s="16"/>
      <c r="DM2201" s="16"/>
      <c r="DN2201" s="16"/>
      <c r="DO2201" s="16"/>
      <c r="DP2201" s="16"/>
    </row>
    <row r="2202" spans="1:120" s="252" customFormat="1" ht="15" customHeight="1">
      <c r="A2202" s="310" t="s">
        <v>3325</v>
      </c>
      <c r="B2202" s="1188">
        <v>6</v>
      </c>
      <c r="C2202" s="327">
        <v>30</v>
      </c>
      <c r="D2202" s="44" t="s">
        <v>211</v>
      </c>
      <c r="E2202" s="44" t="s">
        <v>6</v>
      </c>
      <c r="F2202" s="44" t="s">
        <v>3326</v>
      </c>
      <c r="G2202" s="1181">
        <f t="shared" si="17"/>
        <v>0.38</v>
      </c>
      <c r="H2202" s="261">
        <v>25.033000000000001</v>
      </c>
      <c r="I2202" s="1189"/>
      <c r="J2202" s="16"/>
      <c r="K2202" s="16"/>
      <c r="L2202" s="16"/>
      <c r="M2202" s="16"/>
      <c r="N2202" s="16"/>
      <c r="O2202" s="16"/>
      <c r="P2202" s="16"/>
      <c r="Q2202" s="16"/>
      <c r="R2202" s="16"/>
      <c r="S2202" s="16"/>
      <c r="T2202" s="16"/>
      <c r="U2202" s="16"/>
      <c r="V2202" s="16"/>
      <c r="W2202" s="16"/>
      <c r="X2202" s="16"/>
      <c r="Y2202" s="16"/>
      <c r="Z2202" s="16"/>
      <c r="AA2202" s="16"/>
      <c r="AB2202" s="16"/>
      <c r="AC2202" s="16"/>
      <c r="AD2202" s="16"/>
      <c r="AE2202" s="16"/>
      <c r="AF2202" s="16"/>
      <c r="AG2202" s="16"/>
      <c r="AH2202" s="16"/>
      <c r="AI2202" s="16"/>
      <c r="AJ2202" s="16"/>
      <c r="AK2202" s="16"/>
      <c r="AL2202" s="16"/>
      <c r="AM2202" s="16"/>
      <c r="AN2202" s="16"/>
      <c r="AO2202" s="16"/>
      <c r="AP2202" s="16"/>
      <c r="AQ2202" s="16"/>
      <c r="AR2202" s="16"/>
      <c r="AS2202" s="16"/>
      <c r="AT2202" s="16"/>
      <c r="AU2202" s="16"/>
      <c r="AV2202" s="16"/>
      <c r="AW2202" s="16"/>
      <c r="AX2202" s="16"/>
      <c r="AY2202" s="16"/>
      <c r="AZ2202" s="16"/>
      <c r="BA2202" s="16"/>
      <c r="BB2202" s="16"/>
      <c r="BC2202" s="16"/>
      <c r="BD2202" s="16"/>
      <c r="BE2202" s="16"/>
      <c r="BF2202" s="16"/>
      <c r="BG2202" s="16"/>
      <c r="BH2202" s="16"/>
      <c r="BI2202" s="16"/>
      <c r="BJ2202" s="16"/>
      <c r="BK2202" s="16"/>
      <c r="BL2202" s="16"/>
      <c r="BM2202" s="16"/>
      <c r="BN2202" s="16"/>
      <c r="BO2202" s="16"/>
      <c r="BP2202" s="16"/>
      <c r="BQ2202" s="16"/>
      <c r="BR2202" s="16"/>
      <c r="BS2202" s="16"/>
      <c r="BT2202" s="16"/>
      <c r="BU2202" s="16"/>
      <c r="BV2202" s="16"/>
      <c r="BW2202" s="16"/>
      <c r="BX2202" s="16"/>
      <c r="BY2202" s="16"/>
      <c r="BZ2202" s="16"/>
      <c r="CA2202" s="16"/>
      <c r="CB2202" s="16"/>
      <c r="CC2202" s="16"/>
      <c r="CD2202" s="16"/>
      <c r="CE2202" s="16"/>
      <c r="CF2202" s="16"/>
      <c r="CG2202" s="16"/>
      <c r="CH2202" s="16"/>
      <c r="CI2202" s="16"/>
      <c r="CJ2202" s="16"/>
      <c r="CK2202" s="16"/>
      <c r="CL2202" s="16"/>
      <c r="CM2202" s="16"/>
      <c r="CN2202" s="16"/>
      <c r="CO2202" s="16"/>
      <c r="CP2202" s="16"/>
      <c r="CQ2202" s="16"/>
      <c r="CR2202" s="16"/>
      <c r="CS2202" s="16"/>
      <c r="CT2202" s="16"/>
      <c r="CU2202" s="16"/>
      <c r="CV2202" s="16"/>
      <c r="CW2202" s="16"/>
      <c r="CX2202" s="16"/>
      <c r="CY2202" s="16"/>
      <c r="CZ2202" s="16"/>
      <c r="DA2202" s="16"/>
      <c r="DB2202" s="16"/>
      <c r="DC2202" s="16"/>
      <c r="DD2202" s="16"/>
      <c r="DE2202" s="16"/>
      <c r="DF2202" s="16"/>
      <c r="DG2202" s="16"/>
      <c r="DH2202" s="16"/>
      <c r="DI2202" s="16"/>
      <c r="DJ2202" s="16"/>
      <c r="DK2202" s="16"/>
      <c r="DL2202" s="16"/>
      <c r="DM2202" s="16"/>
      <c r="DN2202" s="16"/>
      <c r="DO2202" s="16"/>
      <c r="DP2202" s="16"/>
    </row>
    <row r="2203" spans="1:120" s="252" customFormat="1" ht="15" customHeight="1">
      <c r="A2203" s="310" t="s">
        <v>3325</v>
      </c>
      <c r="B2203" s="1188">
        <v>9</v>
      </c>
      <c r="C2203" s="327">
        <v>30</v>
      </c>
      <c r="D2203" s="44" t="s">
        <v>211</v>
      </c>
      <c r="E2203" s="44" t="s">
        <v>6</v>
      </c>
      <c r="F2203" s="44" t="s">
        <v>3326</v>
      </c>
      <c r="G2203" s="1181">
        <f t="shared" si="17"/>
        <v>0.4</v>
      </c>
      <c r="H2203" s="261">
        <v>26.366</v>
      </c>
      <c r="I2203" s="1189"/>
      <c r="J2203" s="16"/>
      <c r="K2203" s="16"/>
      <c r="L2203" s="16"/>
      <c r="M2203" s="16"/>
      <c r="N2203" s="16"/>
      <c r="O2203" s="16"/>
      <c r="P2203" s="16"/>
      <c r="Q2203" s="16"/>
      <c r="R2203" s="16"/>
      <c r="S2203" s="16"/>
      <c r="T2203" s="16"/>
      <c r="U2203" s="16"/>
      <c r="V2203" s="16"/>
      <c r="W2203" s="16"/>
      <c r="X2203" s="16"/>
      <c r="Y2203" s="16"/>
      <c r="Z2203" s="16"/>
      <c r="AA2203" s="16"/>
      <c r="AB2203" s="16"/>
      <c r="AC2203" s="16"/>
      <c r="AD2203" s="16"/>
      <c r="AE2203" s="16"/>
      <c r="AF2203" s="16"/>
      <c r="AG2203" s="16"/>
      <c r="AH2203" s="16"/>
      <c r="AI2203" s="16"/>
      <c r="AJ2203" s="16"/>
      <c r="AK2203" s="16"/>
      <c r="AL2203" s="16"/>
      <c r="AM2203" s="16"/>
      <c r="AN2203" s="16"/>
      <c r="AO2203" s="16"/>
      <c r="AP2203" s="16"/>
      <c r="AQ2203" s="16"/>
      <c r="AR2203" s="16"/>
      <c r="AS2203" s="16"/>
      <c r="AT2203" s="16"/>
      <c r="AU2203" s="16"/>
      <c r="AV2203" s="16"/>
      <c r="AW2203" s="16"/>
      <c r="AX2203" s="16"/>
      <c r="AY2203" s="16"/>
      <c r="AZ2203" s="16"/>
      <c r="BA2203" s="16"/>
      <c r="BB2203" s="16"/>
      <c r="BC2203" s="16"/>
      <c r="BD2203" s="16"/>
      <c r="BE2203" s="16"/>
      <c r="BF2203" s="16"/>
      <c r="BG2203" s="16"/>
      <c r="BH2203" s="16"/>
      <c r="BI2203" s="16"/>
      <c r="BJ2203" s="16"/>
      <c r="BK2203" s="16"/>
      <c r="BL2203" s="16"/>
      <c r="BM2203" s="16"/>
      <c r="BN2203" s="16"/>
      <c r="BO2203" s="16"/>
      <c r="BP2203" s="16"/>
      <c r="BQ2203" s="16"/>
      <c r="BR2203" s="16"/>
      <c r="BS2203" s="16"/>
      <c r="BT2203" s="16"/>
      <c r="BU2203" s="16"/>
      <c r="BV2203" s="16"/>
      <c r="BW2203" s="16"/>
      <c r="BX2203" s="16"/>
      <c r="BY2203" s="16"/>
      <c r="BZ2203" s="16"/>
      <c r="CA2203" s="16"/>
      <c r="CB2203" s="16"/>
      <c r="CC2203" s="16"/>
      <c r="CD2203" s="16"/>
      <c r="CE2203" s="16"/>
      <c r="CF2203" s="16"/>
      <c r="CG2203" s="16"/>
      <c r="CH2203" s="16"/>
      <c r="CI2203" s="16"/>
      <c r="CJ2203" s="16"/>
      <c r="CK2203" s="16"/>
      <c r="CL2203" s="16"/>
      <c r="CM2203" s="16"/>
      <c r="CN2203" s="16"/>
      <c r="CO2203" s="16"/>
      <c r="CP2203" s="16"/>
      <c r="CQ2203" s="16"/>
      <c r="CR2203" s="16"/>
      <c r="CS2203" s="16"/>
      <c r="CT2203" s="16"/>
      <c r="CU2203" s="16"/>
      <c r="CV2203" s="16"/>
      <c r="CW2203" s="16"/>
      <c r="CX2203" s="16"/>
      <c r="CY2203" s="16"/>
      <c r="CZ2203" s="16"/>
      <c r="DA2203" s="16"/>
      <c r="DB2203" s="16"/>
      <c r="DC2203" s="16"/>
      <c r="DD2203" s="16"/>
      <c r="DE2203" s="16"/>
      <c r="DF2203" s="16"/>
      <c r="DG2203" s="16"/>
      <c r="DH2203" s="16"/>
      <c r="DI2203" s="16"/>
      <c r="DJ2203" s="16"/>
      <c r="DK2203" s="16"/>
      <c r="DL2203" s="16"/>
      <c r="DM2203" s="16"/>
      <c r="DN2203" s="16"/>
      <c r="DO2203" s="16"/>
      <c r="DP2203" s="16"/>
    </row>
    <row r="2204" spans="1:120" s="252" customFormat="1" ht="15" customHeight="1">
      <c r="A2204" s="310" t="s">
        <v>3325</v>
      </c>
      <c r="B2204" s="1188">
        <v>12</v>
      </c>
      <c r="C2204" s="327">
        <v>30</v>
      </c>
      <c r="D2204" s="44" t="s">
        <v>211</v>
      </c>
      <c r="E2204" s="44" t="s">
        <v>6</v>
      </c>
      <c r="F2204" s="44" t="s">
        <v>3326</v>
      </c>
      <c r="G2204" s="1181">
        <f t="shared" si="17"/>
        <v>0.46</v>
      </c>
      <c r="H2204" s="260">
        <v>30.033000000000001</v>
      </c>
      <c r="I2204" s="1189"/>
      <c r="J2204" s="16"/>
      <c r="K2204" s="16"/>
      <c r="L2204" s="16"/>
      <c r="M2204" s="16"/>
      <c r="N2204" s="16"/>
      <c r="O2204" s="16"/>
      <c r="P2204" s="16"/>
      <c r="Q2204" s="16"/>
      <c r="R2204" s="16"/>
      <c r="S2204" s="16"/>
      <c r="T2204" s="16"/>
      <c r="U2204" s="16"/>
      <c r="V2204" s="16"/>
      <c r="W2204" s="16"/>
      <c r="X2204" s="16"/>
      <c r="Y2204" s="16"/>
      <c r="Z2204" s="16"/>
      <c r="AA2204" s="16"/>
      <c r="AB2204" s="16"/>
      <c r="AC2204" s="16"/>
      <c r="AD2204" s="16"/>
      <c r="AE2204" s="16"/>
      <c r="AF2204" s="16"/>
      <c r="AG2204" s="16"/>
      <c r="AH2204" s="16"/>
      <c r="AI2204" s="16"/>
      <c r="AJ2204" s="16"/>
      <c r="AK2204" s="16"/>
      <c r="AL2204" s="16"/>
      <c r="AM2204" s="16"/>
      <c r="AN2204" s="16"/>
      <c r="AO2204" s="16"/>
      <c r="AP2204" s="16"/>
      <c r="AQ2204" s="16"/>
      <c r="AR2204" s="16"/>
      <c r="AS2204" s="16"/>
      <c r="AT2204" s="16"/>
      <c r="AU2204" s="16"/>
      <c r="AV2204" s="16"/>
      <c r="AW2204" s="16"/>
      <c r="AX2204" s="16"/>
      <c r="AY2204" s="16"/>
      <c r="AZ2204" s="16"/>
      <c r="BA2204" s="16"/>
      <c r="BB2204" s="16"/>
      <c r="BC2204" s="16"/>
      <c r="BD2204" s="16"/>
      <c r="BE2204" s="16"/>
      <c r="BF2204" s="16"/>
      <c r="BG2204" s="16"/>
      <c r="BH2204" s="16"/>
      <c r="BI2204" s="16"/>
      <c r="BJ2204" s="16"/>
      <c r="BK2204" s="16"/>
      <c r="BL2204" s="16"/>
      <c r="BM2204" s="16"/>
      <c r="BN2204" s="16"/>
      <c r="BO2204" s="16"/>
      <c r="BP2204" s="16"/>
      <c r="BQ2204" s="16"/>
      <c r="BR2204" s="16"/>
      <c r="BS2204" s="16"/>
      <c r="BT2204" s="16"/>
      <c r="BU2204" s="16"/>
      <c r="BV2204" s="16"/>
      <c r="BW2204" s="16"/>
      <c r="BX2204" s="16"/>
      <c r="BY2204" s="16"/>
      <c r="BZ2204" s="16"/>
      <c r="CA2204" s="16"/>
      <c r="CB2204" s="16"/>
      <c r="CC2204" s="16"/>
      <c r="CD2204" s="16"/>
      <c r="CE2204" s="16"/>
      <c r="CF2204" s="16"/>
      <c r="CG2204" s="16"/>
      <c r="CH2204" s="16"/>
      <c r="CI2204" s="16"/>
      <c r="CJ2204" s="16"/>
      <c r="CK2204" s="16"/>
      <c r="CL2204" s="16"/>
      <c r="CM2204" s="16"/>
      <c r="CN2204" s="16"/>
      <c r="CO2204" s="16"/>
      <c r="CP2204" s="16"/>
      <c r="CQ2204" s="16"/>
      <c r="CR2204" s="16"/>
      <c r="CS2204" s="16"/>
      <c r="CT2204" s="16"/>
      <c r="CU2204" s="16"/>
      <c r="CV2204" s="16"/>
      <c r="CW2204" s="16"/>
      <c r="CX2204" s="16"/>
      <c r="CY2204" s="16"/>
      <c r="CZ2204" s="16"/>
      <c r="DA2204" s="16"/>
      <c r="DB2204" s="16"/>
      <c r="DC2204" s="16"/>
      <c r="DD2204" s="16"/>
      <c r="DE2204" s="16"/>
      <c r="DF2204" s="16"/>
      <c r="DG2204" s="16"/>
      <c r="DH2204" s="16"/>
      <c r="DI2204" s="16"/>
      <c r="DJ2204" s="16"/>
      <c r="DK2204" s="16"/>
      <c r="DL2204" s="16"/>
      <c r="DM2204" s="16"/>
      <c r="DN2204" s="16"/>
      <c r="DO2204" s="16"/>
      <c r="DP2204" s="16"/>
    </row>
    <row r="2205" spans="1:120" s="252" customFormat="1" ht="15" customHeight="1">
      <c r="A2205" s="310" t="s">
        <v>3325</v>
      </c>
      <c r="B2205" s="1188">
        <v>15</v>
      </c>
      <c r="C2205" s="327">
        <v>30</v>
      </c>
      <c r="D2205" s="44" t="s">
        <v>211</v>
      </c>
      <c r="E2205" s="44" t="s">
        <v>6</v>
      </c>
      <c r="F2205" s="44" t="s">
        <v>3326</v>
      </c>
      <c r="G2205" s="1181">
        <f t="shared" si="17"/>
        <v>0.54</v>
      </c>
      <c r="H2205" s="260">
        <v>35.433</v>
      </c>
      <c r="I2205" s="1189"/>
      <c r="J2205" s="16"/>
      <c r="K2205" s="16"/>
      <c r="L2205" s="16"/>
      <c r="M2205" s="16"/>
      <c r="N2205" s="16"/>
      <c r="O2205" s="16"/>
      <c r="P2205" s="16"/>
      <c r="Q2205" s="16"/>
      <c r="R2205" s="16"/>
      <c r="S2205" s="16"/>
      <c r="T2205" s="16"/>
      <c r="U2205" s="16"/>
      <c r="V2205" s="16"/>
      <c r="W2205" s="16"/>
      <c r="X2205" s="16"/>
      <c r="Y2205" s="16"/>
      <c r="Z2205" s="16"/>
      <c r="AA2205" s="16"/>
      <c r="AB2205" s="16"/>
      <c r="AC2205" s="16"/>
      <c r="AD2205" s="16"/>
      <c r="AE2205" s="16"/>
      <c r="AF2205" s="16"/>
      <c r="AG2205" s="16"/>
      <c r="AH2205" s="16"/>
      <c r="AI2205" s="16"/>
      <c r="AJ2205" s="16"/>
      <c r="AK2205" s="16"/>
      <c r="AL2205" s="16"/>
      <c r="AM2205" s="16"/>
      <c r="AN2205" s="16"/>
      <c r="AO2205" s="16"/>
      <c r="AP2205" s="16"/>
      <c r="AQ2205" s="16"/>
      <c r="AR2205" s="16"/>
      <c r="AS2205" s="16"/>
      <c r="AT2205" s="16"/>
      <c r="AU2205" s="16"/>
      <c r="AV2205" s="16"/>
      <c r="AW2205" s="16"/>
      <c r="AX2205" s="16"/>
      <c r="AY2205" s="16"/>
      <c r="AZ2205" s="16"/>
      <c r="BA2205" s="16"/>
      <c r="BB2205" s="16"/>
      <c r="BC2205" s="16"/>
      <c r="BD2205" s="16"/>
      <c r="BE2205" s="16"/>
      <c r="BF2205" s="16"/>
      <c r="BG2205" s="16"/>
      <c r="BH2205" s="16"/>
      <c r="BI2205" s="16"/>
      <c r="BJ2205" s="16"/>
      <c r="BK2205" s="16"/>
      <c r="BL2205" s="16"/>
      <c r="BM2205" s="16"/>
      <c r="BN2205" s="16"/>
      <c r="BO2205" s="16"/>
      <c r="BP2205" s="16"/>
      <c r="BQ2205" s="16"/>
      <c r="BR2205" s="16"/>
      <c r="BS2205" s="16"/>
      <c r="BT2205" s="16"/>
      <c r="BU2205" s="16"/>
      <c r="BV2205" s="16"/>
      <c r="BW2205" s="16"/>
      <c r="BX2205" s="16"/>
      <c r="BY2205" s="16"/>
      <c r="BZ2205" s="16"/>
      <c r="CA2205" s="16"/>
      <c r="CB2205" s="16"/>
      <c r="CC2205" s="16"/>
      <c r="CD2205" s="16"/>
      <c r="CE2205" s="16"/>
      <c r="CF2205" s="16"/>
      <c r="CG2205" s="16"/>
      <c r="CH2205" s="16"/>
      <c r="CI2205" s="16"/>
      <c r="CJ2205" s="16"/>
      <c r="CK2205" s="16"/>
      <c r="CL2205" s="16"/>
      <c r="CM2205" s="16"/>
      <c r="CN2205" s="16"/>
      <c r="CO2205" s="16"/>
      <c r="CP2205" s="16"/>
      <c r="CQ2205" s="16"/>
      <c r="CR2205" s="16"/>
      <c r="CS2205" s="16"/>
      <c r="CT2205" s="16"/>
      <c r="CU2205" s="16"/>
      <c r="CV2205" s="16"/>
      <c r="CW2205" s="16"/>
      <c r="CX2205" s="16"/>
      <c r="CY2205" s="16"/>
      <c r="CZ2205" s="16"/>
      <c r="DA2205" s="16"/>
      <c r="DB2205" s="16"/>
      <c r="DC2205" s="16"/>
      <c r="DD2205" s="16"/>
      <c r="DE2205" s="16"/>
      <c r="DF2205" s="16"/>
      <c r="DG2205" s="16"/>
      <c r="DH2205" s="16"/>
      <c r="DI2205" s="16"/>
      <c r="DJ2205" s="16"/>
      <c r="DK2205" s="16"/>
      <c r="DL2205" s="16"/>
      <c r="DM2205" s="16"/>
      <c r="DN2205" s="16"/>
      <c r="DO2205" s="16"/>
      <c r="DP2205" s="16"/>
    </row>
    <row r="2206" spans="1:120" s="252" customFormat="1" ht="15" customHeight="1">
      <c r="A2206" s="310" t="s">
        <v>3325</v>
      </c>
      <c r="B2206" s="1188">
        <v>19</v>
      </c>
      <c r="C2206" s="327">
        <v>30</v>
      </c>
      <c r="D2206" s="44" t="s">
        <v>211</v>
      </c>
      <c r="E2206" s="44" t="s">
        <v>6</v>
      </c>
      <c r="F2206" s="44" t="s">
        <v>3326</v>
      </c>
      <c r="G2206" s="1181">
        <f t="shared" si="17"/>
        <v>0.63</v>
      </c>
      <c r="H2206" s="260">
        <v>41.4</v>
      </c>
      <c r="I2206" s="1189"/>
      <c r="J2206" s="16"/>
      <c r="K2206" s="16"/>
      <c r="L2206" s="16"/>
      <c r="M2206" s="16"/>
      <c r="N2206" s="16"/>
      <c r="O2206" s="16"/>
      <c r="P2206" s="16"/>
      <c r="Q2206" s="16"/>
      <c r="R2206" s="16"/>
      <c r="S2206" s="16"/>
      <c r="T2206" s="16"/>
      <c r="U2206" s="16"/>
      <c r="V2206" s="16"/>
      <c r="W2206" s="16"/>
      <c r="X2206" s="16"/>
      <c r="Y2206" s="16"/>
      <c r="Z2206" s="16"/>
      <c r="AA2206" s="16"/>
      <c r="AB2206" s="16"/>
      <c r="AC2206" s="16"/>
      <c r="AD2206" s="16"/>
      <c r="AE2206" s="16"/>
      <c r="AF2206" s="16"/>
      <c r="AG2206" s="16"/>
      <c r="AH2206" s="16"/>
      <c r="AI2206" s="16"/>
      <c r="AJ2206" s="16"/>
      <c r="AK2206" s="16"/>
      <c r="AL2206" s="16"/>
      <c r="AM2206" s="16"/>
      <c r="AN2206" s="16"/>
      <c r="AO2206" s="16"/>
      <c r="AP2206" s="16"/>
      <c r="AQ2206" s="16"/>
      <c r="AR2206" s="16"/>
      <c r="AS2206" s="16"/>
      <c r="AT2206" s="16"/>
      <c r="AU2206" s="16"/>
      <c r="AV2206" s="16"/>
      <c r="AW2206" s="16"/>
      <c r="AX2206" s="16"/>
      <c r="AY2206" s="16"/>
      <c r="AZ2206" s="16"/>
      <c r="BA2206" s="16"/>
      <c r="BB2206" s="16"/>
      <c r="BC2206" s="16"/>
      <c r="BD2206" s="16"/>
      <c r="BE2206" s="16"/>
      <c r="BF2206" s="16"/>
      <c r="BG2206" s="16"/>
      <c r="BH2206" s="16"/>
      <c r="BI2206" s="16"/>
      <c r="BJ2206" s="16"/>
      <c r="BK2206" s="16"/>
      <c r="BL2206" s="16"/>
      <c r="BM2206" s="16"/>
      <c r="BN2206" s="16"/>
      <c r="BO2206" s="16"/>
      <c r="BP2206" s="16"/>
      <c r="BQ2206" s="16"/>
      <c r="BR2206" s="16"/>
      <c r="BS2206" s="16"/>
      <c r="BT2206" s="16"/>
      <c r="BU2206" s="16"/>
      <c r="BV2206" s="16"/>
      <c r="BW2206" s="16"/>
      <c r="BX2206" s="16"/>
      <c r="BY2206" s="16"/>
      <c r="BZ2206" s="16"/>
      <c r="CA2206" s="16"/>
      <c r="CB2206" s="16"/>
      <c r="CC2206" s="16"/>
      <c r="CD2206" s="16"/>
      <c r="CE2206" s="16"/>
      <c r="CF2206" s="16"/>
      <c r="CG2206" s="16"/>
      <c r="CH2206" s="16"/>
      <c r="CI2206" s="16"/>
      <c r="CJ2206" s="16"/>
      <c r="CK2206" s="16"/>
      <c r="CL2206" s="16"/>
      <c r="CM2206" s="16"/>
      <c r="CN2206" s="16"/>
      <c r="CO2206" s="16"/>
      <c r="CP2206" s="16"/>
      <c r="CQ2206" s="16"/>
      <c r="CR2206" s="16"/>
      <c r="CS2206" s="16"/>
      <c r="CT2206" s="16"/>
      <c r="CU2206" s="16"/>
      <c r="CV2206" s="16"/>
      <c r="CW2206" s="16"/>
      <c r="CX2206" s="16"/>
      <c r="CY2206" s="16"/>
      <c r="CZ2206" s="16"/>
      <c r="DA2206" s="16"/>
      <c r="DB2206" s="16"/>
      <c r="DC2206" s="16"/>
      <c r="DD2206" s="16"/>
      <c r="DE2206" s="16"/>
      <c r="DF2206" s="16"/>
      <c r="DG2206" s="16"/>
      <c r="DH2206" s="16"/>
      <c r="DI2206" s="16"/>
      <c r="DJ2206" s="16"/>
      <c r="DK2206" s="16"/>
      <c r="DL2206" s="16"/>
      <c r="DM2206" s="16"/>
      <c r="DN2206" s="16"/>
      <c r="DO2206" s="16"/>
      <c r="DP2206" s="16"/>
    </row>
    <row r="2207" spans="1:120" s="252" customFormat="1" ht="15" customHeight="1">
      <c r="A2207" s="310" t="s">
        <v>3325</v>
      </c>
      <c r="B2207" s="1188">
        <v>25</v>
      </c>
      <c r="C2207" s="327">
        <v>30</v>
      </c>
      <c r="D2207" s="44" t="s">
        <v>211</v>
      </c>
      <c r="E2207" s="44" t="s">
        <v>6</v>
      </c>
      <c r="F2207" s="44" t="s">
        <v>3326</v>
      </c>
      <c r="G2207" s="1181">
        <f t="shared" si="17"/>
        <v>0.8</v>
      </c>
      <c r="H2207" s="261">
        <v>52.765999999999998</v>
      </c>
      <c r="I2207" s="1189"/>
      <c r="J2207" s="16"/>
      <c r="K2207" s="16"/>
      <c r="L2207" s="16"/>
      <c r="M2207" s="16"/>
      <c r="N2207" s="16"/>
      <c r="O2207" s="16"/>
      <c r="P2207" s="16"/>
      <c r="Q2207" s="16"/>
      <c r="R2207" s="16"/>
      <c r="S2207" s="16"/>
      <c r="T2207" s="16"/>
      <c r="U2207" s="16"/>
      <c r="V2207" s="16"/>
      <c r="W2207" s="16"/>
      <c r="X2207" s="16"/>
      <c r="Y2207" s="16"/>
      <c r="Z2207" s="16"/>
      <c r="AA2207" s="16"/>
      <c r="AB2207" s="16"/>
      <c r="AC2207" s="16"/>
      <c r="AD2207" s="16"/>
      <c r="AE2207" s="16"/>
      <c r="AF2207" s="16"/>
      <c r="AG2207" s="16"/>
      <c r="AH2207" s="16"/>
      <c r="AI2207" s="16"/>
      <c r="AJ2207" s="16"/>
      <c r="AK2207" s="16"/>
      <c r="AL2207" s="16"/>
      <c r="AM2207" s="16"/>
      <c r="AN2207" s="16"/>
      <c r="AO2207" s="16"/>
      <c r="AP2207" s="16"/>
      <c r="AQ2207" s="16"/>
      <c r="AR2207" s="16"/>
      <c r="AS2207" s="16"/>
      <c r="AT2207" s="16"/>
      <c r="AU2207" s="16"/>
      <c r="AV2207" s="16"/>
      <c r="AW2207" s="16"/>
      <c r="AX2207" s="16"/>
      <c r="AY2207" s="16"/>
      <c r="AZ2207" s="16"/>
      <c r="BA2207" s="16"/>
      <c r="BB2207" s="16"/>
      <c r="BC2207" s="16"/>
      <c r="BD2207" s="16"/>
      <c r="BE2207" s="16"/>
      <c r="BF2207" s="16"/>
      <c r="BG2207" s="16"/>
      <c r="BH2207" s="16"/>
      <c r="BI2207" s="16"/>
      <c r="BJ2207" s="16"/>
      <c r="BK2207" s="16"/>
      <c r="BL2207" s="16"/>
      <c r="BM2207" s="16"/>
      <c r="BN2207" s="16"/>
      <c r="BO2207" s="16"/>
      <c r="BP2207" s="16"/>
      <c r="BQ2207" s="16"/>
      <c r="BR2207" s="16"/>
      <c r="BS2207" s="16"/>
      <c r="BT2207" s="16"/>
      <c r="BU2207" s="16"/>
      <c r="BV2207" s="16"/>
      <c r="BW2207" s="16"/>
      <c r="BX2207" s="16"/>
      <c r="BY2207" s="16"/>
      <c r="BZ2207" s="16"/>
      <c r="CA2207" s="16"/>
      <c r="CB2207" s="16"/>
      <c r="CC2207" s="16"/>
      <c r="CD2207" s="16"/>
      <c r="CE2207" s="16"/>
      <c r="CF2207" s="16"/>
      <c r="CG2207" s="16"/>
      <c r="CH2207" s="16"/>
      <c r="CI2207" s="16"/>
      <c r="CJ2207" s="16"/>
      <c r="CK2207" s="16"/>
      <c r="CL2207" s="16"/>
      <c r="CM2207" s="16"/>
      <c r="CN2207" s="16"/>
      <c r="CO2207" s="16"/>
      <c r="CP2207" s="16"/>
      <c r="CQ2207" s="16"/>
      <c r="CR2207" s="16"/>
      <c r="CS2207" s="16"/>
      <c r="CT2207" s="16"/>
      <c r="CU2207" s="16"/>
      <c r="CV2207" s="16"/>
      <c r="CW2207" s="16"/>
      <c r="CX2207" s="16"/>
      <c r="CY2207" s="16"/>
      <c r="CZ2207" s="16"/>
      <c r="DA2207" s="16"/>
      <c r="DB2207" s="16"/>
      <c r="DC2207" s="16"/>
      <c r="DD2207" s="16"/>
      <c r="DE2207" s="16"/>
      <c r="DF2207" s="16"/>
      <c r="DG2207" s="16"/>
      <c r="DH2207" s="16"/>
      <c r="DI2207" s="16"/>
      <c r="DJ2207" s="16"/>
      <c r="DK2207" s="16"/>
      <c r="DL2207" s="16"/>
      <c r="DM2207" s="16"/>
      <c r="DN2207" s="16"/>
      <c r="DO2207" s="16"/>
      <c r="DP2207" s="16"/>
    </row>
    <row r="2208" spans="1:120" s="252" customFormat="1" ht="15" customHeight="1">
      <c r="A2208" s="310" t="s">
        <v>3325</v>
      </c>
      <c r="B2208" s="1188">
        <v>32</v>
      </c>
      <c r="C2208" s="327">
        <v>30</v>
      </c>
      <c r="D2208" s="44" t="s">
        <v>211</v>
      </c>
      <c r="E2208" s="44" t="s">
        <v>6</v>
      </c>
      <c r="F2208" s="44" t="s">
        <v>3326</v>
      </c>
      <c r="G2208" s="1181">
        <f t="shared" si="17"/>
        <v>1.05</v>
      </c>
      <c r="H2208" s="261">
        <v>69.132999999999996</v>
      </c>
      <c r="I2208" s="1189"/>
      <c r="J2208" s="16"/>
      <c r="K2208" s="16"/>
      <c r="L2208" s="16"/>
      <c r="M2208" s="16"/>
      <c r="N2208" s="16"/>
      <c r="O2208" s="16"/>
      <c r="P2208" s="16"/>
      <c r="Q2208" s="16"/>
      <c r="R2208" s="16"/>
      <c r="S2208" s="16"/>
      <c r="T2208" s="16"/>
      <c r="U2208" s="16"/>
      <c r="V2208" s="16"/>
      <c r="W2208" s="16"/>
      <c r="X2208" s="16"/>
      <c r="Y2208" s="16"/>
      <c r="Z2208" s="16"/>
      <c r="AA2208" s="16"/>
      <c r="AB2208" s="16"/>
      <c r="AC2208" s="16"/>
      <c r="AD2208" s="16"/>
      <c r="AE2208" s="16"/>
      <c r="AF2208" s="16"/>
      <c r="AG2208" s="16"/>
      <c r="AH2208" s="16"/>
      <c r="AI2208" s="16"/>
      <c r="AJ2208" s="16"/>
      <c r="AK2208" s="16"/>
      <c r="AL2208" s="16"/>
      <c r="AM2208" s="16"/>
      <c r="AN2208" s="16"/>
      <c r="AO2208" s="16"/>
      <c r="AP2208" s="16"/>
      <c r="AQ2208" s="16"/>
      <c r="AR2208" s="16"/>
      <c r="AS2208" s="16"/>
      <c r="AT2208" s="16"/>
      <c r="AU2208" s="16"/>
      <c r="AV2208" s="16"/>
      <c r="AW2208" s="16"/>
      <c r="AX2208" s="16"/>
      <c r="AY2208" s="16"/>
      <c r="AZ2208" s="16"/>
      <c r="BA2208" s="16"/>
      <c r="BB2208" s="16"/>
      <c r="BC2208" s="16"/>
      <c r="BD2208" s="16"/>
      <c r="BE2208" s="16"/>
      <c r="BF2208" s="16"/>
      <c r="BG2208" s="16"/>
      <c r="BH2208" s="16"/>
      <c r="BI2208" s="16"/>
      <c r="BJ2208" s="16"/>
      <c r="BK2208" s="16"/>
      <c r="BL2208" s="16"/>
      <c r="BM2208" s="16"/>
      <c r="BN2208" s="16"/>
      <c r="BO2208" s="16"/>
      <c r="BP2208" s="16"/>
      <c r="BQ2208" s="16"/>
      <c r="BR2208" s="16"/>
      <c r="BS2208" s="16"/>
      <c r="BT2208" s="16"/>
      <c r="BU2208" s="16"/>
      <c r="BV2208" s="16"/>
      <c r="BW2208" s="16"/>
      <c r="BX2208" s="16"/>
      <c r="BY2208" s="16"/>
      <c r="BZ2208" s="16"/>
      <c r="CA2208" s="16"/>
      <c r="CB2208" s="16"/>
      <c r="CC2208" s="16"/>
      <c r="CD2208" s="16"/>
      <c r="CE2208" s="16"/>
      <c r="CF2208" s="16"/>
      <c r="CG2208" s="16"/>
      <c r="CH2208" s="16"/>
      <c r="CI2208" s="16"/>
      <c r="CJ2208" s="16"/>
      <c r="CK2208" s="16"/>
      <c r="CL2208" s="16"/>
      <c r="CM2208" s="16"/>
      <c r="CN2208" s="16"/>
      <c r="CO2208" s="16"/>
      <c r="CP2208" s="16"/>
      <c r="CQ2208" s="16"/>
      <c r="CR2208" s="16"/>
      <c r="CS2208" s="16"/>
      <c r="CT2208" s="16"/>
      <c r="CU2208" s="16"/>
      <c r="CV2208" s="16"/>
      <c r="CW2208" s="16"/>
      <c r="CX2208" s="16"/>
      <c r="CY2208" s="16"/>
      <c r="CZ2208" s="16"/>
      <c r="DA2208" s="16"/>
      <c r="DB2208" s="16"/>
      <c r="DC2208" s="16"/>
      <c r="DD2208" s="16"/>
      <c r="DE2208" s="16"/>
      <c r="DF2208" s="16"/>
      <c r="DG2208" s="16"/>
      <c r="DH2208" s="16"/>
      <c r="DI2208" s="16"/>
      <c r="DJ2208" s="16"/>
      <c r="DK2208" s="16"/>
      <c r="DL2208" s="16"/>
      <c r="DM2208" s="16"/>
      <c r="DN2208" s="16"/>
      <c r="DO2208" s="16"/>
      <c r="DP2208" s="16"/>
    </row>
    <row r="2209" spans="1:120" s="252" customFormat="1" ht="15" customHeight="1">
      <c r="A2209" s="310" t="s">
        <v>3325</v>
      </c>
      <c r="B2209" s="1188">
        <v>38</v>
      </c>
      <c r="C2209" s="327">
        <v>30</v>
      </c>
      <c r="D2209" s="44" t="s">
        <v>211</v>
      </c>
      <c r="E2209" s="44" t="s">
        <v>6</v>
      </c>
      <c r="F2209" s="44" t="s">
        <v>3326</v>
      </c>
      <c r="G2209" s="1181">
        <f t="shared" si="17"/>
        <v>1.34</v>
      </c>
      <c r="H2209" s="260">
        <v>88.566000000000003</v>
      </c>
      <c r="I2209" s="1189"/>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16"/>
      <c r="AH2209" s="16"/>
      <c r="AI2209" s="16"/>
      <c r="AJ2209" s="16"/>
      <c r="AK2209" s="16"/>
      <c r="AL2209" s="16"/>
      <c r="AM2209" s="16"/>
      <c r="AN2209" s="16"/>
      <c r="AO2209" s="16"/>
      <c r="AP2209" s="16"/>
      <c r="AQ2209" s="16"/>
      <c r="AR2209" s="16"/>
      <c r="AS2209" s="16"/>
      <c r="AT2209" s="16"/>
      <c r="AU2209" s="16"/>
      <c r="AV2209" s="16"/>
      <c r="AW2209" s="16"/>
      <c r="AX2209" s="16"/>
      <c r="AY2209" s="16"/>
      <c r="AZ2209" s="16"/>
      <c r="BA2209" s="16"/>
      <c r="BB2209" s="16"/>
      <c r="BC2209" s="16"/>
      <c r="BD2209" s="16"/>
      <c r="BE2209" s="16"/>
      <c r="BF2209" s="16"/>
      <c r="BG2209" s="16"/>
      <c r="BH2209" s="16"/>
      <c r="BI2209" s="16"/>
      <c r="BJ2209" s="16"/>
      <c r="BK2209" s="16"/>
      <c r="BL2209" s="16"/>
      <c r="BM2209" s="16"/>
      <c r="BN2209" s="16"/>
      <c r="BO2209" s="16"/>
      <c r="BP2209" s="16"/>
      <c r="BQ2209" s="16"/>
      <c r="BR2209" s="16"/>
      <c r="BS2209" s="16"/>
      <c r="BT2209" s="16"/>
      <c r="BU2209" s="16"/>
      <c r="BV2209" s="16"/>
      <c r="BW2209" s="16"/>
      <c r="BX2209" s="16"/>
      <c r="BY2209" s="16"/>
      <c r="BZ2209" s="16"/>
      <c r="CA2209" s="16"/>
      <c r="CB2209" s="16"/>
      <c r="CC2209" s="16"/>
      <c r="CD2209" s="16"/>
      <c r="CE2209" s="16"/>
      <c r="CF2209" s="16"/>
      <c r="CG2209" s="16"/>
      <c r="CH2209" s="16"/>
      <c r="CI2209" s="16"/>
      <c r="CJ2209" s="16"/>
      <c r="CK2209" s="16"/>
      <c r="CL2209" s="16"/>
      <c r="CM2209" s="16"/>
      <c r="CN2209" s="16"/>
      <c r="CO2209" s="16"/>
      <c r="CP2209" s="16"/>
      <c r="CQ2209" s="16"/>
      <c r="CR2209" s="16"/>
      <c r="CS2209" s="16"/>
      <c r="CT2209" s="16"/>
      <c r="CU2209" s="16"/>
      <c r="CV2209" s="16"/>
      <c r="CW2209" s="16"/>
      <c r="CX2209" s="16"/>
      <c r="CY2209" s="16"/>
      <c r="CZ2209" s="16"/>
      <c r="DA2209" s="16"/>
      <c r="DB2209" s="16"/>
      <c r="DC2209" s="16"/>
      <c r="DD2209" s="16"/>
      <c r="DE2209" s="16"/>
      <c r="DF2209" s="16"/>
      <c r="DG2209" s="16"/>
      <c r="DH2209" s="16"/>
      <c r="DI2209" s="16"/>
      <c r="DJ2209" s="16"/>
      <c r="DK2209" s="16"/>
      <c r="DL2209" s="16"/>
      <c r="DM2209" s="16"/>
      <c r="DN2209" s="16"/>
      <c r="DO2209" s="16"/>
      <c r="DP2209" s="16"/>
    </row>
    <row r="2210" spans="1:120" s="252" customFormat="1" ht="15" customHeight="1">
      <c r="A2210" s="310" t="s">
        <v>3325</v>
      </c>
      <c r="B2210" s="1188">
        <v>50</v>
      </c>
      <c r="C2210" s="327">
        <v>30</v>
      </c>
      <c r="D2210" s="44" t="s">
        <v>211</v>
      </c>
      <c r="E2210" s="44" t="s">
        <v>6</v>
      </c>
      <c r="F2210" s="44" t="s">
        <v>3326</v>
      </c>
      <c r="G2210" s="1181">
        <f t="shared" si="17"/>
        <v>2.2199999999999998</v>
      </c>
      <c r="H2210" s="260">
        <v>147.066</v>
      </c>
      <c r="I2210" s="1189"/>
      <c r="J2210" s="16"/>
      <c r="K2210" s="16"/>
      <c r="L2210" s="16"/>
      <c r="M2210" s="16"/>
      <c r="N2210" s="16"/>
      <c r="O2210" s="16"/>
      <c r="P2210" s="16"/>
      <c r="Q2210" s="16"/>
      <c r="R2210" s="16"/>
      <c r="S2210" s="16"/>
      <c r="T2210" s="16"/>
      <c r="U2210" s="16"/>
      <c r="V2210" s="16"/>
      <c r="W2210" s="16"/>
      <c r="X2210" s="16"/>
      <c r="Y2210" s="16"/>
      <c r="Z2210" s="16"/>
      <c r="AA2210" s="16"/>
      <c r="AB2210" s="16"/>
      <c r="AC2210" s="16"/>
      <c r="AD2210" s="16"/>
      <c r="AE2210" s="16"/>
      <c r="AF2210" s="16"/>
      <c r="AG2210" s="16"/>
      <c r="AH2210" s="16"/>
      <c r="AI2210" s="16"/>
      <c r="AJ2210" s="16"/>
      <c r="AK2210" s="16"/>
      <c r="AL2210" s="16"/>
      <c r="AM2210" s="16"/>
      <c r="AN2210" s="16"/>
      <c r="AO2210" s="16"/>
      <c r="AP2210" s="16"/>
      <c r="AQ2210" s="16"/>
      <c r="AR2210" s="16"/>
      <c r="AS2210" s="16"/>
      <c r="AT2210" s="16"/>
      <c r="AU2210" s="16"/>
      <c r="AV2210" s="16"/>
      <c r="AW2210" s="16"/>
      <c r="AX2210" s="16"/>
      <c r="AY2210" s="16"/>
      <c r="AZ2210" s="16"/>
      <c r="BA2210" s="16"/>
      <c r="BB2210" s="16"/>
      <c r="BC2210" s="16"/>
      <c r="BD2210" s="16"/>
      <c r="BE2210" s="16"/>
      <c r="BF2210" s="16"/>
      <c r="BG2210" s="16"/>
      <c r="BH2210" s="16"/>
      <c r="BI2210" s="16"/>
      <c r="BJ2210" s="16"/>
      <c r="BK2210" s="16"/>
      <c r="BL2210" s="16"/>
      <c r="BM2210" s="16"/>
      <c r="BN2210" s="16"/>
      <c r="BO2210" s="16"/>
      <c r="BP2210" s="16"/>
      <c r="BQ2210" s="16"/>
      <c r="BR2210" s="16"/>
      <c r="BS2210" s="16"/>
      <c r="BT2210" s="16"/>
      <c r="BU2210" s="16"/>
      <c r="BV2210" s="16"/>
      <c r="BW2210" s="16"/>
      <c r="BX2210" s="16"/>
      <c r="BY2210" s="16"/>
      <c r="BZ2210" s="16"/>
      <c r="CA2210" s="16"/>
      <c r="CB2210" s="16"/>
      <c r="CC2210" s="16"/>
      <c r="CD2210" s="16"/>
      <c r="CE2210" s="16"/>
      <c r="CF2210" s="16"/>
      <c r="CG2210" s="16"/>
      <c r="CH2210" s="16"/>
      <c r="CI2210" s="16"/>
      <c r="CJ2210" s="16"/>
      <c r="CK2210" s="16"/>
      <c r="CL2210" s="16"/>
      <c r="CM2210" s="16"/>
      <c r="CN2210" s="16"/>
      <c r="CO2210" s="16"/>
      <c r="CP2210" s="16"/>
      <c r="CQ2210" s="16"/>
      <c r="CR2210" s="16"/>
      <c r="CS2210" s="16"/>
      <c r="CT2210" s="16"/>
      <c r="CU2210" s="16"/>
      <c r="CV2210" s="16"/>
      <c r="CW2210" s="16"/>
      <c r="CX2210" s="16"/>
      <c r="CY2210" s="16"/>
      <c r="CZ2210" s="16"/>
      <c r="DA2210" s="16"/>
      <c r="DB2210" s="16"/>
      <c r="DC2210" s="16"/>
      <c r="DD2210" s="16"/>
      <c r="DE2210" s="16"/>
      <c r="DF2210" s="16"/>
      <c r="DG2210" s="16"/>
      <c r="DH2210" s="16"/>
      <c r="DI2210" s="16"/>
      <c r="DJ2210" s="16"/>
      <c r="DK2210" s="16"/>
      <c r="DL2210" s="16"/>
      <c r="DM2210" s="16"/>
      <c r="DN2210" s="16"/>
      <c r="DO2210" s="16"/>
      <c r="DP2210" s="16"/>
    </row>
    <row r="2211" spans="1:120" s="252" customFormat="1" ht="15" customHeight="1">
      <c r="A2211" s="310" t="s">
        <v>3325</v>
      </c>
      <c r="B2211" s="1188">
        <v>75</v>
      </c>
      <c r="C2211" s="327">
        <v>30</v>
      </c>
      <c r="D2211" s="44" t="s">
        <v>211</v>
      </c>
      <c r="E2211" s="44" t="s">
        <v>6</v>
      </c>
      <c r="F2211" s="44" t="s">
        <v>3326</v>
      </c>
      <c r="G2211" s="1181">
        <f t="shared" si="17"/>
        <v>3.23</v>
      </c>
      <c r="H2211" s="261">
        <v>213.46600000000001</v>
      </c>
      <c r="I2211" s="1189"/>
      <c r="J2211" s="16"/>
      <c r="K2211" s="16"/>
      <c r="L2211" s="16"/>
      <c r="M2211" s="16"/>
      <c r="N2211" s="16"/>
      <c r="O2211" s="16"/>
      <c r="P2211" s="16"/>
      <c r="Q2211" s="16"/>
      <c r="R2211" s="16"/>
      <c r="S2211" s="16"/>
      <c r="T2211" s="16"/>
      <c r="U2211" s="16"/>
      <c r="V2211" s="16"/>
      <c r="W2211" s="16"/>
      <c r="X2211" s="16"/>
      <c r="Y2211" s="16"/>
      <c r="Z2211" s="16"/>
      <c r="AA2211" s="16"/>
      <c r="AB2211" s="16"/>
      <c r="AC2211" s="16"/>
      <c r="AD2211" s="16"/>
      <c r="AE2211" s="16"/>
      <c r="AF2211" s="16"/>
      <c r="AG2211" s="16"/>
      <c r="AH2211" s="16"/>
      <c r="AI2211" s="16"/>
      <c r="AJ2211" s="16"/>
      <c r="AK2211" s="16"/>
      <c r="AL2211" s="16"/>
      <c r="AM2211" s="16"/>
      <c r="AN2211" s="16"/>
      <c r="AO2211" s="16"/>
      <c r="AP2211" s="16"/>
      <c r="AQ2211" s="16"/>
      <c r="AR2211" s="16"/>
      <c r="AS2211" s="16"/>
      <c r="AT2211" s="16"/>
      <c r="AU2211" s="16"/>
      <c r="AV2211" s="16"/>
      <c r="AW2211" s="16"/>
      <c r="AX2211" s="16"/>
      <c r="AY2211" s="16"/>
      <c r="AZ2211" s="16"/>
      <c r="BA2211" s="16"/>
      <c r="BB2211" s="16"/>
      <c r="BC2211" s="16"/>
      <c r="BD2211" s="16"/>
      <c r="BE2211" s="16"/>
      <c r="BF2211" s="16"/>
      <c r="BG2211" s="16"/>
      <c r="BH2211" s="16"/>
      <c r="BI2211" s="16"/>
      <c r="BJ2211" s="16"/>
      <c r="BK2211" s="16"/>
      <c r="BL2211" s="16"/>
      <c r="BM2211" s="16"/>
      <c r="BN2211" s="16"/>
      <c r="BO2211" s="16"/>
      <c r="BP2211" s="16"/>
      <c r="BQ2211" s="16"/>
      <c r="BR2211" s="16"/>
      <c r="BS2211" s="16"/>
      <c r="BT2211" s="16"/>
      <c r="BU2211" s="16"/>
      <c r="BV2211" s="16"/>
      <c r="BW2211" s="16"/>
      <c r="BX2211" s="16"/>
      <c r="BY2211" s="16"/>
      <c r="BZ2211" s="16"/>
      <c r="CA2211" s="16"/>
      <c r="CB2211" s="16"/>
      <c r="CC2211" s="16"/>
      <c r="CD2211" s="16"/>
      <c r="CE2211" s="16"/>
      <c r="CF2211" s="16"/>
      <c r="CG2211" s="16"/>
      <c r="CH2211" s="16"/>
      <c r="CI2211" s="16"/>
      <c r="CJ2211" s="16"/>
      <c r="CK2211" s="16"/>
      <c r="CL2211" s="16"/>
      <c r="CM2211" s="16"/>
      <c r="CN2211" s="16"/>
      <c r="CO2211" s="16"/>
      <c r="CP2211" s="16"/>
      <c r="CQ2211" s="16"/>
      <c r="CR2211" s="16"/>
      <c r="CS2211" s="16"/>
      <c r="CT2211" s="16"/>
      <c r="CU2211" s="16"/>
      <c r="CV2211" s="16"/>
      <c r="CW2211" s="16"/>
      <c r="CX2211" s="16"/>
      <c r="CY2211" s="16"/>
      <c r="CZ2211" s="16"/>
      <c r="DA2211" s="16"/>
      <c r="DB2211" s="16"/>
      <c r="DC2211" s="16"/>
      <c r="DD2211" s="16"/>
      <c r="DE2211" s="16"/>
      <c r="DF2211" s="16"/>
      <c r="DG2211" s="16"/>
      <c r="DH2211" s="16"/>
      <c r="DI2211" s="16"/>
      <c r="DJ2211" s="16"/>
      <c r="DK2211" s="16"/>
      <c r="DL2211" s="16"/>
      <c r="DM2211" s="16"/>
      <c r="DN2211" s="16"/>
      <c r="DO2211" s="16"/>
      <c r="DP2211" s="16"/>
    </row>
    <row r="2214" spans="1:120" s="290" customFormat="1" ht="12.75">
      <c r="A2214" s="295" t="s">
        <v>59</v>
      </c>
      <c r="B2214" s="295" t="s">
        <v>40</v>
      </c>
      <c r="C2214" s="295" t="s">
        <v>203</v>
      </c>
      <c r="D2214" s="289" t="s">
        <v>163</v>
      </c>
      <c r="E2214" s="289" t="s">
        <v>197</v>
      </c>
      <c r="F2214" s="289" t="s">
        <v>198</v>
      </c>
      <c r="G2214" s="289" t="s">
        <v>212</v>
      </c>
      <c r="H2214" s="289" t="s">
        <v>263</v>
      </c>
    </row>
    <row r="2215" spans="1:120" s="290" customFormat="1" ht="12.75">
      <c r="A2215" s="4" t="s">
        <v>3358</v>
      </c>
      <c r="B2215" s="1182" t="s">
        <v>2761</v>
      </c>
      <c r="C2215" s="41" t="s">
        <v>25</v>
      </c>
      <c r="D2215" s="296">
        <v>13.7</v>
      </c>
      <c r="E2215" s="297">
        <v>1</v>
      </c>
      <c r="F2215" s="1186">
        <f>D2215*E2215</f>
        <v>13.7</v>
      </c>
      <c r="G2215" s="1184">
        <v>9.82</v>
      </c>
      <c r="H2215" s="1187" t="s">
        <v>3359</v>
      </c>
    </row>
    <row r="2216" spans="1:120" s="290" customFormat="1" ht="12.75">
      <c r="A2216" s="4" t="s">
        <v>3360</v>
      </c>
      <c r="B2216" s="1182" t="s">
        <v>2280</v>
      </c>
      <c r="C2216" s="41" t="s">
        <v>25</v>
      </c>
      <c r="D2216" s="296">
        <v>13.7</v>
      </c>
      <c r="E2216" s="297">
        <v>8</v>
      </c>
      <c r="F2216" s="1186">
        <f>D2216*E2216</f>
        <v>109.6</v>
      </c>
      <c r="G2216" s="1183">
        <v>5.46</v>
      </c>
      <c r="H2216" s="1187" t="s">
        <v>139</v>
      </c>
    </row>
    <row r="2217" spans="1:120" s="290" customFormat="1" ht="12.75">
      <c r="A2217" s="4" t="s">
        <v>3360</v>
      </c>
      <c r="B2217" s="1182" t="s">
        <v>2763</v>
      </c>
      <c r="C2217" s="41" t="s">
        <v>25</v>
      </c>
      <c r="D2217" s="296">
        <v>13.7</v>
      </c>
      <c r="E2217" s="297">
        <v>2</v>
      </c>
      <c r="F2217" s="1186">
        <f>D2217*E2217</f>
        <v>27.4</v>
      </c>
      <c r="G2217" s="1183">
        <v>3.88</v>
      </c>
      <c r="H2217" s="1187" t="s">
        <v>139</v>
      </c>
    </row>
    <row r="2218" spans="1:120" s="290" customFormat="1" ht="12.75">
      <c r="A2218" s="4" t="s">
        <v>3360</v>
      </c>
      <c r="B2218" s="1190" t="s">
        <v>2765</v>
      </c>
      <c r="C2218" s="41" t="s">
        <v>25</v>
      </c>
      <c r="D2218" s="296">
        <v>13.7</v>
      </c>
      <c r="E2218" s="297">
        <v>10</v>
      </c>
      <c r="F2218" s="328">
        <f>D2218*E2218</f>
        <v>137</v>
      </c>
      <c r="G2218" s="1183">
        <v>2.4</v>
      </c>
      <c r="H2218" s="1187" t="s">
        <v>3361</v>
      </c>
    </row>
    <row r="2219" spans="1:120" s="290" customFormat="1" ht="12.75">
      <c r="A2219" s="4" t="s">
        <v>3360</v>
      </c>
      <c r="B2219" s="41"/>
      <c r="C2219" s="136" t="s">
        <v>218</v>
      </c>
      <c r="D2219" s="292"/>
      <c r="E2219" s="297"/>
      <c r="F2219" s="292">
        <v>1</v>
      </c>
      <c r="G2219" s="1181">
        <v>24</v>
      </c>
      <c r="H2219" s="1187"/>
    </row>
    <row r="2221" spans="1:120">
      <c r="A2221" s="345" t="s">
        <v>3362</v>
      </c>
    </row>
    <row r="2222" spans="1:120" s="290" customFormat="1" ht="25.5">
      <c r="A2222" s="311" t="s">
        <v>192</v>
      </c>
      <c r="B2222" s="311" t="s">
        <v>161</v>
      </c>
      <c r="C2222" s="312" t="s">
        <v>90</v>
      </c>
      <c r="D2222" s="312" t="s">
        <v>3363</v>
      </c>
      <c r="E2222" s="312" t="s">
        <v>3364</v>
      </c>
      <c r="F2222" s="312" t="s">
        <v>271</v>
      </c>
      <c r="G2222" s="295" t="s">
        <v>3365</v>
      </c>
    </row>
    <row r="2223" spans="1:120" s="1201" customFormat="1" ht="13.5" customHeight="1">
      <c r="A2223" s="1191" t="s">
        <v>3366</v>
      </c>
      <c r="B2223" s="1192" t="s">
        <v>3367</v>
      </c>
      <c r="C2223" s="1193">
        <v>33</v>
      </c>
      <c r="D2223" s="1192" t="s">
        <v>3303</v>
      </c>
      <c r="E2223" s="1192" t="s">
        <v>3368</v>
      </c>
      <c r="F2223" s="1194">
        <f t="shared" ref="F2223:F2231" si="18">ROUNDUP(H2223/0.7,-1)</f>
        <v>1290</v>
      </c>
      <c r="G2223" s="1195" t="s">
        <v>3369</v>
      </c>
      <c r="H2223" s="1196">
        <v>900</v>
      </c>
      <c r="I2223" s="1197">
        <v>260</v>
      </c>
      <c r="J2223" s="1198">
        <v>1160</v>
      </c>
      <c r="K2223" s="1199">
        <v>16.12</v>
      </c>
      <c r="L2223" s="1200" t="s">
        <v>3370</v>
      </c>
      <c r="M2223" s="1197">
        <v>9000</v>
      </c>
    </row>
    <row r="2224" spans="1:120" s="1203" customFormat="1" ht="13.5" customHeight="1">
      <c r="A2224" s="1191" t="s">
        <v>3371</v>
      </c>
      <c r="B2224" s="1192" t="s">
        <v>228</v>
      </c>
      <c r="C2224" s="1193">
        <v>33</v>
      </c>
      <c r="D2224" s="1192" t="s">
        <v>3303</v>
      </c>
      <c r="E2224" s="1192" t="s">
        <v>3368</v>
      </c>
      <c r="F2224" s="1194">
        <f t="shared" si="18"/>
        <v>1290</v>
      </c>
      <c r="G2224" s="1202" t="s">
        <v>3372</v>
      </c>
      <c r="H2224" s="1196">
        <v>900</v>
      </c>
      <c r="I2224" s="1197">
        <v>250</v>
      </c>
      <c r="J2224" s="1198">
        <v>1150</v>
      </c>
      <c r="K2224" s="1199">
        <v>15.98</v>
      </c>
      <c r="L2224" s="1200" t="s">
        <v>3373</v>
      </c>
      <c r="M2224" s="1197">
        <v>9000</v>
      </c>
    </row>
    <row r="2225" spans="1:13" s="1201" customFormat="1" ht="13.5" customHeight="1">
      <c r="A2225" s="1191" t="s">
        <v>3374</v>
      </c>
      <c r="B2225" s="1192" t="s">
        <v>3367</v>
      </c>
      <c r="C2225" s="1204">
        <v>33</v>
      </c>
      <c r="D2225" s="1192" t="s">
        <v>3303</v>
      </c>
      <c r="E2225" s="1192" t="s">
        <v>3368</v>
      </c>
      <c r="F2225" s="1194">
        <f t="shared" si="18"/>
        <v>1290</v>
      </c>
      <c r="G2225" s="1202" t="s">
        <v>3372</v>
      </c>
      <c r="H2225" s="1196">
        <v>900</v>
      </c>
      <c r="I2225" s="1197">
        <v>260</v>
      </c>
      <c r="J2225" s="1198">
        <v>1160</v>
      </c>
      <c r="K2225" s="1199">
        <v>16.12</v>
      </c>
      <c r="L2225" s="1200" t="s">
        <v>3370</v>
      </c>
      <c r="M2225" s="1197">
        <v>9000</v>
      </c>
    </row>
    <row r="2226" spans="1:13" s="1203" customFormat="1" ht="13.5" customHeight="1">
      <c r="A2226" s="1191" t="s">
        <v>3375</v>
      </c>
      <c r="B2226" s="1192" t="s">
        <v>228</v>
      </c>
      <c r="C2226" s="1204">
        <v>33</v>
      </c>
      <c r="D2226" s="1192" t="s">
        <v>3303</v>
      </c>
      <c r="E2226" s="1192" t="s">
        <v>3368</v>
      </c>
      <c r="F2226" s="1194">
        <f t="shared" si="18"/>
        <v>1290</v>
      </c>
      <c r="G2226" s="301" t="s">
        <v>3376</v>
      </c>
      <c r="H2226" s="1196">
        <v>900</v>
      </c>
      <c r="I2226" s="1197">
        <v>250</v>
      </c>
      <c r="J2226" s="1198">
        <v>1150</v>
      </c>
      <c r="K2226" s="1199">
        <v>15.98</v>
      </c>
      <c r="L2226" s="1200" t="s">
        <v>3373</v>
      </c>
      <c r="M2226" s="1197">
        <v>9000</v>
      </c>
    </row>
    <row r="2227" spans="1:13" s="1201" customFormat="1" ht="13.5" customHeight="1">
      <c r="A2227" s="1191" t="s">
        <v>3377</v>
      </c>
      <c r="B2227" s="1192" t="s">
        <v>3367</v>
      </c>
      <c r="C2227" s="1204">
        <v>50</v>
      </c>
      <c r="D2227" s="1192" t="s">
        <v>3303</v>
      </c>
      <c r="E2227" s="1192" t="s">
        <v>3368</v>
      </c>
      <c r="F2227" s="1194">
        <f t="shared" si="18"/>
        <v>1290</v>
      </c>
      <c r="G2227" s="301" t="s">
        <v>3378</v>
      </c>
      <c r="H2227" s="1196">
        <v>900</v>
      </c>
      <c r="I2227" s="1197">
        <v>360</v>
      </c>
      <c r="J2227" s="1198">
        <v>1260</v>
      </c>
      <c r="K2227" s="1199">
        <v>17.5</v>
      </c>
      <c r="L2227" s="1200" t="s">
        <v>3379</v>
      </c>
      <c r="M2227" s="1197">
        <v>9000</v>
      </c>
    </row>
    <row r="2228" spans="1:13" s="1203" customFormat="1" ht="13.5" customHeight="1">
      <c r="A2228" s="1191" t="s">
        <v>3138</v>
      </c>
      <c r="B2228" s="1192" t="s">
        <v>228</v>
      </c>
      <c r="C2228" s="1204">
        <v>50</v>
      </c>
      <c r="D2228" s="1192" t="s">
        <v>3303</v>
      </c>
      <c r="E2228" s="1192" t="s">
        <v>3368</v>
      </c>
      <c r="F2228" s="1194">
        <f t="shared" si="18"/>
        <v>1290</v>
      </c>
      <c r="G2228" s="1195" t="s">
        <v>3380</v>
      </c>
      <c r="H2228" s="1196">
        <v>900</v>
      </c>
      <c r="I2228" s="1197">
        <v>350</v>
      </c>
      <c r="J2228" s="1198">
        <v>1250</v>
      </c>
      <c r="K2228" s="1199">
        <v>17.37</v>
      </c>
      <c r="L2228" s="1200" t="s">
        <v>3126</v>
      </c>
      <c r="M2228" s="1197">
        <v>9000</v>
      </c>
    </row>
    <row r="2229" spans="1:13" s="1201" customFormat="1" ht="13.5" customHeight="1">
      <c r="A2229" s="1191" t="s">
        <v>3381</v>
      </c>
      <c r="B2229" s="1192" t="s">
        <v>3367</v>
      </c>
      <c r="C2229" s="1204">
        <v>50</v>
      </c>
      <c r="D2229" s="1192" t="s">
        <v>3303</v>
      </c>
      <c r="E2229" s="1192" t="s">
        <v>3368</v>
      </c>
      <c r="F2229" s="1194">
        <f t="shared" si="18"/>
        <v>1790</v>
      </c>
      <c r="G2229" s="1195" t="s">
        <v>3380</v>
      </c>
      <c r="H2229" s="1196">
        <v>1250</v>
      </c>
      <c r="I2229" s="1197">
        <v>360</v>
      </c>
      <c r="J2229" s="1198">
        <v>1610</v>
      </c>
      <c r="K2229" s="1199">
        <v>22.37</v>
      </c>
      <c r="L2229" s="1200" t="s">
        <v>3379</v>
      </c>
      <c r="M2229" s="1197">
        <v>9000</v>
      </c>
    </row>
    <row r="2230" spans="1:13" s="1203" customFormat="1" ht="13.5" customHeight="1">
      <c r="A2230" s="1191" t="s">
        <v>3124</v>
      </c>
      <c r="B2230" s="1192" t="s">
        <v>228</v>
      </c>
      <c r="C2230" s="1204">
        <v>50</v>
      </c>
      <c r="D2230" s="1192" t="s">
        <v>3303</v>
      </c>
      <c r="E2230" s="1192" t="s">
        <v>3368</v>
      </c>
      <c r="F2230" s="1194">
        <f t="shared" si="18"/>
        <v>1790</v>
      </c>
      <c r="G2230" s="301" t="s">
        <v>3372</v>
      </c>
      <c r="H2230" s="1196">
        <v>1250</v>
      </c>
      <c r="I2230" s="1197">
        <v>350</v>
      </c>
      <c r="J2230" s="1198">
        <v>1600</v>
      </c>
      <c r="K2230" s="1199">
        <v>22.23</v>
      </c>
      <c r="L2230" s="1200" t="s">
        <v>3126</v>
      </c>
      <c r="M2230" s="1197">
        <v>9000</v>
      </c>
    </row>
    <row r="2231" spans="1:13" ht="14.25">
      <c r="A2231" s="1205" t="s">
        <v>3382</v>
      </c>
      <c r="B2231" s="1192" t="s">
        <v>228</v>
      </c>
      <c r="C2231" s="1204">
        <v>100</v>
      </c>
      <c r="D2231" s="1192" t="s">
        <v>3303</v>
      </c>
      <c r="E2231" s="1192" t="s">
        <v>3383</v>
      </c>
      <c r="F2231" s="1194">
        <f t="shared" si="18"/>
        <v>4290</v>
      </c>
      <c r="G2231" s="301" t="s">
        <v>3384</v>
      </c>
      <c r="H2231" s="1196">
        <v>3000</v>
      </c>
    </row>
    <row r="2233" spans="1:13">
      <c r="A2233" s="295" t="s">
        <v>40</v>
      </c>
      <c r="B2233" s="295" t="s">
        <v>16</v>
      </c>
      <c r="C2233" s="295" t="s">
        <v>203</v>
      </c>
      <c r="D2233" s="289" t="s">
        <v>163</v>
      </c>
      <c r="E2233" s="289" t="s">
        <v>197</v>
      </c>
      <c r="F2233" s="289" t="s">
        <v>198</v>
      </c>
      <c r="G2233" s="289" t="s">
        <v>212</v>
      </c>
    </row>
    <row r="2234" spans="1:13">
      <c r="A2234" s="41">
        <v>3717</v>
      </c>
      <c r="B2234" s="42">
        <v>9</v>
      </c>
      <c r="C2234" s="41" t="s">
        <v>37</v>
      </c>
      <c r="D2234" s="296">
        <v>30</v>
      </c>
      <c r="E2234" s="297">
        <v>2</v>
      </c>
      <c r="F2234" s="43">
        <f>D2234*E2234</f>
        <v>60</v>
      </c>
      <c r="G2234" s="1183">
        <v>0.23</v>
      </c>
    </row>
    <row r="2235" spans="1:13">
      <c r="A2235" s="41">
        <v>3717</v>
      </c>
      <c r="B2235" s="42">
        <v>9</v>
      </c>
      <c r="C2235" s="41" t="s">
        <v>2727</v>
      </c>
      <c r="D2235" s="296">
        <v>30</v>
      </c>
      <c r="E2235" s="297">
        <v>2</v>
      </c>
      <c r="F2235" s="43">
        <f>D2235*E2235</f>
        <v>60</v>
      </c>
      <c r="G2235" s="1183">
        <v>0.23</v>
      </c>
    </row>
    <row r="2236" spans="1:13">
      <c r="A2236" s="41">
        <v>3717</v>
      </c>
      <c r="B2236" s="42">
        <v>9</v>
      </c>
      <c r="C2236" s="41" t="s">
        <v>2767</v>
      </c>
      <c r="D2236" s="296">
        <v>30</v>
      </c>
      <c r="E2236" s="297">
        <v>2</v>
      </c>
      <c r="F2236" s="43">
        <f>D2236*E2236</f>
        <v>60</v>
      </c>
      <c r="G2236" s="1183">
        <v>0.23</v>
      </c>
    </row>
    <row r="2237" spans="1:13">
      <c r="A2237" s="1206"/>
      <c r="B2237" s="136"/>
      <c r="C2237" s="136" t="s">
        <v>218</v>
      </c>
      <c r="D2237" s="292"/>
      <c r="E2237" s="297"/>
      <c r="F2237" s="292">
        <v>1</v>
      </c>
      <c r="G2237" s="1181">
        <v>12</v>
      </c>
    </row>
    <row r="2238" spans="1:13">
      <c r="A2238" s="1207"/>
      <c r="B2238" s="1208"/>
      <c r="C2238" s="1208"/>
      <c r="D2238" s="1209"/>
      <c r="E2238" s="1210"/>
      <c r="F2238" s="1209"/>
      <c r="G2238" s="1211"/>
    </row>
    <row r="2239" spans="1:13">
      <c r="A2239" s="1212" t="s">
        <v>3385</v>
      </c>
      <c r="B2239" s="1208"/>
      <c r="C2239" s="1208"/>
      <c r="D2239" s="1209"/>
      <c r="E2239" s="1210"/>
      <c r="F2239" s="1209"/>
      <c r="G2239" s="1211"/>
    </row>
    <row r="2240" spans="1:13" ht="25.5">
      <c r="A2240" s="295" t="s">
        <v>40</v>
      </c>
      <c r="B2240" s="312" t="s">
        <v>3363</v>
      </c>
      <c r="C2240" s="329" t="s">
        <v>3386</v>
      </c>
      <c r="D2240" s="295" t="s">
        <v>3387</v>
      </c>
      <c r="E2240" s="329" t="s">
        <v>3388</v>
      </c>
      <c r="F2240" s="295" t="s">
        <v>190</v>
      </c>
    </row>
    <row r="2241" spans="1:120" s="337" customFormat="1" ht="12.75">
      <c r="A2241" s="1213" t="s">
        <v>3389</v>
      </c>
      <c r="B2241" s="1192" t="s">
        <v>3303</v>
      </c>
      <c r="C2241" s="1214">
        <v>64</v>
      </c>
      <c r="D2241" s="1215" t="s">
        <v>269</v>
      </c>
      <c r="E2241" s="1214">
        <v>32</v>
      </c>
      <c r="F2241" s="1215" t="s">
        <v>3390</v>
      </c>
    </row>
    <row r="2242" spans="1:120" ht="14.25">
      <c r="A2242" s="106" t="s">
        <v>3391</v>
      </c>
    </row>
    <row r="2244" spans="1:120">
      <c r="A2244" t="s">
        <v>3392</v>
      </c>
    </row>
    <row r="2245" spans="1:120" s="250" customFormat="1" ht="25.5">
      <c r="A2245" s="592" t="s">
        <v>171</v>
      </c>
      <c r="B2245" s="322" t="s">
        <v>90</v>
      </c>
      <c r="C2245" s="323" t="s">
        <v>2</v>
      </c>
      <c r="D2245" s="324" t="s">
        <v>204</v>
      </c>
      <c r="E2245" s="325" t="s">
        <v>225</v>
      </c>
      <c r="F2245" s="325" t="s">
        <v>161</v>
      </c>
      <c r="G2245" s="326" t="s">
        <v>3357</v>
      </c>
      <c r="H2245" s="244" t="s">
        <v>176</v>
      </c>
    </row>
    <row r="2246" spans="1:120" s="252" customFormat="1" ht="15" customHeight="1">
      <c r="A2246" s="310" t="s">
        <v>226</v>
      </c>
      <c r="B2246" s="42">
        <v>9</v>
      </c>
      <c r="C2246" s="327">
        <v>20</v>
      </c>
      <c r="D2246" s="44" t="s">
        <v>211</v>
      </c>
      <c r="E2246" s="336" t="s">
        <v>10</v>
      </c>
      <c r="F2246" s="336" t="s">
        <v>3327</v>
      </c>
      <c r="G2246" s="1181">
        <v>1.33</v>
      </c>
      <c r="H2246" s="251"/>
      <c r="I2246" s="16"/>
      <c r="J2246" s="16"/>
      <c r="K2246" s="16"/>
      <c r="L2246" s="16"/>
      <c r="M2246" s="16"/>
      <c r="N2246" s="16"/>
      <c r="O2246" s="16"/>
      <c r="P2246" s="16"/>
      <c r="Q2246" s="16"/>
      <c r="R2246" s="16"/>
      <c r="S2246" s="16"/>
      <c r="T2246" s="16"/>
      <c r="U2246" s="16"/>
      <c r="V2246" s="16"/>
      <c r="W2246" s="16"/>
      <c r="X2246" s="16"/>
      <c r="Y2246" s="16"/>
      <c r="Z2246" s="16"/>
      <c r="AA2246" s="16"/>
      <c r="AB2246" s="16"/>
      <c r="AC2246" s="16"/>
      <c r="AD2246" s="16"/>
      <c r="AE2246" s="16"/>
      <c r="AF2246" s="16"/>
      <c r="AG2246" s="16"/>
      <c r="AH2246" s="16"/>
      <c r="AI2246" s="16"/>
      <c r="AJ2246" s="16"/>
      <c r="AK2246" s="16"/>
      <c r="AL2246" s="16"/>
      <c r="AM2246" s="16"/>
      <c r="AN2246" s="16"/>
      <c r="AO2246" s="16"/>
      <c r="AP2246" s="16"/>
      <c r="AQ2246" s="16"/>
      <c r="AR2246" s="16"/>
      <c r="AS2246" s="16"/>
      <c r="AT2246" s="16"/>
      <c r="AU2246" s="16"/>
      <c r="AV2246" s="16"/>
      <c r="AW2246" s="16"/>
      <c r="AX2246" s="16"/>
      <c r="AY2246" s="16"/>
      <c r="AZ2246" s="16"/>
      <c r="BA2246" s="16"/>
      <c r="BB2246" s="16"/>
      <c r="BC2246" s="16"/>
      <c r="BD2246" s="16"/>
      <c r="BE2246" s="16"/>
      <c r="BF2246" s="16"/>
      <c r="BG2246" s="16"/>
      <c r="BH2246" s="16"/>
      <c r="BI2246" s="16"/>
      <c r="BJ2246" s="16"/>
      <c r="BK2246" s="16"/>
      <c r="BL2246" s="16"/>
      <c r="BM2246" s="16"/>
      <c r="BN2246" s="16"/>
      <c r="BO2246" s="16"/>
      <c r="BP2246" s="16"/>
      <c r="BQ2246" s="16"/>
      <c r="BR2246" s="16"/>
      <c r="BS2246" s="16"/>
      <c r="BT2246" s="16"/>
      <c r="BU2246" s="16"/>
      <c r="BV2246" s="16"/>
      <c r="BW2246" s="16"/>
      <c r="BX2246" s="16"/>
      <c r="BY2246" s="16"/>
      <c r="BZ2246" s="16"/>
      <c r="CA2246" s="16"/>
      <c r="CB2246" s="16"/>
      <c r="CC2246" s="16"/>
      <c r="CD2246" s="16"/>
      <c r="CE2246" s="16"/>
      <c r="CF2246" s="16"/>
      <c r="CG2246" s="16"/>
      <c r="CH2246" s="16"/>
      <c r="CI2246" s="16"/>
      <c r="CJ2246" s="16"/>
      <c r="CK2246" s="16"/>
      <c r="CL2246" s="16"/>
      <c r="CM2246" s="16"/>
      <c r="CN2246" s="16"/>
      <c r="CO2246" s="16"/>
      <c r="CP2246" s="16"/>
      <c r="CQ2246" s="16"/>
      <c r="CR2246" s="16"/>
      <c r="CS2246" s="16"/>
      <c r="CT2246" s="16"/>
      <c r="CU2246" s="16"/>
      <c r="CV2246" s="16"/>
      <c r="CW2246" s="16"/>
      <c r="CX2246" s="16"/>
      <c r="CY2246" s="16"/>
      <c r="CZ2246" s="16"/>
      <c r="DA2246" s="16"/>
      <c r="DB2246" s="16"/>
      <c r="DC2246" s="16"/>
      <c r="DD2246" s="16"/>
      <c r="DE2246" s="16"/>
      <c r="DF2246" s="16"/>
      <c r="DG2246" s="16"/>
      <c r="DH2246" s="16"/>
      <c r="DI2246" s="16"/>
      <c r="DJ2246" s="16"/>
      <c r="DK2246" s="16"/>
      <c r="DL2246" s="16"/>
      <c r="DM2246" s="16"/>
      <c r="DN2246" s="16"/>
      <c r="DO2246" s="16"/>
      <c r="DP2246" s="16"/>
    </row>
    <row r="2248" spans="1:120">
      <c r="A2248" t="s">
        <v>3393</v>
      </c>
    </row>
    <row r="2249" spans="1:120" s="369" customFormat="1" ht="12.75">
      <c r="A2249" s="295" t="s">
        <v>40</v>
      </c>
      <c r="B2249" s="312" t="s">
        <v>16</v>
      </c>
      <c r="C2249" s="366" t="s">
        <v>3394</v>
      </c>
      <c r="D2249" s="366" t="s">
        <v>3395</v>
      </c>
      <c r="E2249" s="367" t="s">
        <v>285</v>
      </c>
      <c r="F2249" s="367" t="s">
        <v>3396</v>
      </c>
    </row>
    <row r="2250" spans="1:120" s="369" customFormat="1" ht="12.75">
      <c r="A2250" s="366" t="s">
        <v>3397</v>
      </c>
      <c r="B2250" s="366" t="s">
        <v>288</v>
      </c>
      <c r="C2250" s="370">
        <f>ROUNDUP(E2250/0.8/125, 2)</f>
        <v>16.8</v>
      </c>
      <c r="D2250" s="370">
        <f>ROUNDUP((E2250+F2250)/0.8/125,2)</f>
        <v>19.8</v>
      </c>
      <c r="E2250" s="371">
        <v>1680</v>
      </c>
      <c r="F2250" s="367">
        <v>300</v>
      </c>
    </row>
    <row r="2254" spans="1:120">
      <c r="A2254" s="309" t="s">
        <v>172</v>
      </c>
      <c r="B2254" s="319" t="s">
        <v>90</v>
      </c>
      <c r="C2254" s="295" t="s">
        <v>203</v>
      </c>
      <c r="D2254" s="295" t="s">
        <v>18</v>
      </c>
      <c r="E2254" s="329" t="s">
        <v>212</v>
      </c>
    </row>
    <row r="2255" spans="1:120" ht="15">
      <c r="A2255" s="740" t="s">
        <v>2773</v>
      </c>
      <c r="B2255" s="23" t="s">
        <v>2491</v>
      </c>
      <c r="C2255" s="21" t="s">
        <v>2774</v>
      </c>
      <c r="D2255" s="93">
        <v>10</v>
      </c>
      <c r="E2255" s="597">
        <v>19.8</v>
      </c>
    </row>
    <row r="2256" spans="1:120" ht="15">
      <c r="A2256" s="48"/>
      <c r="B2256" s="38"/>
      <c r="C2256" s="38" t="s">
        <v>218</v>
      </c>
      <c r="D2256" s="39">
        <v>1</v>
      </c>
      <c r="E2256" s="611">
        <v>12</v>
      </c>
    </row>
    <row r="2259" spans="1:122">
      <c r="A2259" t="s">
        <v>3398</v>
      </c>
    </row>
    <row r="2260" spans="1:122" s="369" customFormat="1" ht="12.75">
      <c r="A2260" s="295" t="s">
        <v>40</v>
      </c>
      <c r="B2260" s="312" t="s">
        <v>16</v>
      </c>
      <c r="C2260" s="366" t="s">
        <v>283</v>
      </c>
      <c r="D2260" s="366" t="s">
        <v>284</v>
      </c>
      <c r="E2260" s="367" t="s">
        <v>285</v>
      </c>
      <c r="F2260" s="368" t="s">
        <v>286</v>
      </c>
    </row>
    <row r="2261" spans="1:122" s="369" customFormat="1" ht="12.75">
      <c r="A2261" s="366" t="s">
        <v>287</v>
      </c>
      <c r="B2261" s="366" t="s">
        <v>288</v>
      </c>
      <c r="C2261" s="370">
        <v>16.8</v>
      </c>
      <c r="D2261" s="370">
        <v>16.5</v>
      </c>
      <c r="E2261" s="371">
        <v>1650</v>
      </c>
      <c r="F2261" s="367"/>
    </row>
    <row r="2262" spans="1:122" s="369" customFormat="1" ht="25.5">
      <c r="A2262" s="366" t="s">
        <v>289</v>
      </c>
      <c r="B2262" s="366" t="s">
        <v>288</v>
      </c>
      <c r="C2262" s="372" t="s">
        <v>290</v>
      </c>
      <c r="D2262" s="370">
        <v>16.5</v>
      </c>
      <c r="E2262" s="371">
        <v>1650</v>
      </c>
      <c r="F2262" s="367">
        <v>300</v>
      </c>
    </row>
    <row r="2263" spans="1:122" ht="14.25">
      <c r="A2263" s="106" t="s">
        <v>3399</v>
      </c>
    </row>
    <row r="2264" spans="1:122">
      <c r="A2264" t="s">
        <v>3400</v>
      </c>
    </row>
    <row r="2265" spans="1:122" s="353" customFormat="1" ht="31.5">
      <c r="A2265" s="1216" t="s">
        <v>171</v>
      </c>
      <c r="B2265" s="1217" t="s">
        <v>90</v>
      </c>
      <c r="C2265" s="1218" t="s">
        <v>2</v>
      </c>
      <c r="D2265" s="239" t="s">
        <v>204</v>
      </c>
      <c r="E2265" s="1219" t="s">
        <v>225</v>
      </c>
      <c r="F2265" s="1219" t="s">
        <v>161</v>
      </c>
      <c r="G2265" s="1220" t="s">
        <v>279</v>
      </c>
      <c r="H2265" s="1220" t="s">
        <v>3401</v>
      </c>
      <c r="I2265" s="1220" t="s">
        <v>3402</v>
      </c>
      <c r="J2265" s="352"/>
    </row>
    <row r="2266" spans="1:122" s="49" customFormat="1" ht="15" customHeight="1">
      <c r="A2266" s="1221" t="s">
        <v>236</v>
      </c>
      <c r="B2266" s="1222">
        <v>3</v>
      </c>
      <c r="C2266" s="1223">
        <v>40</v>
      </c>
      <c r="D2266" s="1224" t="s">
        <v>211</v>
      </c>
      <c r="E2266" s="1225" t="s">
        <v>73</v>
      </c>
      <c r="F2266" s="1225" t="s">
        <v>237</v>
      </c>
      <c r="G2266" s="1226">
        <v>1.29</v>
      </c>
      <c r="H2266" s="1227">
        <f t="shared" ref="H2266:H2273" si="19">ROUNDUP(J2266/0.53/125,2)</f>
        <v>1.05</v>
      </c>
      <c r="I2266" s="1227">
        <f t="shared" ref="I2266:I2273" si="20">ROUNDUP(J2266/0.6/125,2)</f>
        <v>0.93</v>
      </c>
      <c r="J2266" s="1228">
        <v>69.25</v>
      </c>
      <c r="K2266" s="1229"/>
      <c r="L2266" s="1229"/>
      <c r="M2266" s="1229"/>
      <c r="N2266" s="1229"/>
      <c r="O2266" s="1229"/>
      <c r="P2266" s="1229"/>
      <c r="Q2266" s="1229"/>
      <c r="R2266" s="1229"/>
      <c r="S2266" s="1229"/>
      <c r="T2266" s="1229"/>
      <c r="U2266" s="1229"/>
      <c r="V2266" s="1229"/>
      <c r="W2266" s="1229"/>
      <c r="X2266" s="1229"/>
      <c r="Y2266" s="1229"/>
      <c r="Z2266" s="1229"/>
      <c r="AA2266" s="1229"/>
      <c r="AB2266" s="1229"/>
      <c r="AC2266" s="1229"/>
      <c r="AD2266" s="1229"/>
      <c r="AE2266" s="1229"/>
      <c r="AF2266" s="1229"/>
      <c r="AG2266" s="1229"/>
      <c r="AH2266" s="1229"/>
      <c r="AI2266" s="1229"/>
      <c r="AJ2266" s="1229"/>
      <c r="AK2266" s="1229"/>
      <c r="AL2266" s="1229"/>
      <c r="AM2266" s="1229"/>
      <c r="AN2266" s="1229"/>
      <c r="AO2266" s="1229"/>
      <c r="AP2266" s="1229"/>
      <c r="AQ2266" s="1229"/>
      <c r="AR2266" s="1229"/>
      <c r="AS2266" s="1229"/>
      <c r="AT2266" s="1229"/>
      <c r="AU2266" s="1229"/>
      <c r="AV2266" s="1229"/>
      <c r="AW2266" s="1229"/>
      <c r="AX2266" s="1229"/>
      <c r="AY2266" s="1229"/>
      <c r="AZ2266" s="1229"/>
      <c r="BA2266" s="1229"/>
      <c r="BB2266" s="1229"/>
      <c r="BC2266" s="1229"/>
      <c r="BD2266" s="1229"/>
      <c r="BE2266" s="1229"/>
      <c r="BF2266" s="1229"/>
      <c r="BG2266" s="1229"/>
      <c r="BH2266" s="1229"/>
      <c r="BI2266" s="1229"/>
      <c r="BJ2266" s="1229"/>
      <c r="BK2266" s="1229"/>
      <c r="BL2266" s="1229"/>
      <c r="BM2266" s="1229"/>
      <c r="BN2266" s="1229"/>
      <c r="BO2266" s="1229"/>
      <c r="BP2266" s="1229"/>
      <c r="BQ2266" s="1229"/>
      <c r="BR2266" s="1229"/>
      <c r="BS2266" s="1229"/>
      <c r="BT2266" s="1229"/>
      <c r="BU2266" s="1229"/>
      <c r="BV2266" s="1229"/>
      <c r="BW2266" s="1229"/>
      <c r="BX2266" s="1229"/>
      <c r="BY2266" s="1229"/>
      <c r="BZ2266" s="1229"/>
      <c r="CA2266" s="1229"/>
      <c r="CB2266" s="1229"/>
      <c r="CC2266" s="1229"/>
      <c r="CD2266" s="1229"/>
      <c r="CE2266" s="1229"/>
      <c r="CF2266" s="1229"/>
      <c r="CG2266" s="1229"/>
      <c r="CH2266" s="1229"/>
      <c r="CI2266" s="1229"/>
      <c r="CJ2266" s="1229"/>
      <c r="CK2266" s="1229"/>
      <c r="CL2266" s="1229"/>
      <c r="CM2266" s="1229"/>
      <c r="CN2266" s="1229"/>
      <c r="CO2266" s="1229"/>
      <c r="CP2266" s="1229"/>
      <c r="CQ2266" s="1229"/>
      <c r="CR2266" s="1229"/>
      <c r="CS2266" s="1229"/>
      <c r="CT2266" s="1229"/>
      <c r="CU2266" s="1229"/>
      <c r="CV2266" s="1229"/>
      <c r="CW2266" s="1229"/>
      <c r="CX2266" s="1229"/>
      <c r="CY2266" s="1229"/>
      <c r="CZ2266" s="1229"/>
      <c r="DA2266" s="1229"/>
      <c r="DB2266" s="1229"/>
      <c r="DC2266" s="1229"/>
      <c r="DD2266" s="1229"/>
      <c r="DE2266" s="1229"/>
      <c r="DF2266" s="1229"/>
      <c r="DG2266" s="1229"/>
      <c r="DH2266" s="1229"/>
      <c r="DI2266" s="1229"/>
      <c r="DJ2266" s="1229"/>
      <c r="DK2266" s="1229"/>
      <c r="DL2266" s="1229"/>
      <c r="DM2266" s="1229"/>
      <c r="DN2266" s="1229"/>
      <c r="DO2266" s="1229"/>
      <c r="DP2266" s="1229"/>
      <c r="DQ2266" s="1229"/>
      <c r="DR2266" s="1229"/>
    </row>
    <row r="2267" spans="1:122" s="49" customFormat="1" ht="15" customHeight="1">
      <c r="A2267" s="1221" t="s">
        <v>236</v>
      </c>
      <c r="B2267" s="1222">
        <v>6</v>
      </c>
      <c r="C2267" s="1223">
        <v>10</v>
      </c>
      <c r="D2267" s="1224" t="s">
        <v>211</v>
      </c>
      <c r="E2267" s="1225" t="s">
        <v>73</v>
      </c>
      <c r="F2267" s="1225" t="s">
        <v>237</v>
      </c>
      <c r="G2267" s="1226">
        <v>1.35</v>
      </c>
      <c r="H2267" s="1227">
        <f t="shared" si="19"/>
        <v>1.1000000000000001</v>
      </c>
      <c r="I2267" s="1227">
        <f t="shared" si="20"/>
        <v>0.97</v>
      </c>
      <c r="J2267" s="1228">
        <v>72.599999999999994</v>
      </c>
      <c r="K2267" s="1229"/>
      <c r="L2267" s="1229"/>
      <c r="M2267" s="1229"/>
      <c r="N2267" s="1229"/>
      <c r="O2267" s="1229"/>
      <c r="P2267" s="1229"/>
      <c r="Q2267" s="1229"/>
      <c r="R2267" s="1229"/>
      <c r="S2267" s="1229"/>
      <c r="T2267" s="1229"/>
      <c r="U2267" s="1229"/>
      <c r="V2267" s="1229"/>
      <c r="W2267" s="1229"/>
      <c r="X2267" s="1229"/>
      <c r="Y2267" s="1229"/>
      <c r="Z2267" s="1229"/>
      <c r="AA2267" s="1229"/>
      <c r="AB2267" s="1229"/>
      <c r="AC2267" s="1229"/>
      <c r="AD2267" s="1229"/>
      <c r="AE2267" s="1229"/>
      <c r="AF2267" s="1229"/>
      <c r="AG2267" s="1229"/>
      <c r="AH2267" s="1229"/>
      <c r="AI2267" s="1229"/>
      <c r="AJ2267" s="1229"/>
      <c r="AK2267" s="1229"/>
      <c r="AL2267" s="1229"/>
      <c r="AM2267" s="1229"/>
      <c r="AN2267" s="1229"/>
      <c r="AO2267" s="1229"/>
      <c r="AP2267" s="1229"/>
      <c r="AQ2267" s="1229"/>
      <c r="AR2267" s="1229"/>
      <c r="AS2267" s="1229"/>
      <c r="AT2267" s="1229"/>
      <c r="AU2267" s="1229"/>
      <c r="AV2267" s="1229"/>
      <c r="AW2267" s="1229"/>
      <c r="AX2267" s="1229"/>
      <c r="AY2267" s="1229"/>
      <c r="AZ2267" s="1229"/>
      <c r="BA2267" s="1229"/>
      <c r="BB2267" s="1229"/>
      <c r="BC2267" s="1229"/>
      <c r="BD2267" s="1229"/>
      <c r="BE2267" s="1229"/>
      <c r="BF2267" s="1229"/>
      <c r="BG2267" s="1229"/>
      <c r="BH2267" s="1229"/>
      <c r="BI2267" s="1229"/>
      <c r="BJ2267" s="1229"/>
      <c r="BK2267" s="1229"/>
      <c r="BL2267" s="1229"/>
      <c r="BM2267" s="1229"/>
      <c r="BN2267" s="1229"/>
      <c r="BO2267" s="1229"/>
      <c r="BP2267" s="1229"/>
      <c r="BQ2267" s="1229"/>
      <c r="BR2267" s="1229"/>
      <c r="BS2267" s="1229"/>
      <c r="BT2267" s="1229"/>
      <c r="BU2267" s="1229"/>
      <c r="BV2267" s="1229"/>
      <c r="BW2267" s="1229"/>
      <c r="BX2267" s="1229"/>
      <c r="BY2267" s="1229"/>
      <c r="BZ2267" s="1229"/>
      <c r="CA2267" s="1229"/>
      <c r="CB2267" s="1229"/>
      <c r="CC2267" s="1229"/>
      <c r="CD2267" s="1229"/>
      <c r="CE2267" s="1229"/>
      <c r="CF2267" s="1229"/>
      <c r="CG2267" s="1229"/>
      <c r="CH2267" s="1229"/>
      <c r="CI2267" s="1229"/>
      <c r="CJ2267" s="1229"/>
      <c r="CK2267" s="1229"/>
      <c r="CL2267" s="1229"/>
      <c r="CM2267" s="1229"/>
      <c r="CN2267" s="1229"/>
      <c r="CO2267" s="1229"/>
      <c r="CP2267" s="1229"/>
      <c r="CQ2267" s="1229"/>
      <c r="CR2267" s="1229"/>
      <c r="CS2267" s="1229"/>
      <c r="CT2267" s="1229"/>
      <c r="CU2267" s="1229"/>
      <c r="CV2267" s="1229"/>
      <c r="CW2267" s="1229"/>
      <c r="CX2267" s="1229"/>
      <c r="CY2267" s="1229"/>
      <c r="CZ2267" s="1229"/>
      <c r="DA2267" s="1229"/>
      <c r="DB2267" s="1229"/>
      <c r="DC2267" s="1229"/>
      <c r="DD2267" s="1229"/>
      <c r="DE2267" s="1229"/>
      <c r="DF2267" s="1229"/>
      <c r="DG2267" s="1229"/>
      <c r="DH2267" s="1229"/>
      <c r="DI2267" s="1229"/>
      <c r="DJ2267" s="1229"/>
      <c r="DK2267" s="1229"/>
      <c r="DL2267" s="1229"/>
      <c r="DM2267" s="1229"/>
      <c r="DN2267" s="1229"/>
      <c r="DO2267" s="1229"/>
      <c r="DP2267" s="1229"/>
      <c r="DQ2267" s="1229"/>
      <c r="DR2267" s="1229"/>
    </row>
    <row r="2268" spans="1:122" s="49" customFormat="1" ht="15" customHeight="1">
      <c r="A2268" s="1221" t="s">
        <v>236</v>
      </c>
      <c r="B2268" s="1222">
        <v>9</v>
      </c>
      <c r="C2268" s="1223">
        <v>10</v>
      </c>
      <c r="D2268" s="1224" t="s">
        <v>211</v>
      </c>
      <c r="E2268" s="1225" t="s">
        <v>73</v>
      </c>
      <c r="F2268" s="1225" t="s">
        <v>237</v>
      </c>
      <c r="G2268" s="1226">
        <v>1.49</v>
      </c>
      <c r="H2268" s="1227">
        <f t="shared" si="19"/>
        <v>1.22</v>
      </c>
      <c r="I2268" s="1227">
        <f t="shared" si="20"/>
        <v>1.08</v>
      </c>
      <c r="J2268" s="1228">
        <v>80.3</v>
      </c>
      <c r="K2268" s="1229"/>
      <c r="L2268" s="1229"/>
      <c r="M2268" s="1229"/>
      <c r="N2268" s="1229"/>
      <c r="O2268" s="1229"/>
      <c r="P2268" s="1229"/>
      <c r="Q2268" s="1229"/>
      <c r="R2268" s="1229"/>
      <c r="S2268" s="1229"/>
      <c r="T2268" s="1229"/>
      <c r="U2268" s="1229"/>
      <c r="V2268" s="1229"/>
      <c r="W2268" s="1229"/>
      <c r="X2268" s="1229"/>
      <c r="Y2268" s="1229"/>
      <c r="Z2268" s="1229"/>
      <c r="AA2268" s="1229"/>
      <c r="AB2268" s="1229"/>
      <c r="AC2268" s="1229"/>
      <c r="AD2268" s="1229"/>
      <c r="AE2268" s="1229"/>
      <c r="AF2268" s="1229"/>
      <c r="AG2268" s="1229"/>
      <c r="AH2268" s="1229"/>
      <c r="AI2268" s="1229"/>
      <c r="AJ2268" s="1229"/>
      <c r="AK2268" s="1229"/>
      <c r="AL2268" s="1229"/>
      <c r="AM2268" s="1229"/>
      <c r="AN2268" s="1229"/>
      <c r="AO2268" s="1229"/>
      <c r="AP2268" s="1229"/>
      <c r="AQ2268" s="1229"/>
      <c r="AR2268" s="1229"/>
      <c r="AS2268" s="1229"/>
      <c r="AT2268" s="1229"/>
      <c r="AU2268" s="1229"/>
      <c r="AV2268" s="1229"/>
      <c r="AW2268" s="1229"/>
      <c r="AX2268" s="1229"/>
      <c r="AY2268" s="1229"/>
      <c r="AZ2268" s="1229"/>
      <c r="BA2268" s="1229"/>
      <c r="BB2268" s="1229"/>
      <c r="BC2268" s="1229"/>
      <c r="BD2268" s="1229"/>
      <c r="BE2268" s="1229"/>
      <c r="BF2268" s="1229"/>
      <c r="BG2268" s="1229"/>
      <c r="BH2268" s="1229"/>
      <c r="BI2268" s="1229"/>
      <c r="BJ2268" s="1229"/>
      <c r="BK2268" s="1229"/>
      <c r="BL2268" s="1229"/>
      <c r="BM2268" s="1229"/>
      <c r="BN2268" s="1229"/>
      <c r="BO2268" s="1229"/>
      <c r="BP2268" s="1229"/>
      <c r="BQ2268" s="1229"/>
      <c r="BR2268" s="1229"/>
      <c r="BS2268" s="1229"/>
      <c r="BT2268" s="1229"/>
      <c r="BU2268" s="1229"/>
      <c r="BV2268" s="1229"/>
      <c r="BW2268" s="1229"/>
      <c r="BX2268" s="1229"/>
      <c r="BY2268" s="1229"/>
      <c r="BZ2268" s="1229"/>
      <c r="CA2268" s="1229"/>
      <c r="CB2268" s="1229"/>
      <c r="CC2268" s="1229"/>
      <c r="CD2268" s="1229"/>
      <c r="CE2268" s="1229"/>
      <c r="CF2268" s="1229"/>
      <c r="CG2268" s="1229"/>
      <c r="CH2268" s="1229"/>
      <c r="CI2268" s="1229"/>
      <c r="CJ2268" s="1229"/>
      <c r="CK2268" s="1229"/>
      <c r="CL2268" s="1229"/>
      <c r="CM2268" s="1229"/>
      <c r="CN2268" s="1229"/>
      <c r="CO2268" s="1229"/>
      <c r="CP2268" s="1229"/>
      <c r="CQ2268" s="1229"/>
      <c r="CR2268" s="1229"/>
      <c r="CS2268" s="1229"/>
      <c r="CT2268" s="1229"/>
      <c r="CU2268" s="1229"/>
      <c r="CV2268" s="1229"/>
      <c r="CW2268" s="1229"/>
      <c r="CX2268" s="1229"/>
      <c r="CY2268" s="1229"/>
      <c r="CZ2268" s="1229"/>
      <c r="DA2268" s="1229"/>
      <c r="DB2268" s="1229"/>
      <c r="DC2268" s="1229"/>
      <c r="DD2268" s="1229"/>
      <c r="DE2268" s="1229"/>
      <c r="DF2268" s="1229"/>
      <c r="DG2268" s="1229"/>
      <c r="DH2268" s="1229"/>
      <c r="DI2268" s="1229"/>
      <c r="DJ2268" s="1229"/>
      <c r="DK2268" s="1229"/>
      <c r="DL2268" s="1229"/>
      <c r="DM2268" s="1229"/>
      <c r="DN2268" s="1229"/>
      <c r="DO2268" s="1229"/>
      <c r="DP2268" s="1229"/>
      <c r="DQ2268" s="1229"/>
      <c r="DR2268" s="1229"/>
    </row>
    <row r="2269" spans="1:122" s="49" customFormat="1" ht="15" customHeight="1">
      <c r="A2269" s="1221" t="s">
        <v>236</v>
      </c>
      <c r="B2269" s="1222">
        <v>12</v>
      </c>
      <c r="C2269" s="1223">
        <v>10</v>
      </c>
      <c r="D2269" s="1224" t="s">
        <v>211</v>
      </c>
      <c r="E2269" s="1225" t="s">
        <v>73</v>
      </c>
      <c r="F2269" s="1225" t="s">
        <v>237</v>
      </c>
      <c r="G2269" s="1226">
        <v>1.61</v>
      </c>
      <c r="H2269" s="1227">
        <f t="shared" si="19"/>
        <v>1.32</v>
      </c>
      <c r="I2269" s="1227">
        <f t="shared" si="20"/>
        <v>1.1599999999999999</v>
      </c>
      <c r="J2269" s="1228">
        <v>86.8</v>
      </c>
      <c r="K2269" s="1229"/>
      <c r="L2269" s="1229"/>
      <c r="M2269" s="1229"/>
      <c r="N2269" s="1229"/>
      <c r="O2269" s="1229"/>
      <c r="P2269" s="1229"/>
      <c r="Q2269" s="1229"/>
      <c r="R2269" s="1229"/>
      <c r="S2269" s="1229"/>
      <c r="T2269" s="1229"/>
      <c r="U2269" s="1229"/>
      <c r="V2269" s="1229"/>
      <c r="W2269" s="1229"/>
      <c r="X2269" s="1229"/>
      <c r="Y2269" s="1229"/>
      <c r="Z2269" s="1229"/>
      <c r="AA2269" s="1229"/>
      <c r="AB2269" s="1229"/>
      <c r="AC2269" s="1229"/>
      <c r="AD2269" s="1229"/>
      <c r="AE2269" s="1229"/>
      <c r="AF2269" s="1229"/>
      <c r="AG2269" s="1229"/>
      <c r="AH2269" s="1229"/>
      <c r="AI2269" s="1229"/>
      <c r="AJ2269" s="1229"/>
      <c r="AK2269" s="1229"/>
      <c r="AL2269" s="1229"/>
      <c r="AM2269" s="1229"/>
      <c r="AN2269" s="1229"/>
      <c r="AO2269" s="1229"/>
      <c r="AP2269" s="1229"/>
      <c r="AQ2269" s="1229"/>
      <c r="AR2269" s="1229"/>
      <c r="AS2269" s="1229"/>
      <c r="AT2269" s="1229"/>
      <c r="AU2269" s="1229"/>
      <c r="AV2269" s="1229"/>
      <c r="AW2269" s="1229"/>
      <c r="AX2269" s="1229"/>
      <c r="AY2269" s="1229"/>
      <c r="AZ2269" s="1229"/>
      <c r="BA2269" s="1229"/>
      <c r="BB2269" s="1229"/>
      <c r="BC2269" s="1229"/>
      <c r="BD2269" s="1229"/>
      <c r="BE2269" s="1229"/>
      <c r="BF2269" s="1229"/>
      <c r="BG2269" s="1229"/>
      <c r="BH2269" s="1229"/>
      <c r="BI2269" s="1229"/>
      <c r="BJ2269" s="1229"/>
      <c r="BK2269" s="1229"/>
      <c r="BL2269" s="1229"/>
      <c r="BM2269" s="1229"/>
      <c r="BN2269" s="1229"/>
      <c r="BO2269" s="1229"/>
      <c r="BP2269" s="1229"/>
      <c r="BQ2269" s="1229"/>
      <c r="BR2269" s="1229"/>
      <c r="BS2269" s="1229"/>
      <c r="BT2269" s="1229"/>
      <c r="BU2269" s="1229"/>
      <c r="BV2269" s="1229"/>
      <c r="BW2269" s="1229"/>
      <c r="BX2269" s="1229"/>
      <c r="BY2269" s="1229"/>
      <c r="BZ2269" s="1229"/>
      <c r="CA2269" s="1229"/>
      <c r="CB2269" s="1229"/>
      <c r="CC2269" s="1229"/>
      <c r="CD2269" s="1229"/>
      <c r="CE2269" s="1229"/>
      <c r="CF2269" s="1229"/>
      <c r="CG2269" s="1229"/>
      <c r="CH2269" s="1229"/>
      <c r="CI2269" s="1229"/>
      <c r="CJ2269" s="1229"/>
      <c r="CK2269" s="1229"/>
      <c r="CL2269" s="1229"/>
      <c r="CM2269" s="1229"/>
      <c r="CN2269" s="1229"/>
      <c r="CO2269" s="1229"/>
      <c r="CP2269" s="1229"/>
      <c r="CQ2269" s="1229"/>
      <c r="CR2269" s="1229"/>
      <c r="CS2269" s="1229"/>
      <c r="CT2269" s="1229"/>
      <c r="CU2269" s="1229"/>
      <c r="CV2269" s="1229"/>
      <c r="CW2269" s="1229"/>
      <c r="CX2269" s="1229"/>
      <c r="CY2269" s="1229"/>
      <c r="CZ2269" s="1229"/>
      <c r="DA2269" s="1229"/>
      <c r="DB2269" s="1229"/>
      <c r="DC2269" s="1229"/>
      <c r="DD2269" s="1229"/>
      <c r="DE2269" s="1229"/>
      <c r="DF2269" s="1229"/>
      <c r="DG2269" s="1229"/>
      <c r="DH2269" s="1229"/>
      <c r="DI2269" s="1229"/>
      <c r="DJ2269" s="1229"/>
      <c r="DK2269" s="1229"/>
      <c r="DL2269" s="1229"/>
      <c r="DM2269" s="1229"/>
      <c r="DN2269" s="1229"/>
      <c r="DO2269" s="1229"/>
      <c r="DP2269" s="1229"/>
      <c r="DQ2269" s="1229"/>
      <c r="DR2269" s="1229"/>
    </row>
    <row r="2270" spans="1:122" s="49" customFormat="1" ht="15" customHeight="1">
      <c r="A2270" s="1221" t="s">
        <v>236</v>
      </c>
      <c r="B2270" s="1222">
        <v>18</v>
      </c>
      <c r="C2270" s="1223">
        <v>10</v>
      </c>
      <c r="D2270" s="1224" t="s">
        <v>211</v>
      </c>
      <c r="E2270" s="1225" t="s">
        <v>73</v>
      </c>
      <c r="F2270" s="1225" t="s">
        <v>237</v>
      </c>
      <c r="G2270" s="1226">
        <v>2.09</v>
      </c>
      <c r="H2270" s="1227">
        <f t="shared" si="19"/>
        <v>1.7</v>
      </c>
      <c r="I2270" s="1227">
        <f t="shared" si="20"/>
        <v>1.5</v>
      </c>
      <c r="J2270" s="1228">
        <v>112.4</v>
      </c>
      <c r="K2270" s="1229"/>
      <c r="L2270" s="1229"/>
      <c r="M2270" s="1229"/>
      <c r="N2270" s="1229"/>
      <c r="O2270" s="1229"/>
      <c r="P2270" s="1229"/>
      <c r="Q2270" s="1229"/>
      <c r="R2270" s="1229"/>
      <c r="S2270" s="1229"/>
      <c r="T2270" s="1229"/>
      <c r="U2270" s="1229"/>
      <c r="V2270" s="1229"/>
      <c r="W2270" s="1229"/>
      <c r="X2270" s="1229"/>
      <c r="Y2270" s="1229"/>
      <c r="Z2270" s="1229"/>
      <c r="AA2270" s="1229"/>
      <c r="AB2270" s="1229"/>
      <c r="AC2270" s="1229"/>
      <c r="AD2270" s="1229"/>
      <c r="AE2270" s="1229"/>
      <c r="AF2270" s="1229"/>
      <c r="AG2270" s="1229"/>
      <c r="AH2270" s="1229"/>
      <c r="AI2270" s="1229"/>
      <c r="AJ2270" s="1229"/>
      <c r="AK2270" s="1229"/>
      <c r="AL2270" s="1229"/>
      <c r="AM2270" s="1229"/>
      <c r="AN2270" s="1229"/>
      <c r="AO2270" s="1229"/>
      <c r="AP2270" s="1229"/>
      <c r="AQ2270" s="1229"/>
      <c r="AR2270" s="1229"/>
      <c r="AS2270" s="1229"/>
      <c r="AT2270" s="1229"/>
      <c r="AU2270" s="1229"/>
      <c r="AV2270" s="1229"/>
      <c r="AW2270" s="1229"/>
      <c r="AX2270" s="1229"/>
      <c r="AY2270" s="1229"/>
      <c r="AZ2270" s="1229"/>
      <c r="BA2270" s="1229"/>
      <c r="BB2270" s="1229"/>
      <c r="BC2270" s="1229"/>
      <c r="BD2270" s="1229"/>
      <c r="BE2270" s="1229"/>
      <c r="BF2270" s="1229"/>
      <c r="BG2270" s="1229"/>
      <c r="BH2270" s="1229"/>
      <c r="BI2270" s="1229"/>
      <c r="BJ2270" s="1229"/>
      <c r="BK2270" s="1229"/>
      <c r="BL2270" s="1229"/>
      <c r="BM2270" s="1229"/>
      <c r="BN2270" s="1229"/>
      <c r="BO2270" s="1229"/>
      <c r="BP2270" s="1229"/>
      <c r="BQ2270" s="1229"/>
      <c r="BR2270" s="1229"/>
      <c r="BS2270" s="1229"/>
      <c r="BT2270" s="1229"/>
      <c r="BU2270" s="1229"/>
      <c r="BV2270" s="1229"/>
      <c r="BW2270" s="1229"/>
      <c r="BX2270" s="1229"/>
      <c r="BY2270" s="1229"/>
      <c r="BZ2270" s="1229"/>
      <c r="CA2270" s="1229"/>
      <c r="CB2270" s="1229"/>
      <c r="CC2270" s="1229"/>
      <c r="CD2270" s="1229"/>
      <c r="CE2270" s="1229"/>
      <c r="CF2270" s="1229"/>
      <c r="CG2270" s="1229"/>
      <c r="CH2270" s="1229"/>
      <c r="CI2270" s="1229"/>
      <c r="CJ2270" s="1229"/>
      <c r="CK2270" s="1229"/>
      <c r="CL2270" s="1229"/>
      <c r="CM2270" s="1229"/>
      <c r="CN2270" s="1229"/>
      <c r="CO2270" s="1229"/>
      <c r="CP2270" s="1229"/>
      <c r="CQ2270" s="1229"/>
      <c r="CR2270" s="1229"/>
      <c r="CS2270" s="1229"/>
      <c r="CT2270" s="1229"/>
      <c r="CU2270" s="1229"/>
      <c r="CV2270" s="1229"/>
      <c r="CW2270" s="1229"/>
      <c r="CX2270" s="1229"/>
      <c r="CY2270" s="1229"/>
      <c r="CZ2270" s="1229"/>
      <c r="DA2270" s="1229"/>
      <c r="DB2270" s="1229"/>
      <c r="DC2270" s="1229"/>
      <c r="DD2270" s="1229"/>
      <c r="DE2270" s="1229"/>
      <c r="DF2270" s="1229"/>
      <c r="DG2270" s="1229"/>
      <c r="DH2270" s="1229"/>
      <c r="DI2270" s="1229"/>
      <c r="DJ2270" s="1229"/>
      <c r="DK2270" s="1229"/>
      <c r="DL2270" s="1229"/>
      <c r="DM2270" s="1229"/>
      <c r="DN2270" s="1229"/>
      <c r="DO2270" s="1229"/>
      <c r="DP2270" s="1229"/>
      <c r="DQ2270" s="1229"/>
      <c r="DR2270" s="1229"/>
    </row>
    <row r="2271" spans="1:122" s="49" customFormat="1" ht="15" customHeight="1">
      <c r="A2271" s="1221" t="s">
        <v>236</v>
      </c>
      <c r="B2271" s="1222">
        <v>24</v>
      </c>
      <c r="C2271" s="1223">
        <v>10</v>
      </c>
      <c r="D2271" s="1224" t="s">
        <v>211</v>
      </c>
      <c r="E2271" s="1225" t="s">
        <v>73</v>
      </c>
      <c r="F2271" s="1225" t="s">
        <v>237</v>
      </c>
      <c r="G2271" s="1226">
        <v>2.59</v>
      </c>
      <c r="H2271" s="1227">
        <f t="shared" si="19"/>
        <v>2.11</v>
      </c>
      <c r="I2271" s="1227">
        <f t="shared" si="20"/>
        <v>1.86</v>
      </c>
      <c r="J2271" s="1228">
        <v>139.4</v>
      </c>
      <c r="K2271" s="1229"/>
      <c r="L2271" s="1229"/>
      <c r="M2271" s="1229"/>
      <c r="N2271" s="1229"/>
      <c r="O2271" s="1229"/>
      <c r="P2271" s="1229"/>
      <c r="Q2271" s="1229"/>
      <c r="R2271" s="1229"/>
      <c r="S2271" s="1229"/>
      <c r="T2271" s="1229"/>
      <c r="U2271" s="1229"/>
      <c r="V2271" s="1229"/>
      <c r="W2271" s="1229"/>
      <c r="X2271" s="1229"/>
      <c r="Y2271" s="1229"/>
      <c r="Z2271" s="1229"/>
      <c r="AA2271" s="1229"/>
      <c r="AB2271" s="1229"/>
      <c r="AC2271" s="1229"/>
      <c r="AD2271" s="1229"/>
      <c r="AE2271" s="1229"/>
      <c r="AF2271" s="1229"/>
      <c r="AG2271" s="1229"/>
      <c r="AH2271" s="1229"/>
      <c r="AI2271" s="1229"/>
      <c r="AJ2271" s="1229"/>
      <c r="AK2271" s="1229"/>
      <c r="AL2271" s="1229"/>
      <c r="AM2271" s="1229"/>
      <c r="AN2271" s="1229"/>
      <c r="AO2271" s="1229"/>
      <c r="AP2271" s="1229"/>
      <c r="AQ2271" s="1229"/>
      <c r="AR2271" s="1229"/>
      <c r="AS2271" s="1229"/>
      <c r="AT2271" s="1229"/>
      <c r="AU2271" s="1229"/>
      <c r="AV2271" s="1229"/>
      <c r="AW2271" s="1229"/>
      <c r="AX2271" s="1229"/>
      <c r="AY2271" s="1229"/>
      <c r="AZ2271" s="1229"/>
      <c r="BA2271" s="1229"/>
      <c r="BB2271" s="1229"/>
      <c r="BC2271" s="1229"/>
      <c r="BD2271" s="1229"/>
      <c r="BE2271" s="1229"/>
      <c r="BF2271" s="1229"/>
      <c r="BG2271" s="1229"/>
      <c r="BH2271" s="1229"/>
      <c r="BI2271" s="1229"/>
      <c r="BJ2271" s="1229"/>
      <c r="BK2271" s="1229"/>
      <c r="BL2271" s="1229"/>
      <c r="BM2271" s="1229"/>
      <c r="BN2271" s="1229"/>
      <c r="BO2271" s="1229"/>
      <c r="BP2271" s="1229"/>
      <c r="BQ2271" s="1229"/>
      <c r="BR2271" s="1229"/>
      <c r="BS2271" s="1229"/>
      <c r="BT2271" s="1229"/>
      <c r="BU2271" s="1229"/>
      <c r="BV2271" s="1229"/>
      <c r="BW2271" s="1229"/>
      <c r="BX2271" s="1229"/>
      <c r="BY2271" s="1229"/>
      <c r="BZ2271" s="1229"/>
      <c r="CA2271" s="1229"/>
      <c r="CB2271" s="1229"/>
      <c r="CC2271" s="1229"/>
      <c r="CD2271" s="1229"/>
      <c r="CE2271" s="1229"/>
      <c r="CF2271" s="1229"/>
      <c r="CG2271" s="1229"/>
      <c r="CH2271" s="1229"/>
      <c r="CI2271" s="1229"/>
      <c r="CJ2271" s="1229"/>
      <c r="CK2271" s="1229"/>
      <c r="CL2271" s="1229"/>
      <c r="CM2271" s="1229"/>
      <c r="CN2271" s="1229"/>
      <c r="CO2271" s="1229"/>
      <c r="CP2271" s="1229"/>
      <c r="CQ2271" s="1229"/>
      <c r="CR2271" s="1229"/>
      <c r="CS2271" s="1229"/>
      <c r="CT2271" s="1229"/>
      <c r="CU2271" s="1229"/>
      <c r="CV2271" s="1229"/>
      <c r="CW2271" s="1229"/>
      <c r="CX2271" s="1229"/>
      <c r="CY2271" s="1229"/>
      <c r="CZ2271" s="1229"/>
      <c r="DA2271" s="1229"/>
      <c r="DB2271" s="1229"/>
      <c r="DC2271" s="1229"/>
      <c r="DD2271" s="1229"/>
      <c r="DE2271" s="1229"/>
      <c r="DF2271" s="1229"/>
      <c r="DG2271" s="1229"/>
      <c r="DH2271" s="1229"/>
      <c r="DI2271" s="1229"/>
      <c r="DJ2271" s="1229"/>
      <c r="DK2271" s="1229"/>
      <c r="DL2271" s="1229"/>
      <c r="DM2271" s="1229"/>
      <c r="DN2271" s="1229"/>
      <c r="DO2271" s="1229"/>
      <c r="DP2271" s="1229"/>
      <c r="DQ2271" s="1229"/>
      <c r="DR2271" s="1229"/>
    </row>
    <row r="2272" spans="1:122" s="49" customFormat="1" ht="15" customHeight="1">
      <c r="A2272" s="1221" t="s">
        <v>236</v>
      </c>
      <c r="B2272" s="1222">
        <v>36</v>
      </c>
      <c r="C2272" s="1223">
        <v>10</v>
      </c>
      <c r="D2272" s="1224" t="s">
        <v>211</v>
      </c>
      <c r="E2272" s="1225" t="s">
        <v>73</v>
      </c>
      <c r="F2272" s="1225" t="s">
        <v>237</v>
      </c>
      <c r="G2272" s="1226">
        <v>4.3</v>
      </c>
      <c r="H2272" s="1227">
        <f t="shared" si="19"/>
        <v>3.51</v>
      </c>
      <c r="I2272" s="1227">
        <f t="shared" si="20"/>
        <v>3.0999999999999996</v>
      </c>
      <c r="J2272" s="1228">
        <v>231.9</v>
      </c>
      <c r="K2272" s="1229"/>
      <c r="L2272" s="1229"/>
      <c r="M2272" s="1229"/>
      <c r="N2272" s="1229"/>
      <c r="O2272" s="1229"/>
      <c r="P2272" s="1229"/>
      <c r="Q2272" s="1229"/>
      <c r="R2272" s="1229"/>
      <c r="S2272" s="1229"/>
      <c r="T2272" s="1229"/>
      <c r="U2272" s="1229"/>
      <c r="V2272" s="1229"/>
      <c r="W2272" s="1229"/>
      <c r="X2272" s="1229"/>
      <c r="Y2272" s="1229"/>
      <c r="Z2272" s="1229"/>
      <c r="AA2272" s="1229"/>
      <c r="AB2272" s="1229"/>
      <c r="AC2272" s="1229"/>
      <c r="AD2272" s="1229"/>
      <c r="AE2272" s="1229"/>
      <c r="AF2272" s="1229"/>
      <c r="AG2272" s="1229"/>
      <c r="AH2272" s="1229"/>
      <c r="AI2272" s="1229"/>
      <c r="AJ2272" s="1229"/>
      <c r="AK2272" s="1229"/>
      <c r="AL2272" s="1229"/>
      <c r="AM2272" s="1229"/>
      <c r="AN2272" s="1229"/>
      <c r="AO2272" s="1229"/>
      <c r="AP2272" s="1229"/>
      <c r="AQ2272" s="1229"/>
      <c r="AR2272" s="1229"/>
      <c r="AS2272" s="1229"/>
      <c r="AT2272" s="1229"/>
      <c r="AU2272" s="1229"/>
      <c r="AV2272" s="1229"/>
      <c r="AW2272" s="1229"/>
      <c r="AX2272" s="1229"/>
      <c r="AY2272" s="1229"/>
      <c r="AZ2272" s="1229"/>
      <c r="BA2272" s="1229"/>
      <c r="BB2272" s="1229"/>
      <c r="BC2272" s="1229"/>
      <c r="BD2272" s="1229"/>
      <c r="BE2272" s="1229"/>
      <c r="BF2272" s="1229"/>
      <c r="BG2272" s="1229"/>
      <c r="BH2272" s="1229"/>
      <c r="BI2272" s="1229"/>
      <c r="BJ2272" s="1229"/>
      <c r="BK2272" s="1229"/>
      <c r="BL2272" s="1229"/>
      <c r="BM2272" s="1229"/>
      <c r="BN2272" s="1229"/>
      <c r="BO2272" s="1229"/>
      <c r="BP2272" s="1229"/>
      <c r="BQ2272" s="1229"/>
      <c r="BR2272" s="1229"/>
      <c r="BS2272" s="1229"/>
      <c r="BT2272" s="1229"/>
      <c r="BU2272" s="1229"/>
      <c r="BV2272" s="1229"/>
      <c r="BW2272" s="1229"/>
      <c r="BX2272" s="1229"/>
      <c r="BY2272" s="1229"/>
      <c r="BZ2272" s="1229"/>
      <c r="CA2272" s="1229"/>
      <c r="CB2272" s="1229"/>
      <c r="CC2272" s="1229"/>
      <c r="CD2272" s="1229"/>
      <c r="CE2272" s="1229"/>
      <c r="CF2272" s="1229"/>
      <c r="CG2272" s="1229"/>
      <c r="CH2272" s="1229"/>
      <c r="CI2272" s="1229"/>
      <c r="CJ2272" s="1229"/>
      <c r="CK2272" s="1229"/>
      <c r="CL2272" s="1229"/>
      <c r="CM2272" s="1229"/>
      <c r="CN2272" s="1229"/>
      <c r="CO2272" s="1229"/>
      <c r="CP2272" s="1229"/>
      <c r="CQ2272" s="1229"/>
      <c r="CR2272" s="1229"/>
      <c r="CS2272" s="1229"/>
      <c r="CT2272" s="1229"/>
      <c r="CU2272" s="1229"/>
      <c r="CV2272" s="1229"/>
      <c r="CW2272" s="1229"/>
      <c r="CX2272" s="1229"/>
      <c r="CY2272" s="1229"/>
      <c r="CZ2272" s="1229"/>
      <c r="DA2272" s="1229"/>
      <c r="DB2272" s="1229"/>
      <c r="DC2272" s="1229"/>
      <c r="DD2272" s="1229"/>
      <c r="DE2272" s="1229"/>
      <c r="DF2272" s="1229"/>
      <c r="DG2272" s="1229"/>
      <c r="DH2272" s="1229"/>
      <c r="DI2272" s="1229"/>
      <c r="DJ2272" s="1229"/>
      <c r="DK2272" s="1229"/>
      <c r="DL2272" s="1229"/>
      <c r="DM2272" s="1229"/>
      <c r="DN2272" s="1229"/>
      <c r="DO2272" s="1229"/>
      <c r="DP2272" s="1229"/>
      <c r="DQ2272" s="1229"/>
      <c r="DR2272" s="1229"/>
    </row>
    <row r="2273" spans="1:122" s="49" customFormat="1" ht="15" customHeight="1">
      <c r="A2273" s="1221" t="s">
        <v>236</v>
      </c>
      <c r="B2273" s="1222">
        <v>48</v>
      </c>
      <c r="C2273" s="1223">
        <v>10</v>
      </c>
      <c r="D2273" s="1224" t="s">
        <v>211</v>
      </c>
      <c r="E2273" s="1225" t="s">
        <v>73</v>
      </c>
      <c r="F2273" s="1225" t="s">
        <v>237</v>
      </c>
      <c r="G2273" s="1226">
        <v>6.33</v>
      </c>
      <c r="H2273" s="1227">
        <f t="shared" si="19"/>
        <v>5.16</v>
      </c>
      <c r="I2273" s="1227">
        <f t="shared" si="20"/>
        <v>4.5599999999999996</v>
      </c>
      <c r="J2273" s="1228">
        <v>341.8</v>
      </c>
      <c r="K2273" s="1229"/>
      <c r="L2273" s="1229"/>
      <c r="M2273" s="1229"/>
      <c r="N2273" s="1229"/>
      <c r="O2273" s="1229"/>
      <c r="P2273" s="1229"/>
      <c r="Q2273" s="1229"/>
      <c r="R2273" s="1229"/>
      <c r="S2273" s="1229"/>
      <c r="T2273" s="1229"/>
      <c r="U2273" s="1229"/>
      <c r="V2273" s="1229"/>
      <c r="W2273" s="1229"/>
      <c r="X2273" s="1229"/>
      <c r="Y2273" s="1229"/>
      <c r="Z2273" s="1229"/>
      <c r="AA2273" s="1229"/>
      <c r="AB2273" s="1229"/>
      <c r="AC2273" s="1229"/>
      <c r="AD2273" s="1229"/>
      <c r="AE2273" s="1229"/>
      <c r="AF2273" s="1229"/>
      <c r="AG2273" s="1229"/>
      <c r="AH2273" s="1229"/>
      <c r="AI2273" s="1229"/>
      <c r="AJ2273" s="1229"/>
      <c r="AK2273" s="1229"/>
      <c r="AL2273" s="1229"/>
      <c r="AM2273" s="1229"/>
      <c r="AN2273" s="1229"/>
      <c r="AO2273" s="1229"/>
      <c r="AP2273" s="1229"/>
      <c r="AQ2273" s="1229"/>
      <c r="AR2273" s="1229"/>
      <c r="AS2273" s="1229"/>
      <c r="AT2273" s="1229"/>
      <c r="AU2273" s="1229"/>
      <c r="AV2273" s="1229"/>
      <c r="AW2273" s="1229"/>
      <c r="AX2273" s="1229"/>
      <c r="AY2273" s="1229"/>
      <c r="AZ2273" s="1229"/>
      <c r="BA2273" s="1229"/>
      <c r="BB2273" s="1229"/>
      <c r="BC2273" s="1229"/>
      <c r="BD2273" s="1229"/>
      <c r="BE2273" s="1229"/>
      <c r="BF2273" s="1229"/>
      <c r="BG2273" s="1229"/>
      <c r="BH2273" s="1229"/>
      <c r="BI2273" s="1229"/>
      <c r="BJ2273" s="1229"/>
      <c r="BK2273" s="1229"/>
      <c r="BL2273" s="1229"/>
      <c r="BM2273" s="1229"/>
      <c r="BN2273" s="1229"/>
      <c r="BO2273" s="1229"/>
      <c r="BP2273" s="1229"/>
      <c r="BQ2273" s="1229"/>
      <c r="BR2273" s="1229"/>
      <c r="BS2273" s="1229"/>
      <c r="BT2273" s="1229"/>
      <c r="BU2273" s="1229"/>
      <c r="BV2273" s="1229"/>
      <c r="BW2273" s="1229"/>
      <c r="BX2273" s="1229"/>
      <c r="BY2273" s="1229"/>
      <c r="BZ2273" s="1229"/>
      <c r="CA2273" s="1229"/>
      <c r="CB2273" s="1229"/>
      <c r="CC2273" s="1229"/>
      <c r="CD2273" s="1229"/>
      <c r="CE2273" s="1229"/>
      <c r="CF2273" s="1229"/>
      <c r="CG2273" s="1229"/>
      <c r="CH2273" s="1229"/>
      <c r="CI2273" s="1229"/>
      <c r="CJ2273" s="1229"/>
      <c r="CK2273" s="1229"/>
      <c r="CL2273" s="1229"/>
      <c r="CM2273" s="1229"/>
      <c r="CN2273" s="1229"/>
      <c r="CO2273" s="1229"/>
      <c r="CP2273" s="1229"/>
      <c r="CQ2273" s="1229"/>
      <c r="CR2273" s="1229"/>
      <c r="CS2273" s="1229"/>
      <c r="CT2273" s="1229"/>
      <c r="CU2273" s="1229"/>
      <c r="CV2273" s="1229"/>
      <c r="CW2273" s="1229"/>
      <c r="CX2273" s="1229"/>
      <c r="CY2273" s="1229"/>
      <c r="CZ2273" s="1229"/>
      <c r="DA2273" s="1229"/>
      <c r="DB2273" s="1229"/>
      <c r="DC2273" s="1229"/>
      <c r="DD2273" s="1229"/>
      <c r="DE2273" s="1229"/>
      <c r="DF2273" s="1229"/>
      <c r="DG2273" s="1229"/>
      <c r="DH2273" s="1229"/>
      <c r="DI2273" s="1229"/>
      <c r="DJ2273" s="1229"/>
      <c r="DK2273" s="1229"/>
      <c r="DL2273" s="1229"/>
      <c r="DM2273" s="1229"/>
      <c r="DN2273" s="1229"/>
      <c r="DO2273" s="1229"/>
      <c r="DP2273" s="1229"/>
      <c r="DQ2273" s="1229"/>
      <c r="DR2273" s="1229"/>
    </row>
    <row r="2274" spans="1:122" s="49" customFormat="1" ht="15" customHeight="1">
      <c r="A2274" s="1221"/>
      <c r="B2274" s="1222"/>
      <c r="C2274" s="1223"/>
      <c r="D2274" s="1224"/>
      <c r="E2274" s="1225"/>
      <c r="F2274" s="1225"/>
      <c r="G2274" s="1226"/>
      <c r="H2274" s="1226"/>
      <c r="I2274" s="1226"/>
      <c r="J2274" s="1230"/>
      <c r="K2274" s="1229"/>
      <c r="L2274" s="1229"/>
      <c r="M2274" s="1229"/>
      <c r="N2274" s="1229"/>
      <c r="O2274" s="1229"/>
      <c r="P2274" s="1229"/>
      <c r="Q2274" s="1229"/>
      <c r="R2274" s="1229"/>
      <c r="S2274" s="1229"/>
      <c r="T2274" s="1229"/>
      <c r="U2274" s="1229"/>
      <c r="V2274" s="1229"/>
      <c r="W2274" s="1229"/>
      <c r="X2274" s="1229"/>
      <c r="Y2274" s="1229"/>
      <c r="Z2274" s="1229"/>
      <c r="AA2274" s="1229"/>
      <c r="AB2274" s="1229"/>
      <c r="AC2274" s="1229"/>
      <c r="AD2274" s="1229"/>
      <c r="AE2274" s="1229"/>
      <c r="AF2274" s="1229"/>
      <c r="AG2274" s="1229"/>
      <c r="AH2274" s="1229"/>
      <c r="AI2274" s="1229"/>
      <c r="AJ2274" s="1229"/>
      <c r="AK2274" s="1229"/>
      <c r="AL2274" s="1229"/>
      <c r="AM2274" s="1229"/>
      <c r="AN2274" s="1229"/>
      <c r="AO2274" s="1229"/>
      <c r="AP2274" s="1229"/>
      <c r="AQ2274" s="1229"/>
      <c r="AR2274" s="1229"/>
      <c r="AS2274" s="1229"/>
      <c r="AT2274" s="1229"/>
      <c r="AU2274" s="1229"/>
      <c r="AV2274" s="1229"/>
      <c r="AW2274" s="1229"/>
      <c r="AX2274" s="1229"/>
      <c r="AY2274" s="1229"/>
      <c r="AZ2274" s="1229"/>
      <c r="BA2274" s="1229"/>
      <c r="BB2274" s="1229"/>
      <c r="BC2274" s="1229"/>
      <c r="BD2274" s="1229"/>
      <c r="BE2274" s="1229"/>
      <c r="BF2274" s="1229"/>
      <c r="BG2274" s="1229"/>
      <c r="BH2274" s="1229"/>
      <c r="BI2274" s="1229"/>
      <c r="BJ2274" s="1229"/>
      <c r="BK2274" s="1229"/>
      <c r="BL2274" s="1229"/>
      <c r="BM2274" s="1229"/>
      <c r="BN2274" s="1229"/>
      <c r="BO2274" s="1229"/>
      <c r="BP2274" s="1229"/>
      <c r="BQ2274" s="1229"/>
      <c r="BR2274" s="1229"/>
      <c r="BS2274" s="1229"/>
      <c r="BT2274" s="1229"/>
      <c r="BU2274" s="1229"/>
      <c r="BV2274" s="1229"/>
      <c r="BW2274" s="1229"/>
      <c r="BX2274" s="1229"/>
      <c r="BY2274" s="1229"/>
      <c r="BZ2274" s="1229"/>
      <c r="CA2274" s="1229"/>
      <c r="CB2274" s="1229"/>
      <c r="CC2274" s="1229"/>
      <c r="CD2274" s="1229"/>
      <c r="CE2274" s="1229"/>
      <c r="CF2274" s="1229"/>
      <c r="CG2274" s="1229"/>
      <c r="CH2274" s="1229"/>
      <c r="CI2274" s="1229"/>
      <c r="CJ2274" s="1229"/>
      <c r="CK2274" s="1229"/>
      <c r="CL2274" s="1229"/>
      <c r="CM2274" s="1229"/>
      <c r="CN2274" s="1229"/>
      <c r="CO2274" s="1229"/>
      <c r="CP2274" s="1229"/>
      <c r="CQ2274" s="1229"/>
      <c r="CR2274" s="1229"/>
      <c r="CS2274" s="1229"/>
      <c r="CT2274" s="1229"/>
      <c r="CU2274" s="1229"/>
      <c r="CV2274" s="1229"/>
      <c r="CW2274" s="1229"/>
      <c r="CX2274" s="1229"/>
      <c r="CY2274" s="1229"/>
      <c r="CZ2274" s="1229"/>
      <c r="DA2274" s="1229"/>
      <c r="DB2274" s="1229"/>
      <c r="DC2274" s="1229"/>
      <c r="DD2274" s="1229"/>
      <c r="DE2274" s="1229"/>
      <c r="DF2274" s="1229"/>
      <c r="DG2274" s="1229"/>
      <c r="DH2274" s="1229"/>
      <c r="DI2274" s="1229"/>
      <c r="DJ2274" s="1229"/>
      <c r="DK2274" s="1229"/>
      <c r="DL2274" s="1229"/>
      <c r="DM2274" s="1229"/>
      <c r="DN2274" s="1229"/>
      <c r="DO2274" s="1229"/>
      <c r="DP2274" s="1229"/>
      <c r="DQ2274" s="1229"/>
      <c r="DR2274" s="1229"/>
    </row>
    <row r="2275" spans="1:122" s="49" customFormat="1" ht="15" customHeight="1">
      <c r="A2275" s="1221" t="s">
        <v>233</v>
      </c>
      <c r="B2275" s="1222">
        <v>4</v>
      </c>
      <c r="C2275" s="1231">
        <v>40</v>
      </c>
      <c r="D2275" s="1224" t="s">
        <v>211</v>
      </c>
      <c r="E2275" s="1225" t="s">
        <v>234</v>
      </c>
      <c r="F2275" s="1225" t="s">
        <v>235</v>
      </c>
      <c r="G2275" s="1226">
        <v>0.75</v>
      </c>
      <c r="H2275" s="1227">
        <f t="shared" ref="H2275:H2282" si="21">ROUNDUP(J2275/0.53/125,2)</f>
        <v>0.61</v>
      </c>
      <c r="I2275" s="1227">
        <f t="shared" ref="I2275:I2282" si="22">ROUNDUP(J2275/0.6/125,2)</f>
        <v>0.54</v>
      </c>
      <c r="J2275" s="1228">
        <v>40.024999999999999</v>
      </c>
      <c r="K2275" s="1229"/>
      <c r="L2275" s="1229"/>
      <c r="M2275" s="1229"/>
      <c r="N2275" s="1229"/>
      <c r="O2275" s="1229"/>
      <c r="P2275" s="1229"/>
      <c r="Q2275" s="1229"/>
      <c r="R2275" s="1229"/>
      <c r="S2275" s="1229"/>
      <c r="T2275" s="1229"/>
      <c r="U2275" s="1229"/>
      <c r="V2275" s="1229"/>
      <c r="W2275" s="1229"/>
      <c r="X2275" s="1229"/>
      <c r="Y2275" s="1229"/>
      <c r="Z2275" s="1229"/>
      <c r="AA2275" s="1229"/>
      <c r="AB2275" s="1229"/>
      <c r="AC2275" s="1229"/>
      <c r="AD2275" s="1229"/>
      <c r="AE2275" s="1229"/>
      <c r="AF2275" s="1229"/>
      <c r="AG2275" s="1229"/>
      <c r="AH2275" s="1229"/>
      <c r="AI2275" s="1229"/>
      <c r="AJ2275" s="1229"/>
      <c r="AK2275" s="1229"/>
      <c r="AL2275" s="1229"/>
      <c r="AM2275" s="1229"/>
      <c r="AN2275" s="1229"/>
      <c r="AO2275" s="1229"/>
      <c r="AP2275" s="1229"/>
      <c r="AQ2275" s="1229"/>
      <c r="AR2275" s="1229"/>
      <c r="AS2275" s="1229"/>
      <c r="AT2275" s="1229"/>
      <c r="AU2275" s="1229"/>
      <c r="AV2275" s="1229"/>
      <c r="AW2275" s="1229"/>
      <c r="AX2275" s="1229"/>
      <c r="AY2275" s="1229"/>
      <c r="AZ2275" s="1229"/>
      <c r="BA2275" s="1229"/>
      <c r="BB2275" s="1229"/>
      <c r="BC2275" s="1229"/>
      <c r="BD2275" s="1229"/>
      <c r="BE2275" s="1229"/>
      <c r="BF2275" s="1229"/>
      <c r="BG2275" s="1229"/>
      <c r="BH2275" s="1229"/>
      <c r="BI2275" s="1229"/>
      <c r="BJ2275" s="1229"/>
      <c r="BK2275" s="1229"/>
      <c r="BL2275" s="1229"/>
      <c r="BM2275" s="1229"/>
      <c r="BN2275" s="1229"/>
      <c r="BO2275" s="1229"/>
      <c r="BP2275" s="1229"/>
      <c r="BQ2275" s="1229"/>
      <c r="BR2275" s="1229"/>
      <c r="BS2275" s="1229"/>
      <c r="BT2275" s="1229"/>
      <c r="BU2275" s="1229"/>
      <c r="BV2275" s="1229"/>
      <c r="BW2275" s="1229"/>
      <c r="BX2275" s="1229"/>
      <c r="BY2275" s="1229"/>
      <c r="BZ2275" s="1229"/>
      <c r="CA2275" s="1229"/>
      <c r="CB2275" s="1229"/>
      <c r="CC2275" s="1229"/>
      <c r="CD2275" s="1229"/>
      <c r="CE2275" s="1229"/>
      <c r="CF2275" s="1229"/>
      <c r="CG2275" s="1229"/>
      <c r="CH2275" s="1229"/>
      <c r="CI2275" s="1229"/>
      <c r="CJ2275" s="1229"/>
      <c r="CK2275" s="1229"/>
      <c r="CL2275" s="1229"/>
      <c r="CM2275" s="1229"/>
      <c r="CN2275" s="1229"/>
      <c r="CO2275" s="1229"/>
      <c r="CP2275" s="1229"/>
      <c r="CQ2275" s="1229"/>
      <c r="CR2275" s="1229"/>
      <c r="CS2275" s="1229"/>
      <c r="CT2275" s="1229"/>
      <c r="CU2275" s="1229"/>
      <c r="CV2275" s="1229"/>
      <c r="CW2275" s="1229"/>
      <c r="CX2275" s="1229"/>
      <c r="CY2275" s="1229"/>
      <c r="CZ2275" s="1229"/>
      <c r="DA2275" s="1229"/>
      <c r="DB2275" s="1229"/>
      <c r="DC2275" s="1229"/>
      <c r="DD2275" s="1229"/>
      <c r="DE2275" s="1229"/>
      <c r="DF2275" s="1229"/>
      <c r="DG2275" s="1229"/>
      <c r="DH2275" s="1229"/>
      <c r="DI2275" s="1229"/>
      <c r="DJ2275" s="1229"/>
      <c r="DK2275" s="1229"/>
      <c r="DL2275" s="1229"/>
      <c r="DM2275" s="1229"/>
      <c r="DN2275" s="1229"/>
      <c r="DO2275" s="1229"/>
      <c r="DP2275" s="1229"/>
      <c r="DQ2275" s="1229"/>
      <c r="DR2275" s="1229"/>
    </row>
    <row r="2276" spans="1:122" s="49" customFormat="1" ht="15" customHeight="1">
      <c r="A2276" s="1221" t="s">
        <v>233</v>
      </c>
      <c r="B2276" s="1222">
        <v>6</v>
      </c>
      <c r="C2276" s="1223">
        <v>10</v>
      </c>
      <c r="D2276" s="1224" t="s">
        <v>211</v>
      </c>
      <c r="E2276" s="1225" t="s">
        <v>234</v>
      </c>
      <c r="F2276" s="1225" t="s">
        <v>235</v>
      </c>
      <c r="G2276" s="1226">
        <v>0.77</v>
      </c>
      <c r="H2276" s="1227">
        <f t="shared" si="21"/>
        <v>0.63</v>
      </c>
      <c r="I2276" s="1227">
        <f t="shared" si="22"/>
        <v>0.56000000000000005</v>
      </c>
      <c r="J2276" s="1228">
        <v>41.4</v>
      </c>
      <c r="K2276" s="1229"/>
      <c r="L2276" s="1229"/>
      <c r="M2276" s="1229"/>
      <c r="N2276" s="1229"/>
      <c r="O2276" s="1229"/>
      <c r="P2276" s="1229"/>
      <c r="Q2276" s="1229"/>
      <c r="R2276" s="1229"/>
      <c r="S2276" s="1229"/>
      <c r="T2276" s="1229"/>
      <c r="U2276" s="1229"/>
      <c r="V2276" s="1229"/>
      <c r="W2276" s="1229"/>
      <c r="X2276" s="1229"/>
      <c r="Y2276" s="1229"/>
      <c r="Z2276" s="1229"/>
      <c r="AA2276" s="1229"/>
      <c r="AB2276" s="1229"/>
      <c r="AC2276" s="1229"/>
      <c r="AD2276" s="1229"/>
      <c r="AE2276" s="1229"/>
      <c r="AF2276" s="1229"/>
      <c r="AG2276" s="1229"/>
      <c r="AH2276" s="1229"/>
      <c r="AI2276" s="1229"/>
      <c r="AJ2276" s="1229"/>
      <c r="AK2276" s="1229"/>
      <c r="AL2276" s="1229"/>
      <c r="AM2276" s="1229"/>
      <c r="AN2276" s="1229"/>
      <c r="AO2276" s="1229"/>
      <c r="AP2276" s="1229"/>
      <c r="AQ2276" s="1229"/>
      <c r="AR2276" s="1229"/>
      <c r="AS2276" s="1229"/>
      <c r="AT2276" s="1229"/>
      <c r="AU2276" s="1229"/>
      <c r="AV2276" s="1229"/>
      <c r="AW2276" s="1229"/>
      <c r="AX2276" s="1229"/>
      <c r="AY2276" s="1229"/>
      <c r="AZ2276" s="1229"/>
      <c r="BA2276" s="1229"/>
      <c r="BB2276" s="1229"/>
      <c r="BC2276" s="1229"/>
      <c r="BD2276" s="1229"/>
      <c r="BE2276" s="1229"/>
      <c r="BF2276" s="1229"/>
      <c r="BG2276" s="1229"/>
      <c r="BH2276" s="1229"/>
      <c r="BI2276" s="1229"/>
      <c r="BJ2276" s="1229"/>
      <c r="BK2276" s="1229"/>
      <c r="BL2276" s="1229"/>
      <c r="BM2276" s="1229"/>
      <c r="BN2276" s="1229"/>
      <c r="BO2276" s="1229"/>
      <c r="BP2276" s="1229"/>
      <c r="BQ2276" s="1229"/>
      <c r="BR2276" s="1229"/>
      <c r="BS2276" s="1229"/>
      <c r="BT2276" s="1229"/>
      <c r="BU2276" s="1229"/>
      <c r="BV2276" s="1229"/>
      <c r="BW2276" s="1229"/>
      <c r="BX2276" s="1229"/>
      <c r="BY2276" s="1229"/>
      <c r="BZ2276" s="1229"/>
      <c r="CA2276" s="1229"/>
      <c r="CB2276" s="1229"/>
      <c r="CC2276" s="1229"/>
      <c r="CD2276" s="1229"/>
      <c r="CE2276" s="1229"/>
      <c r="CF2276" s="1229"/>
      <c r="CG2276" s="1229"/>
      <c r="CH2276" s="1229"/>
      <c r="CI2276" s="1229"/>
      <c r="CJ2276" s="1229"/>
      <c r="CK2276" s="1229"/>
      <c r="CL2276" s="1229"/>
      <c r="CM2276" s="1229"/>
      <c r="CN2276" s="1229"/>
      <c r="CO2276" s="1229"/>
      <c r="CP2276" s="1229"/>
      <c r="CQ2276" s="1229"/>
      <c r="CR2276" s="1229"/>
      <c r="CS2276" s="1229"/>
      <c r="CT2276" s="1229"/>
      <c r="CU2276" s="1229"/>
      <c r="CV2276" s="1229"/>
      <c r="CW2276" s="1229"/>
      <c r="CX2276" s="1229"/>
      <c r="CY2276" s="1229"/>
      <c r="CZ2276" s="1229"/>
      <c r="DA2276" s="1229"/>
      <c r="DB2276" s="1229"/>
      <c r="DC2276" s="1229"/>
      <c r="DD2276" s="1229"/>
      <c r="DE2276" s="1229"/>
      <c r="DF2276" s="1229"/>
      <c r="DG2276" s="1229"/>
      <c r="DH2276" s="1229"/>
      <c r="DI2276" s="1229"/>
      <c r="DJ2276" s="1229"/>
      <c r="DK2276" s="1229"/>
      <c r="DL2276" s="1229"/>
      <c r="DM2276" s="1229"/>
      <c r="DN2276" s="1229"/>
      <c r="DO2276" s="1229"/>
      <c r="DP2276" s="1229"/>
      <c r="DQ2276" s="1229"/>
      <c r="DR2276" s="1229"/>
    </row>
    <row r="2277" spans="1:122" s="49" customFormat="1" ht="15" customHeight="1">
      <c r="A2277" s="1221" t="s">
        <v>233</v>
      </c>
      <c r="B2277" s="1222">
        <v>9</v>
      </c>
      <c r="C2277" s="1223">
        <v>10</v>
      </c>
      <c r="D2277" s="1224" t="s">
        <v>211</v>
      </c>
      <c r="E2277" s="1225" t="s">
        <v>234</v>
      </c>
      <c r="F2277" s="1225" t="s">
        <v>235</v>
      </c>
      <c r="G2277" s="1226">
        <v>0.86</v>
      </c>
      <c r="H2277" s="1227">
        <f t="shared" si="21"/>
        <v>0.71</v>
      </c>
      <c r="I2277" s="1227">
        <f t="shared" si="22"/>
        <v>0.62</v>
      </c>
      <c r="J2277" s="1228">
        <v>46.4</v>
      </c>
      <c r="K2277" s="1229"/>
      <c r="L2277" s="1229"/>
      <c r="M2277" s="1229"/>
      <c r="N2277" s="1229"/>
      <c r="O2277" s="1229"/>
      <c r="P2277" s="1229"/>
      <c r="Q2277" s="1229"/>
      <c r="R2277" s="1229"/>
      <c r="S2277" s="1229"/>
      <c r="T2277" s="1229"/>
      <c r="U2277" s="1229"/>
      <c r="V2277" s="1229"/>
      <c r="W2277" s="1229"/>
      <c r="X2277" s="1229"/>
      <c r="Y2277" s="1229"/>
      <c r="Z2277" s="1229"/>
      <c r="AA2277" s="1229"/>
      <c r="AB2277" s="1229"/>
      <c r="AC2277" s="1229"/>
      <c r="AD2277" s="1229"/>
      <c r="AE2277" s="1229"/>
      <c r="AF2277" s="1229"/>
      <c r="AG2277" s="1229"/>
      <c r="AH2277" s="1229"/>
      <c r="AI2277" s="1229"/>
      <c r="AJ2277" s="1229"/>
      <c r="AK2277" s="1229"/>
      <c r="AL2277" s="1229"/>
      <c r="AM2277" s="1229"/>
      <c r="AN2277" s="1229"/>
      <c r="AO2277" s="1229"/>
      <c r="AP2277" s="1229"/>
      <c r="AQ2277" s="1229"/>
      <c r="AR2277" s="1229"/>
      <c r="AS2277" s="1229"/>
      <c r="AT2277" s="1229"/>
      <c r="AU2277" s="1229"/>
      <c r="AV2277" s="1229"/>
      <c r="AW2277" s="1229"/>
      <c r="AX2277" s="1229"/>
      <c r="AY2277" s="1229"/>
      <c r="AZ2277" s="1229"/>
      <c r="BA2277" s="1229"/>
      <c r="BB2277" s="1229"/>
      <c r="BC2277" s="1229"/>
      <c r="BD2277" s="1229"/>
      <c r="BE2277" s="1229"/>
      <c r="BF2277" s="1229"/>
      <c r="BG2277" s="1229"/>
      <c r="BH2277" s="1229"/>
      <c r="BI2277" s="1229"/>
      <c r="BJ2277" s="1229"/>
      <c r="BK2277" s="1229"/>
      <c r="BL2277" s="1229"/>
      <c r="BM2277" s="1229"/>
      <c r="BN2277" s="1229"/>
      <c r="BO2277" s="1229"/>
      <c r="BP2277" s="1229"/>
      <c r="BQ2277" s="1229"/>
      <c r="BR2277" s="1229"/>
      <c r="BS2277" s="1229"/>
      <c r="BT2277" s="1229"/>
      <c r="BU2277" s="1229"/>
      <c r="BV2277" s="1229"/>
      <c r="BW2277" s="1229"/>
      <c r="BX2277" s="1229"/>
      <c r="BY2277" s="1229"/>
      <c r="BZ2277" s="1229"/>
      <c r="CA2277" s="1229"/>
      <c r="CB2277" s="1229"/>
      <c r="CC2277" s="1229"/>
      <c r="CD2277" s="1229"/>
      <c r="CE2277" s="1229"/>
      <c r="CF2277" s="1229"/>
      <c r="CG2277" s="1229"/>
      <c r="CH2277" s="1229"/>
      <c r="CI2277" s="1229"/>
      <c r="CJ2277" s="1229"/>
      <c r="CK2277" s="1229"/>
      <c r="CL2277" s="1229"/>
      <c r="CM2277" s="1229"/>
      <c r="CN2277" s="1229"/>
      <c r="CO2277" s="1229"/>
      <c r="CP2277" s="1229"/>
      <c r="CQ2277" s="1229"/>
      <c r="CR2277" s="1229"/>
      <c r="CS2277" s="1229"/>
      <c r="CT2277" s="1229"/>
      <c r="CU2277" s="1229"/>
      <c r="CV2277" s="1229"/>
      <c r="CW2277" s="1229"/>
      <c r="CX2277" s="1229"/>
      <c r="CY2277" s="1229"/>
      <c r="CZ2277" s="1229"/>
      <c r="DA2277" s="1229"/>
      <c r="DB2277" s="1229"/>
      <c r="DC2277" s="1229"/>
      <c r="DD2277" s="1229"/>
      <c r="DE2277" s="1229"/>
      <c r="DF2277" s="1229"/>
      <c r="DG2277" s="1229"/>
      <c r="DH2277" s="1229"/>
      <c r="DI2277" s="1229"/>
      <c r="DJ2277" s="1229"/>
      <c r="DK2277" s="1229"/>
      <c r="DL2277" s="1229"/>
      <c r="DM2277" s="1229"/>
      <c r="DN2277" s="1229"/>
      <c r="DO2277" s="1229"/>
      <c r="DP2277" s="1229"/>
      <c r="DQ2277" s="1229"/>
      <c r="DR2277" s="1229"/>
    </row>
    <row r="2278" spans="1:122" s="49" customFormat="1" ht="15" customHeight="1">
      <c r="A2278" s="1221" t="s">
        <v>233</v>
      </c>
      <c r="B2278" s="1222">
        <v>12</v>
      </c>
      <c r="C2278" s="1223">
        <v>10</v>
      </c>
      <c r="D2278" s="1224" t="s">
        <v>211</v>
      </c>
      <c r="E2278" s="1225" t="s">
        <v>234</v>
      </c>
      <c r="F2278" s="1225" t="s">
        <v>235</v>
      </c>
      <c r="G2278" s="1226">
        <v>0.97</v>
      </c>
      <c r="H2278" s="1227">
        <f t="shared" si="21"/>
        <v>0.79</v>
      </c>
      <c r="I2278" s="1227">
        <f t="shared" si="22"/>
        <v>0.7</v>
      </c>
      <c r="J2278" s="1228">
        <v>52.1</v>
      </c>
      <c r="K2278" s="1229"/>
      <c r="L2278" s="1229"/>
      <c r="M2278" s="1229"/>
      <c r="N2278" s="1229"/>
      <c r="O2278" s="1229"/>
      <c r="P2278" s="1229"/>
      <c r="Q2278" s="1229"/>
      <c r="R2278" s="1229"/>
      <c r="S2278" s="1229"/>
      <c r="T2278" s="1229"/>
      <c r="U2278" s="1229"/>
      <c r="V2278" s="1229"/>
      <c r="W2278" s="1229"/>
      <c r="X2278" s="1229"/>
      <c r="Y2278" s="1229"/>
      <c r="Z2278" s="1229"/>
      <c r="AA2278" s="1229"/>
      <c r="AB2278" s="1229"/>
      <c r="AC2278" s="1229"/>
      <c r="AD2278" s="1229"/>
      <c r="AE2278" s="1229"/>
      <c r="AF2278" s="1229"/>
      <c r="AG2278" s="1229"/>
      <c r="AH2278" s="1229"/>
      <c r="AI2278" s="1229"/>
      <c r="AJ2278" s="1229"/>
      <c r="AK2278" s="1229"/>
      <c r="AL2278" s="1229"/>
      <c r="AM2278" s="1229"/>
      <c r="AN2278" s="1229"/>
      <c r="AO2278" s="1229"/>
      <c r="AP2278" s="1229"/>
      <c r="AQ2278" s="1229"/>
      <c r="AR2278" s="1229"/>
      <c r="AS2278" s="1229"/>
      <c r="AT2278" s="1229"/>
      <c r="AU2278" s="1229"/>
      <c r="AV2278" s="1229"/>
      <c r="AW2278" s="1229"/>
      <c r="AX2278" s="1229"/>
      <c r="AY2278" s="1229"/>
      <c r="AZ2278" s="1229"/>
      <c r="BA2278" s="1229"/>
      <c r="BB2278" s="1229"/>
      <c r="BC2278" s="1229"/>
      <c r="BD2278" s="1229"/>
      <c r="BE2278" s="1229"/>
      <c r="BF2278" s="1229"/>
      <c r="BG2278" s="1229"/>
      <c r="BH2278" s="1229"/>
      <c r="BI2278" s="1229"/>
      <c r="BJ2278" s="1229"/>
      <c r="BK2278" s="1229"/>
      <c r="BL2278" s="1229"/>
      <c r="BM2278" s="1229"/>
      <c r="BN2278" s="1229"/>
      <c r="BO2278" s="1229"/>
      <c r="BP2278" s="1229"/>
      <c r="BQ2278" s="1229"/>
      <c r="BR2278" s="1229"/>
      <c r="BS2278" s="1229"/>
      <c r="BT2278" s="1229"/>
      <c r="BU2278" s="1229"/>
      <c r="BV2278" s="1229"/>
      <c r="BW2278" s="1229"/>
      <c r="BX2278" s="1229"/>
      <c r="BY2278" s="1229"/>
      <c r="BZ2278" s="1229"/>
      <c r="CA2278" s="1229"/>
      <c r="CB2278" s="1229"/>
      <c r="CC2278" s="1229"/>
      <c r="CD2278" s="1229"/>
      <c r="CE2278" s="1229"/>
      <c r="CF2278" s="1229"/>
      <c r="CG2278" s="1229"/>
      <c r="CH2278" s="1229"/>
      <c r="CI2278" s="1229"/>
      <c r="CJ2278" s="1229"/>
      <c r="CK2278" s="1229"/>
      <c r="CL2278" s="1229"/>
      <c r="CM2278" s="1229"/>
      <c r="CN2278" s="1229"/>
      <c r="CO2278" s="1229"/>
      <c r="CP2278" s="1229"/>
      <c r="CQ2278" s="1229"/>
      <c r="CR2278" s="1229"/>
      <c r="CS2278" s="1229"/>
      <c r="CT2278" s="1229"/>
      <c r="CU2278" s="1229"/>
      <c r="CV2278" s="1229"/>
      <c r="CW2278" s="1229"/>
      <c r="CX2278" s="1229"/>
      <c r="CY2278" s="1229"/>
      <c r="CZ2278" s="1229"/>
      <c r="DA2278" s="1229"/>
      <c r="DB2278" s="1229"/>
      <c r="DC2278" s="1229"/>
      <c r="DD2278" s="1229"/>
      <c r="DE2278" s="1229"/>
      <c r="DF2278" s="1229"/>
      <c r="DG2278" s="1229"/>
      <c r="DH2278" s="1229"/>
      <c r="DI2278" s="1229"/>
      <c r="DJ2278" s="1229"/>
      <c r="DK2278" s="1229"/>
      <c r="DL2278" s="1229"/>
      <c r="DM2278" s="1229"/>
      <c r="DN2278" s="1229"/>
      <c r="DO2278" s="1229"/>
      <c r="DP2278" s="1229"/>
      <c r="DQ2278" s="1229"/>
      <c r="DR2278" s="1229"/>
    </row>
    <row r="2279" spans="1:122" s="49" customFormat="1" ht="15" customHeight="1">
      <c r="A2279" s="1221" t="s">
        <v>233</v>
      </c>
      <c r="B2279" s="1222">
        <v>19</v>
      </c>
      <c r="C2279" s="1223">
        <v>10</v>
      </c>
      <c r="D2279" s="1224" t="s">
        <v>211</v>
      </c>
      <c r="E2279" s="1225" t="s">
        <v>234</v>
      </c>
      <c r="F2279" s="1225" t="s">
        <v>235</v>
      </c>
      <c r="G2279" s="1226">
        <v>1.25</v>
      </c>
      <c r="H2279" s="1227">
        <f t="shared" si="21"/>
        <v>1.02</v>
      </c>
      <c r="I2279" s="1227">
        <f t="shared" si="22"/>
        <v>0.9</v>
      </c>
      <c r="J2279" s="1228">
        <v>67.3</v>
      </c>
      <c r="K2279" s="1229"/>
      <c r="L2279" s="1229"/>
      <c r="M2279" s="1229"/>
      <c r="N2279" s="1229"/>
      <c r="O2279" s="1229"/>
      <c r="P2279" s="1229"/>
      <c r="Q2279" s="1229"/>
      <c r="R2279" s="1229"/>
      <c r="S2279" s="1229"/>
      <c r="T2279" s="1229"/>
      <c r="U2279" s="1229"/>
      <c r="V2279" s="1229"/>
      <c r="W2279" s="1229"/>
      <c r="X2279" s="1229"/>
      <c r="Y2279" s="1229"/>
      <c r="Z2279" s="1229"/>
      <c r="AA2279" s="1229"/>
      <c r="AB2279" s="1229"/>
      <c r="AC2279" s="1229"/>
      <c r="AD2279" s="1229"/>
      <c r="AE2279" s="1229"/>
      <c r="AF2279" s="1229"/>
      <c r="AG2279" s="1229"/>
      <c r="AH2279" s="1229"/>
      <c r="AI2279" s="1229"/>
      <c r="AJ2279" s="1229"/>
      <c r="AK2279" s="1229"/>
      <c r="AL2279" s="1229"/>
      <c r="AM2279" s="1229"/>
      <c r="AN2279" s="1229"/>
      <c r="AO2279" s="1229"/>
      <c r="AP2279" s="1229"/>
      <c r="AQ2279" s="1229"/>
      <c r="AR2279" s="1229"/>
      <c r="AS2279" s="1229"/>
      <c r="AT2279" s="1229"/>
      <c r="AU2279" s="1229"/>
      <c r="AV2279" s="1229"/>
      <c r="AW2279" s="1229"/>
      <c r="AX2279" s="1229"/>
      <c r="AY2279" s="1229"/>
      <c r="AZ2279" s="1229"/>
      <c r="BA2279" s="1229"/>
      <c r="BB2279" s="1229"/>
      <c r="BC2279" s="1229"/>
      <c r="BD2279" s="1229"/>
      <c r="BE2279" s="1229"/>
      <c r="BF2279" s="1229"/>
      <c r="BG2279" s="1229"/>
      <c r="BH2279" s="1229"/>
      <c r="BI2279" s="1229"/>
      <c r="BJ2279" s="1229"/>
      <c r="BK2279" s="1229"/>
      <c r="BL2279" s="1229"/>
      <c r="BM2279" s="1229"/>
      <c r="BN2279" s="1229"/>
      <c r="BO2279" s="1229"/>
      <c r="BP2279" s="1229"/>
      <c r="BQ2279" s="1229"/>
      <c r="BR2279" s="1229"/>
      <c r="BS2279" s="1229"/>
      <c r="BT2279" s="1229"/>
      <c r="BU2279" s="1229"/>
      <c r="BV2279" s="1229"/>
      <c r="BW2279" s="1229"/>
      <c r="BX2279" s="1229"/>
      <c r="BY2279" s="1229"/>
      <c r="BZ2279" s="1229"/>
      <c r="CA2279" s="1229"/>
      <c r="CB2279" s="1229"/>
      <c r="CC2279" s="1229"/>
      <c r="CD2279" s="1229"/>
      <c r="CE2279" s="1229"/>
      <c r="CF2279" s="1229"/>
      <c r="CG2279" s="1229"/>
      <c r="CH2279" s="1229"/>
      <c r="CI2279" s="1229"/>
      <c r="CJ2279" s="1229"/>
      <c r="CK2279" s="1229"/>
      <c r="CL2279" s="1229"/>
      <c r="CM2279" s="1229"/>
      <c r="CN2279" s="1229"/>
      <c r="CO2279" s="1229"/>
      <c r="CP2279" s="1229"/>
      <c r="CQ2279" s="1229"/>
      <c r="CR2279" s="1229"/>
      <c r="CS2279" s="1229"/>
      <c r="CT2279" s="1229"/>
      <c r="CU2279" s="1229"/>
      <c r="CV2279" s="1229"/>
      <c r="CW2279" s="1229"/>
      <c r="CX2279" s="1229"/>
      <c r="CY2279" s="1229"/>
      <c r="CZ2279" s="1229"/>
      <c r="DA2279" s="1229"/>
      <c r="DB2279" s="1229"/>
      <c r="DC2279" s="1229"/>
      <c r="DD2279" s="1229"/>
      <c r="DE2279" s="1229"/>
      <c r="DF2279" s="1229"/>
      <c r="DG2279" s="1229"/>
      <c r="DH2279" s="1229"/>
      <c r="DI2279" s="1229"/>
      <c r="DJ2279" s="1229"/>
      <c r="DK2279" s="1229"/>
      <c r="DL2279" s="1229"/>
      <c r="DM2279" s="1229"/>
      <c r="DN2279" s="1229"/>
      <c r="DO2279" s="1229"/>
      <c r="DP2279" s="1229"/>
      <c r="DQ2279" s="1229"/>
      <c r="DR2279" s="1229"/>
    </row>
    <row r="2280" spans="1:122" s="49" customFormat="1" ht="15" customHeight="1">
      <c r="A2280" s="1221" t="s">
        <v>233</v>
      </c>
      <c r="B2280" s="1222">
        <v>24</v>
      </c>
      <c r="C2280" s="1223">
        <v>10</v>
      </c>
      <c r="D2280" s="1224" t="s">
        <v>211</v>
      </c>
      <c r="E2280" s="1225" t="s">
        <v>234</v>
      </c>
      <c r="F2280" s="1225" t="s">
        <v>235</v>
      </c>
      <c r="G2280" s="1226">
        <v>1.53</v>
      </c>
      <c r="H2280" s="1227">
        <f t="shared" si="21"/>
        <v>1.25</v>
      </c>
      <c r="I2280" s="1227">
        <f t="shared" si="22"/>
        <v>1.1100000000000001</v>
      </c>
      <c r="J2280" s="1228">
        <v>82.6</v>
      </c>
      <c r="K2280" s="1229"/>
      <c r="L2280" s="1229"/>
      <c r="M2280" s="1229"/>
      <c r="N2280" s="1229"/>
      <c r="O2280" s="1229"/>
      <c r="P2280" s="1229"/>
      <c r="Q2280" s="1229"/>
      <c r="R2280" s="1229"/>
      <c r="S2280" s="1229"/>
      <c r="T2280" s="1229"/>
      <c r="U2280" s="1229"/>
      <c r="V2280" s="1229"/>
      <c r="W2280" s="1229"/>
      <c r="X2280" s="1229"/>
      <c r="Y2280" s="1229"/>
      <c r="Z2280" s="1229"/>
      <c r="AA2280" s="1229"/>
      <c r="AB2280" s="1229"/>
      <c r="AC2280" s="1229"/>
      <c r="AD2280" s="1229"/>
      <c r="AE2280" s="1229"/>
      <c r="AF2280" s="1229"/>
      <c r="AG2280" s="1229"/>
      <c r="AH2280" s="1229"/>
      <c r="AI2280" s="1229"/>
      <c r="AJ2280" s="1229"/>
      <c r="AK2280" s="1229"/>
      <c r="AL2280" s="1229"/>
      <c r="AM2280" s="1229"/>
      <c r="AN2280" s="1229"/>
      <c r="AO2280" s="1229"/>
      <c r="AP2280" s="1229"/>
      <c r="AQ2280" s="1229"/>
      <c r="AR2280" s="1229"/>
      <c r="AS2280" s="1229"/>
      <c r="AT2280" s="1229"/>
      <c r="AU2280" s="1229"/>
      <c r="AV2280" s="1229"/>
      <c r="AW2280" s="1229"/>
      <c r="AX2280" s="1229"/>
      <c r="AY2280" s="1229"/>
      <c r="AZ2280" s="1229"/>
      <c r="BA2280" s="1229"/>
      <c r="BB2280" s="1229"/>
      <c r="BC2280" s="1229"/>
      <c r="BD2280" s="1229"/>
      <c r="BE2280" s="1229"/>
      <c r="BF2280" s="1229"/>
      <c r="BG2280" s="1229"/>
      <c r="BH2280" s="1229"/>
      <c r="BI2280" s="1229"/>
      <c r="BJ2280" s="1229"/>
      <c r="BK2280" s="1229"/>
      <c r="BL2280" s="1229"/>
      <c r="BM2280" s="1229"/>
      <c r="BN2280" s="1229"/>
      <c r="BO2280" s="1229"/>
      <c r="BP2280" s="1229"/>
      <c r="BQ2280" s="1229"/>
      <c r="BR2280" s="1229"/>
      <c r="BS2280" s="1229"/>
      <c r="BT2280" s="1229"/>
      <c r="BU2280" s="1229"/>
      <c r="BV2280" s="1229"/>
      <c r="BW2280" s="1229"/>
      <c r="BX2280" s="1229"/>
      <c r="BY2280" s="1229"/>
      <c r="BZ2280" s="1229"/>
      <c r="CA2280" s="1229"/>
      <c r="CB2280" s="1229"/>
      <c r="CC2280" s="1229"/>
      <c r="CD2280" s="1229"/>
      <c r="CE2280" s="1229"/>
      <c r="CF2280" s="1229"/>
      <c r="CG2280" s="1229"/>
      <c r="CH2280" s="1229"/>
      <c r="CI2280" s="1229"/>
      <c r="CJ2280" s="1229"/>
      <c r="CK2280" s="1229"/>
      <c r="CL2280" s="1229"/>
      <c r="CM2280" s="1229"/>
      <c r="CN2280" s="1229"/>
      <c r="CO2280" s="1229"/>
      <c r="CP2280" s="1229"/>
      <c r="CQ2280" s="1229"/>
      <c r="CR2280" s="1229"/>
      <c r="CS2280" s="1229"/>
      <c r="CT2280" s="1229"/>
      <c r="CU2280" s="1229"/>
      <c r="CV2280" s="1229"/>
      <c r="CW2280" s="1229"/>
      <c r="CX2280" s="1229"/>
      <c r="CY2280" s="1229"/>
      <c r="CZ2280" s="1229"/>
      <c r="DA2280" s="1229"/>
      <c r="DB2280" s="1229"/>
      <c r="DC2280" s="1229"/>
      <c r="DD2280" s="1229"/>
      <c r="DE2280" s="1229"/>
      <c r="DF2280" s="1229"/>
      <c r="DG2280" s="1229"/>
      <c r="DH2280" s="1229"/>
      <c r="DI2280" s="1229"/>
      <c r="DJ2280" s="1229"/>
      <c r="DK2280" s="1229"/>
      <c r="DL2280" s="1229"/>
      <c r="DM2280" s="1229"/>
      <c r="DN2280" s="1229"/>
      <c r="DO2280" s="1229"/>
      <c r="DP2280" s="1229"/>
      <c r="DQ2280" s="1229"/>
      <c r="DR2280" s="1229"/>
    </row>
    <row r="2281" spans="1:122" s="49" customFormat="1" ht="15" customHeight="1">
      <c r="A2281" s="1221" t="s">
        <v>233</v>
      </c>
      <c r="B2281" s="1222">
        <v>38</v>
      </c>
      <c r="C2281" s="1223">
        <v>10</v>
      </c>
      <c r="D2281" s="1224" t="s">
        <v>211</v>
      </c>
      <c r="E2281" s="1225" t="s">
        <v>234</v>
      </c>
      <c r="F2281" s="1225" t="s">
        <v>235</v>
      </c>
      <c r="G2281" s="1226">
        <v>2.6399999999999997</v>
      </c>
      <c r="H2281" s="1227">
        <f t="shared" si="21"/>
        <v>2.15</v>
      </c>
      <c r="I2281" s="1227">
        <f t="shared" si="22"/>
        <v>1.9</v>
      </c>
      <c r="J2281" s="1228">
        <v>142.30000000000001</v>
      </c>
      <c r="K2281" s="1229"/>
      <c r="L2281" s="1229"/>
      <c r="M2281" s="1229"/>
      <c r="N2281" s="1229"/>
      <c r="O2281" s="1229"/>
      <c r="P2281" s="1229"/>
      <c r="Q2281" s="1229"/>
      <c r="R2281" s="1229"/>
      <c r="S2281" s="1229"/>
      <c r="T2281" s="1229"/>
      <c r="U2281" s="1229"/>
      <c r="V2281" s="1229"/>
      <c r="W2281" s="1229"/>
      <c r="X2281" s="1229"/>
      <c r="Y2281" s="1229"/>
      <c r="Z2281" s="1229"/>
      <c r="AA2281" s="1229"/>
      <c r="AB2281" s="1229"/>
      <c r="AC2281" s="1229"/>
      <c r="AD2281" s="1229"/>
      <c r="AE2281" s="1229"/>
      <c r="AF2281" s="1229"/>
      <c r="AG2281" s="1229"/>
      <c r="AH2281" s="1229"/>
      <c r="AI2281" s="1229"/>
      <c r="AJ2281" s="1229"/>
      <c r="AK2281" s="1229"/>
      <c r="AL2281" s="1229"/>
      <c r="AM2281" s="1229"/>
      <c r="AN2281" s="1229"/>
      <c r="AO2281" s="1229"/>
      <c r="AP2281" s="1229"/>
      <c r="AQ2281" s="1229"/>
      <c r="AR2281" s="1229"/>
      <c r="AS2281" s="1229"/>
      <c r="AT2281" s="1229"/>
      <c r="AU2281" s="1229"/>
      <c r="AV2281" s="1229"/>
      <c r="AW2281" s="1229"/>
      <c r="AX2281" s="1229"/>
      <c r="AY2281" s="1229"/>
      <c r="AZ2281" s="1229"/>
      <c r="BA2281" s="1229"/>
      <c r="BB2281" s="1229"/>
      <c r="BC2281" s="1229"/>
      <c r="BD2281" s="1229"/>
      <c r="BE2281" s="1229"/>
      <c r="BF2281" s="1229"/>
      <c r="BG2281" s="1229"/>
      <c r="BH2281" s="1229"/>
      <c r="BI2281" s="1229"/>
      <c r="BJ2281" s="1229"/>
      <c r="BK2281" s="1229"/>
      <c r="BL2281" s="1229"/>
      <c r="BM2281" s="1229"/>
      <c r="BN2281" s="1229"/>
      <c r="BO2281" s="1229"/>
      <c r="BP2281" s="1229"/>
      <c r="BQ2281" s="1229"/>
      <c r="BR2281" s="1229"/>
      <c r="BS2281" s="1229"/>
      <c r="BT2281" s="1229"/>
      <c r="BU2281" s="1229"/>
      <c r="BV2281" s="1229"/>
      <c r="BW2281" s="1229"/>
      <c r="BX2281" s="1229"/>
      <c r="BY2281" s="1229"/>
      <c r="BZ2281" s="1229"/>
      <c r="CA2281" s="1229"/>
      <c r="CB2281" s="1229"/>
      <c r="CC2281" s="1229"/>
      <c r="CD2281" s="1229"/>
      <c r="CE2281" s="1229"/>
      <c r="CF2281" s="1229"/>
      <c r="CG2281" s="1229"/>
      <c r="CH2281" s="1229"/>
      <c r="CI2281" s="1229"/>
      <c r="CJ2281" s="1229"/>
      <c r="CK2281" s="1229"/>
      <c r="CL2281" s="1229"/>
      <c r="CM2281" s="1229"/>
      <c r="CN2281" s="1229"/>
      <c r="CO2281" s="1229"/>
      <c r="CP2281" s="1229"/>
      <c r="CQ2281" s="1229"/>
      <c r="CR2281" s="1229"/>
      <c r="CS2281" s="1229"/>
      <c r="CT2281" s="1229"/>
      <c r="CU2281" s="1229"/>
      <c r="CV2281" s="1229"/>
      <c r="CW2281" s="1229"/>
      <c r="CX2281" s="1229"/>
      <c r="CY2281" s="1229"/>
      <c r="CZ2281" s="1229"/>
      <c r="DA2281" s="1229"/>
      <c r="DB2281" s="1229"/>
      <c r="DC2281" s="1229"/>
      <c r="DD2281" s="1229"/>
      <c r="DE2281" s="1229"/>
      <c r="DF2281" s="1229"/>
      <c r="DG2281" s="1229"/>
      <c r="DH2281" s="1229"/>
      <c r="DI2281" s="1229"/>
      <c r="DJ2281" s="1229"/>
      <c r="DK2281" s="1229"/>
      <c r="DL2281" s="1229"/>
      <c r="DM2281" s="1229"/>
      <c r="DN2281" s="1229"/>
      <c r="DO2281" s="1229"/>
      <c r="DP2281" s="1229"/>
      <c r="DQ2281" s="1229"/>
      <c r="DR2281" s="1229"/>
    </row>
    <row r="2282" spans="1:122" s="49" customFormat="1" ht="15" customHeight="1">
      <c r="A2282" s="1221" t="s">
        <v>233</v>
      </c>
      <c r="B2282" s="1222">
        <v>50</v>
      </c>
      <c r="C2282" s="1223">
        <v>10</v>
      </c>
      <c r="D2282" s="1224" t="s">
        <v>211</v>
      </c>
      <c r="E2282" s="1225" t="s">
        <v>234</v>
      </c>
      <c r="F2282" s="1225" t="s">
        <v>235</v>
      </c>
      <c r="G2282" s="1226">
        <v>3.48</v>
      </c>
      <c r="H2282" s="1227">
        <f t="shared" si="21"/>
        <v>2.8299999999999996</v>
      </c>
      <c r="I2282" s="1227">
        <f t="shared" si="22"/>
        <v>2.5</v>
      </c>
      <c r="J2282" s="1228">
        <v>187.4</v>
      </c>
      <c r="K2282" s="1229"/>
      <c r="L2282" s="1229"/>
      <c r="M2282" s="1229"/>
      <c r="N2282" s="1229"/>
      <c r="O2282" s="1229"/>
      <c r="P2282" s="1229"/>
      <c r="Q2282" s="1229"/>
      <c r="R2282" s="1229"/>
      <c r="S2282" s="1229"/>
      <c r="T2282" s="1229"/>
      <c r="U2282" s="1229"/>
      <c r="V2282" s="1229"/>
      <c r="W2282" s="1229"/>
      <c r="X2282" s="1229"/>
      <c r="Y2282" s="1229"/>
      <c r="Z2282" s="1229"/>
      <c r="AA2282" s="1229"/>
      <c r="AB2282" s="1229"/>
      <c r="AC2282" s="1229"/>
      <c r="AD2282" s="1229"/>
      <c r="AE2282" s="1229"/>
      <c r="AF2282" s="1229"/>
      <c r="AG2282" s="1229"/>
      <c r="AH2282" s="1229"/>
      <c r="AI2282" s="1229"/>
      <c r="AJ2282" s="1229"/>
      <c r="AK2282" s="1229"/>
      <c r="AL2282" s="1229"/>
      <c r="AM2282" s="1229"/>
      <c r="AN2282" s="1229"/>
      <c r="AO2282" s="1229"/>
      <c r="AP2282" s="1229"/>
      <c r="AQ2282" s="1229"/>
      <c r="AR2282" s="1229"/>
      <c r="AS2282" s="1229"/>
      <c r="AT2282" s="1229"/>
      <c r="AU2282" s="1229"/>
      <c r="AV2282" s="1229"/>
      <c r="AW2282" s="1229"/>
      <c r="AX2282" s="1229"/>
      <c r="AY2282" s="1229"/>
      <c r="AZ2282" s="1229"/>
      <c r="BA2282" s="1229"/>
      <c r="BB2282" s="1229"/>
      <c r="BC2282" s="1229"/>
      <c r="BD2282" s="1229"/>
      <c r="BE2282" s="1229"/>
      <c r="BF2282" s="1229"/>
      <c r="BG2282" s="1229"/>
      <c r="BH2282" s="1229"/>
      <c r="BI2282" s="1229"/>
      <c r="BJ2282" s="1229"/>
      <c r="BK2282" s="1229"/>
      <c r="BL2282" s="1229"/>
      <c r="BM2282" s="1229"/>
      <c r="BN2282" s="1229"/>
      <c r="BO2282" s="1229"/>
      <c r="BP2282" s="1229"/>
      <c r="BQ2282" s="1229"/>
      <c r="BR2282" s="1229"/>
      <c r="BS2282" s="1229"/>
      <c r="BT2282" s="1229"/>
      <c r="BU2282" s="1229"/>
      <c r="BV2282" s="1229"/>
      <c r="BW2282" s="1229"/>
      <c r="BX2282" s="1229"/>
      <c r="BY2282" s="1229"/>
      <c r="BZ2282" s="1229"/>
      <c r="CA2282" s="1229"/>
      <c r="CB2282" s="1229"/>
      <c r="CC2282" s="1229"/>
      <c r="CD2282" s="1229"/>
      <c r="CE2282" s="1229"/>
      <c r="CF2282" s="1229"/>
      <c r="CG2282" s="1229"/>
      <c r="CH2282" s="1229"/>
      <c r="CI2282" s="1229"/>
      <c r="CJ2282" s="1229"/>
      <c r="CK2282" s="1229"/>
      <c r="CL2282" s="1229"/>
      <c r="CM2282" s="1229"/>
      <c r="CN2282" s="1229"/>
      <c r="CO2282" s="1229"/>
      <c r="CP2282" s="1229"/>
      <c r="CQ2282" s="1229"/>
      <c r="CR2282" s="1229"/>
      <c r="CS2282" s="1229"/>
      <c r="CT2282" s="1229"/>
      <c r="CU2282" s="1229"/>
      <c r="CV2282" s="1229"/>
      <c r="CW2282" s="1229"/>
      <c r="CX2282" s="1229"/>
      <c r="CY2282" s="1229"/>
      <c r="CZ2282" s="1229"/>
      <c r="DA2282" s="1229"/>
      <c r="DB2282" s="1229"/>
      <c r="DC2282" s="1229"/>
      <c r="DD2282" s="1229"/>
      <c r="DE2282" s="1229"/>
      <c r="DF2282" s="1229"/>
      <c r="DG2282" s="1229"/>
      <c r="DH2282" s="1229"/>
      <c r="DI2282" s="1229"/>
      <c r="DJ2282" s="1229"/>
      <c r="DK2282" s="1229"/>
      <c r="DL2282" s="1229"/>
      <c r="DM2282" s="1229"/>
      <c r="DN2282" s="1229"/>
      <c r="DO2282" s="1229"/>
      <c r="DP2282" s="1229"/>
      <c r="DQ2282" s="1229"/>
      <c r="DR2282" s="1229"/>
    </row>
    <row r="2283" spans="1:122" s="49" customFormat="1" ht="15" customHeight="1">
      <c r="A2283" s="1221"/>
      <c r="B2283" s="1222"/>
      <c r="C2283" s="1223"/>
      <c r="D2283" s="1224"/>
      <c r="E2283" s="1225"/>
      <c r="F2283" s="1225"/>
      <c r="G2283" s="1226"/>
      <c r="H2283" s="1226"/>
      <c r="I2283" s="1226"/>
      <c r="J2283" s="1230"/>
      <c r="K2283" s="1229"/>
      <c r="L2283" s="1229"/>
      <c r="M2283" s="1229"/>
      <c r="N2283" s="1229"/>
      <c r="O2283" s="1229"/>
      <c r="P2283" s="1229"/>
      <c r="Q2283" s="1229"/>
      <c r="R2283" s="1229"/>
      <c r="S2283" s="1229"/>
      <c r="T2283" s="1229"/>
      <c r="U2283" s="1229"/>
      <c r="V2283" s="1229"/>
      <c r="W2283" s="1229"/>
      <c r="X2283" s="1229"/>
      <c r="Y2283" s="1229"/>
      <c r="Z2283" s="1229"/>
      <c r="AA2283" s="1229"/>
      <c r="AB2283" s="1229"/>
      <c r="AC2283" s="1229"/>
      <c r="AD2283" s="1229"/>
      <c r="AE2283" s="1229"/>
      <c r="AF2283" s="1229"/>
      <c r="AG2283" s="1229"/>
      <c r="AH2283" s="1229"/>
      <c r="AI2283" s="1229"/>
      <c r="AJ2283" s="1229"/>
      <c r="AK2283" s="1229"/>
      <c r="AL2283" s="1229"/>
      <c r="AM2283" s="1229"/>
      <c r="AN2283" s="1229"/>
      <c r="AO2283" s="1229"/>
      <c r="AP2283" s="1229"/>
      <c r="AQ2283" s="1229"/>
      <c r="AR2283" s="1229"/>
      <c r="AS2283" s="1229"/>
      <c r="AT2283" s="1229"/>
      <c r="AU2283" s="1229"/>
      <c r="AV2283" s="1229"/>
      <c r="AW2283" s="1229"/>
      <c r="AX2283" s="1229"/>
      <c r="AY2283" s="1229"/>
      <c r="AZ2283" s="1229"/>
      <c r="BA2283" s="1229"/>
      <c r="BB2283" s="1229"/>
      <c r="BC2283" s="1229"/>
      <c r="BD2283" s="1229"/>
      <c r="BE2283" s="1229"/>
      <c r="BF2283" s="1229"/>
      <c r="BG2283" s="1229"/>
      <c r="BH2283" s="1229"/>
      <c r="BI2283" s="1229"/>
      <c r="BJ2283" s="1229"/>
      <c r="BK2283" s="1229"/>
      <c r="BL2283" s="1229"/>
      <c r="BM2283" s="1229"/>
      <c r="BN2283" s="1229"/>
      <c r="BO2283" s="1229"/>
      <c r="BP2283" s="1229"/>
      <c r="BQ2283" s="1229"/>
      <c r="BR2283" s="1229"/>
      <c r="BS2283" s="1229"/>
      <c r="BT2283" s="1229"/>
      <c r="BU2283" s="1229"/>
      <c r="BV2283" s="1229"/>
      <c r="BW2283" s="1229"/>
      <c r="BX2283" s="1229"/>
      <c r="BY2283" s="1229"/>
      <c r="BZ2283" s="1229"/>
      <c r="CA2283" s="1229"/>
      <c r="CB2283" s="1229"/>
      <c r="CC2283" s="1229"/>
      <c r="CD2283" s="1229"/>
      <c r="CE2283" s="1229"/>
      <c r="CF2283" s="1229"/>
      <c r="CG2283" s="1229"/>
      <c r="CH2283" s="1229"/>
      <c r="CI2283" s="1229"/>
      <c r="CJ2283" s="1229"/>
      <c r="CK2283" s="1229"/>
      <c r="CL2283" s="1229"/>
      <c r="CM2283" s="1229"/>
      <c r="CN2283" s="1229"/>
      <c r="CO2283" s="1229"/>
      <c r="CP2283" s="1229"/>
      <c r="CQ2283" s="1229"/>
      <c r="CR2283" s="1229"/>
      <c r="CS2283" s="1229"/>
      <c r="CT2283" s="1229"/>
      <c r="CU2283" s="1229"/>
      <c r="CV2283" s="1229"/>
      <c r="CW2283" s="1229"/>
      <c r="CX2283" s="1229"/>
      <c r="CY2283" s="1229"/>
      <c r="CZ2283" s="1229"/>
      <c r="DA2283" s="1229"/>
      <c r="DB2283" s="1229"/>
      <c r="DC2283" s="1229"/>
      <c r="DD2283" s="1229"/>
      <c r="DE2283" s="1229"/>
      <c r="DF2283" s="1229"/>
      <c r="DG2283" s="1229"/>
      <c r="DH2283" s="1229"/>
      <c r="DI2283" s="1229"/>
      <c r="DJ2283" s="1229"/>
      <c r="DK2283" s="1229"/>
      <c r="DL2283" s="1229"/>
      <c r="DM2283" s="1229"/>
      <c r="DN2283" s="1229"/>
      <c r="DO2283" s="1229"/>
      <c r="DP2283" s="1229"/>
      <c r="DQ2283" s="1229"/>
      <c r="DR2283" s="1229"/>
    </row>
    <row r="2284" spans="1:122" s="49" customFormat="1" ht="15" customHeight="1">
      <c r="A2284" s="1221" t="s">
        <v>3403</v>
      </c>
      <c r="B2284" s="1232">
        <v>4</v>
      </c>
      <c r="C2284" s="1223">
        <v>40</v>
      </c>
      <c r="D2284" s="1224" t="s">
        <v>211</v>
      </c>
      <c r="E2284" s="1225" t="s">
        <v>234</v>
      </c>
      <c r="F2284" s="1225" t="s">
        <v>3404</v>
      </c>
      <c r="G2284" s="1226">
        <v>0.8</v>
      </c>
      <c r="H2284" s="1227">
        <f t="shared" ref="H2284:H2289" si="23">ROUNDUP(J2284/0.53/125,2)</f>
        <v>0.65</v>
      </c>
      <c r="I2284" s="1227">
        <f t="shared" ref="I2284:I2289" si="24">ROUNDUP(J2284/0.6/125,2)</f>
        <v>0.57000000000000006</v>
      </c>
      <c r="J2284" s="1233">
        <v>42.725000000000001</v>
      </c>
      <c r="K2284" s="1229"/>
      <c r="L2284" s="1229"/>
      <c r="M2284" s="1229"/>
      <c r="N2284" s="1229"/>
      <c r="O2284" s="1229"/>
      <c r="P2284" s="1229"/>
      <c r="Q2284" s="1229"/>
      <c r="R2284" s="1229"/>
      <c r="S2284" s="1229"/>
      <c r="T2284" s="1229"/>
      <c r="U2284" s="1229"/>
      <c r="V2284" s="1229"/>
      <c r="W2284" s="1229"/>
      <c r="X2284" s="1229"/>
      <c r="Y2284" s="1229"/>
      <c r="Z2284" s="1229"/>
      <c r="AA2284" s="1229"/>
      <c r="AB2284" s="1229"/>
      <c r="AC2284" s="1229"/>
      <c r="AD2284" s="1229"/>
      <c r="AE2284" s="1229"/>
      <c r="AF2284" s="1229"/>
      <c r="AG2284" s="1229"/>
      <c r="AH2284" s="1229"/>
      <c r="AI2284" s="1229"/>
      <c r="AJ2284" s="1229"/>
      <c r="AK2284" s="1229"/>
      <c r="AL2284" s="1229"/>
      <c r="AM2284" s="1229"/>
      <c r="AN2284" s="1229"/>
      <c r="AO2284" s="1229"/>
      <c r="AP2284" s="1229"/>
      <c r="AQ2284" s="1229"/>
      <c r="AR2284" s="1229"/>
      <c r="AS2284" s="1229"/>
      <c r="AT2284" s="1229"/>
      <c r="AU2284" s="1229"/>
      <c r="AV2284" s="1229"/>
      <c r="AW2284" s="1229"/>
      <c r="AX2284" s="1229"/>
      <c r="AY2284" s="1229"/>
      <c r="AZ2284" s="1229"/>
      <c r="BA2284" s="1229"/>
      <c r="BB2284" s="1229"/>
      <c r="BC2284" s="1229"/>
      <c r="BD2284" s="1229"/>
      <c r="BE2284" s="1229"/>
      <c r="BF2284" s="1229"/>
      <c r="BG2284" s="1229"/>
      <c r="BH2284" s="1229"/>
      <c r="BI2284" s="1229"/>
      <c r="BJ2284" s="1229"/>
      <c r="BK2284" s="1229"/>
      <c r="BL2284" s="1229"/>
      <c r="BM2284" s="1229"/>
      <c r="BN2284" s="1229"/>
      <c r="BO2284" s="1229"/>
      <c r="BP2284" s="1229"/>
      <c r="BQ2284" s="1229"/>
      <c r="BR2284" s="1229"/>
      <c r="BS2284" s="1229"/>
      <c r="BT2284" s="1229"/>
      <c r="BU2284" s="1229"/>
      <c r="BV2284" s="1229"/>
      <c r="BW2284" s="1229"/>
      <c r="BX2284" s="1229"/>
      <c r="BY2284" s="1229"/>
      <c r="BZ2284" s="1229"/>
      <c r="CA2284" s="1229"/>
      <c r="CB2284" s="1229"/>
      <c r="CC2284" s="1229"/>
      <c r="CD2284" s="1229"/>
      <c r="CE2284" s="1229"/>
      <c r="CF2284" s="1229"/>
      <c r="CG2284" s="1229"/>
      <c r="CH2284" s="1229"/>
      <c r="CI2284" s="1229"/>
      <c r="CJ2284" s="1229"/>
      <c r="CK2284" s="1229"/>
      <c r="CL2284" s="1229"/>
      <c r="CM2284" s="1229"/>
      <c r="CN2284" s="1229"/>
      <c r="CO2284" s="1229"/>
      <c r="CP2284" s="1229"/>
      <c r="CQ2284" s="1229"/>
      <c r="CR2284" s="1229"/>
      <c r="CS2284" s="1229"/>
      <c r="CT2284" s="1229"/>
      <c r="CU2284" s="1229"/>
      <c r="CV2284" s="1229"/>
      <c r="CW2284" s="1229"/>
      <c r="CX2284" s="1229"/>
      <c r="CY2284" s="1229"/>
      <c r="CZ2284" s="1229"/>
      <c r="DA2284" s="1229"/>
      <c r="DB2284" s="1229"/>
      <c r="DC2284" s="1229"/>
      <c r="DD2284" s="1229"/>
      <c r="DE2284" s="1229"/>
      <c r="DF2284" s="1229"/>
      <c r="DG2284" s="1229"/>
      <c r="DH2284" s="1229"/>
      <c r="DI2284" s="1229"/>
      <c r="DJ2284" s="1229"/>
      <c r="DK2284" s="1229"/>
      <c r="DL2284" s="1229"/>
      <c r="DM2284" s="1229"/>
      <c r="DN2284" s="1229"/>
      <c r="DO2284" s="1229"/>
      <c r="DP2284" s="1229"/>
      <c r="DQ2284" s="1229"/>
      <c r="DR2284" s="1229"/>
    </row>
    <row r="2285" spans="1:122" s="49" customFormat="1" ht="15" customHeight="1">
      <c r="A2285" s="1221" t="s">
        <v>3403</v>
      </c>
      <c r="B2285" s="1232">
        <v>6</v>
      </c>
      <c r="C2285" s="1223">
        <v>10</v>
      </c>
      <c r="D2285" s="1224" t="s">
        <v>211</v>
      </c>
      <c r="E2285" s="1225" t="s">
        <v>234</v>
      </c>
      <c r="F2285" s="1225" t="s">
        <v>3404</v>
      </c>
      <c r="G2285" s="1226">
        <v>0.85</v>
      </c>
      <c r="H2285" s="1227">
        <f t="shared" si="23"/>
        <v>0.69000000000000006</v>
      </c>
      <c r="I2285" s="1227">
        <f t="shared" si="24"/>
        <v>0.61</v>
      </c>
      <c r="J2285" s="1228">
        <v>45.7</v>
      </c>
      <c r="K2285" s="1229"/>
      <c r="L2285" s="1229"/>
      <c r="M2285" s="1229"/>
      <c r="N2285" s="1229"/>
      <c r="O2285" s="1229"/>
      <c r="P2285" s="1229"/>
      <c r="Q2285" s="1229"/>
      <c r="R2285" s="1229"/>
      <c r="S2285" s="1229"/>
      <c r="T2285" s="1229"/>
      <c r="U2285" s="1229"/>
      <c r="V2285" s="1229"/>
      <c r="W2285" s="1229"/>
      <c r="X2285" s="1229"/>
      <c r="Y2285" s="1229"/>
      <c r="Z2285" s="1229"/>
      <c r="AA2285" s="1229"/>
      <c r="AB2285" s="1229"/>
      <c r="AC2285" s="1229"/>
      <c r="AD2285" s="1229"/>
      <c r="AE2285" s="1229"/>
      <c r="AF2285" s="1229"/>
      <c r="AG2285" s="1229"/>
      <c r="AH2285" s="1229"/>
      <c r="AI2285" s="1229"/>
      <c r="AJ2285" s="1229"/>
      <c r="AK2285" s="1229"/>
      <c r="AL2285" s="1229"/>
      <c r="AM2285" s="1229"/>
      <c r="AN2285" s="1229"/>
      <c r="AO2285" s="1229"/>
      <c r="AP2285" s="1229"/>
      <c r="AQ2285" s="1229"/>
      <c r="AR2285" s="1229"/>
      <c r="AS2285" s="1229"/>
      <c r="AT2285" s="1229"/>
      <c r="AU2285" s="1229"/>
      <c r="AV2285" s="1229"/>
      <c r="AW2285" s="1229"/>
      <c r="AX2285" s="1229"/>
      <c r="AY2285" s="1229"/>
      <c r="AZ2285" s="1229"/>
      <c r="BA2285" s="1229"/>
      <c r="BB2285" s="1229"/>
      <c r="BC2285" s="1229"/>
      <c r="BD2285" s="1229"/>
      <c r="BE2285" s="1229"/>
      <c r="BF2285" s="1229"/>
      <c r="BG2285" s="1229"/>
      <c r="BH2285" s="1229"/>
      <c r="BI2285" s="1229"/>
      <c r="BJ2285" s="1229"/>
      <c r="BK2285" s="1229"/>
      <c r="BL2285" s="1229"/>
      <c r="BM2285" s="1229"/>
      <c r="BN2285" s="1229"/>
      <c r="BO2285" s="1229"/>
      <c r="BP2285" s="1229"/>
      <c r="BQ2285" s="1229"/>
      <c r="BR2285" s="1229"/>
      <c r="BS2285" s="1229"/>
      <c r="BT2285" s="1229"/>
      <c r="BU2285" s="1229"/>
      <c r="BV2285" s="1229"/>
      <c r="BW2285" s="1229"/>
      <c r="BX2285" s="1229"/>
      <c r="BY2285" s="1229"/>
      <c r="BZ2285" s="1229"/>
      <c r="CA2285" s="1229"/>
      <c r="CB2285" s="1229"/>
      <c r="CC2285" s="1229"/>
      <c r="CD2285" s="1229"/>
      <c r="CE2285" s="1229"/>
      <c r="CF2285" s="1229"/>
      <c r="CG2285" s="1229"/>
      <c r="CH2285" s="1229"/>
      <c r="CI2285" s="1229"/>
      <c r="CJ2285" s="1229"/>
      <c r="CK2285" s="1229"/>
      <c r="CL2285" s="1229"/>
      <c r="CM2285" s="1229"/>
      <c r="CN2285" s="1229"/>
      <c r="CO2285" s="1229"/>
      <c r="CP2285" s="1229"/>
      <c r="CQ2285" s="1229"/>
      <c r="CR2285" s="1229"/>
      <c r="CS2285" s="1229"/>
      <c r="CT2285" s="1229"/>
      <c r="CU2285" s="1229"/>
      <c r="CV2285" s="1229"/>
      <c r="CW2285" s="1229"/>
      <c r="CX2285" s="1229"/>
      <c r="CY2285" s="1229"/>
      <c r="CZ2285" s="1229"/>
      <c r="DA2285" s="1229"/>
      <c r="DB2285" s="1229"/>
      <c r="DC2285" s="1229"/>
      <c r="DD2285" s="1229"/>
      <c r="DE2285" s="1229"/>
      <c r="DF2285" s="1229"/>
      <c r="DG2285" s="1229"/>
      <c r="DH2285" s="1229"/>
      <c r="DI2285" s="1229"/>
      <c r="DJ2285" s="1229"/>
      <c r="DK2285" s="1229"/>
      <c r="DL2285" s="1229"/>
      <c r="DM2285" s="1229"/>
      <c r="DN2285" s="1229"/>
      <c r="DO2285" s="1229"/>
      <c r="DP2285" s="1229"/>
      <c r="DQ2285" s="1229"/>
      <c r="DR2285" s="1229"/>
    </row>
    <row r="2286" spans="1:122" s="49" customFormat="1" ht="15" customHeight="1">
      <c r="A2286" s="1221" t="s">
        <v>3403</v>
      </c>
      <c r="B2286" s="1232">
        <v>9</v>
      </c>
      <c r="C2286" s="1223">
        <v>10</v>
      </c>
      <c r="D2286" s="1224" t="s">
        <v>211</v>
      </c>
      <c r="E2286" s="1225" t="s">
        <v>234</v>
      </c>
      <c r="F2286" s="1225" t="s">
        <v>3404</v>
      </c>
      <c r="G2286" s="1226">
        <v>0.97</v>
      </c>
      <c r="H2286" s="1227">
        <f t="shared" si="23"/>
        <v>0.79</v>
      </c>
      <c r="I2286" s="1227">
        <f t="shared" si="24"/>
        <v>0.7</v>
      </c>
      <c r="J2286" s="1234">
        <v>52</v>
      </c>
      <c r="K2286" s="1229"/>
      <c r="L2286" s="1229"/>
      <c r="M2286" s="1229"/>
      <c r="N2286" s="1229"/>
      <c r="O2286" s="1229"/>
      <c r="P2286" s="1229"/>
      <c r="Q2286" s="1229"/>
      <c r="R2286" s="1229"/>
      <c r="S2286" s="1229"/>
      <c r="T2286" s="1229"/>
      <c r="U2286" s="1229"/>
      <c r="V2286" s="1229"/>
      <c r="W2286" s="1229"/>
      <c r="X2286" s="1229"/>
      <c r="Y2286" s="1229"/>
      <c r="Z2286" s="1229"/>
      <c r="AA2286" s="1229"/>
      <c r="AB2286" s="1229"/>
      <c r="AC2286" s="1229"/>
      <c r="AD2286" s="1229"/>
      <c r="AE2286" s="1229"/>
      <c r="AF2286" s="1229"/>
      <c r="AG2286" s="1229"/>
      <c r="AH2286" s="1229"/>
      <c r="AI2286" s="1229"/>
      <c r="AJ2286" s="1229"/>
      <c r="AK2286" s="1229"/>
      <c r="AL2286" s="1229"/>
      <c r="AM2286" s="1229"/>
      <c r="AN2286" s="1229"/>
      <c r="AO2286" s="1229"/>
      <c r="AP2286" s="1229"/>
      <c r="AQ2286" s="1229"/>
      <c r="AR2286" s="1229"/>
      <c r="AS2286" s="1229"/>
      <c r="AT2286" s="1229"/>
      <c r="AU2286" s="1229"/>
      <c r="AV2286" s="1229"/>
      <c r="AW2286" s="1229"/>
      <c r="AX2286" s="1229"/>
      <c r="AY2286" s="1229"/>
      <c r="AZ2286" s="1229"/>
      <c r="BA2286" s="1229"/>
      <c r="BB2286" s="1229"/>
      <c r="BC2286" s="1229"/>
      <c r="BD2286" s="1229"/>
      <c r="BE2286" s="1229"/>
      <c r="BF2286" s="1229"/>
      <c r="BG2286" s="1229"/>
      <c r="BH2286" s="1229"/>
      <c r="BI2286" s="1229"/>
      <c r="BJ2286" s="1229"/>
      <c r="BK2286" s="1229"/>
      <c r="BL2286" s="1229"/>
      <c r="BM2286" s="1229"/>
      <c r="BN2286" s="1229"/>
      <c r="BO2286" s="1229"/>
      <c r="BP2286" s="1229"/>
      <c r="BQ2286" s="1229"/>
      <c r="BR2286" s="1229"/>
      <c r="BS2286" s="1229"/>
      <c r="BT2286" s="1229"/>
      <c r="BU2286" s="1229"/>
      <c r="BV2286" s="1229"/>
      <c r="BW2286" s="1229"/>
      <c r="BX2286" s="1229"/>
      <c r="BY2286" s="1229"/>
      <c r="BZ2286" s="1229"/>
      <c r="CA2286" s="1229"/>
      <c r="CB2286" s="1229"/>
      <c r="CC2286" s="1229"/>
      <c r="CD2286" s="1229"/>
      <c r="CE2286" s="1229"/>
      <c r="CF2286" s="1229"/>
      <c r="CG2286" s="1229"/>
      <c r="CH2286" s="1229"/>
      <c r="CI2286" s="1229"/>
      <c r="CJ2286" s="1229"/>
      <c r="CK2286" s="1229"/>
      <c r="CL2286" s="1229"/>
      <c r="CM2286" s="1229"/>
      <c r="CN2286" s="1229"/>
      <c r="CO2286" s="1229"/>
      <c r="CP2286" s="1229"/>
      <c r="CQ2286" s="1229"/>
      <c r="CR2286" s="1229"/>
      <c r="CS2286" s="1229"/>
      <c r="CT2286" s="1229"/>
      <c r="CU2286" s="1229"/>
      <c r="CV2286" s="1229"/>
      <c r="CW2286" s="1229"/>
      <c r="CX2286" s="1229"/>
      <c r="CY2286" s="1229"/>
      <c r="CZ2286" s="1229"/>
      <c r="DA2286" s="1229"/>
      <c r="DB2286" s="1229"/>
      <c r="DC2286" s="1229"/>
      <c r="DD2286" s="1229"/>
      <c r="DE2286" s="1229"/>
      <c r="DF2286" s="1229"/>
      <c r="DG2286" s="1229"/>
      <c r="DH2286" s="1229"/>
      <c r="DI2286" s="1229"/>
      <c r="DJ2286" s="1229"/>
      <c r="DK2286" s="1229"/>
      <c r="DL2286" s="1229"/>
      <c r="DM2286" s="1229"/>
      <c r="DN2286" s="1229"/>
      <c r="DO2286" s="1229"/>
      <c r="DP2286" s="1229"/>
      <c r="DQ2286" s="1229"/>
      <c r="DR2286" s="1229"/>
    </row>
    <row r="2287" spans="1:122" s="49" customFormat="1" ht="15" customHeight="1">
      <c r="A2287" s="1221" t="s">
        <v>3403</v>
      </c>
      <c r="B2287" s="1232">
        <v>12</v>
      </c>
      <c r="C2287" s="1223">
        <v>10</v>
      </c>
      <c r="D2287" s="1224" t="s">
        <v>211</v>
      </c>
      <c r="E2287" s="1225" t="s">
        <v>234</v>
      </c>
      <c r="F2287" s="1225" t="s">
        <v>3404</v>
      </c>
      <c r="G2287" s="1226">
        <v>1.08</v>
      </c>
      <c r="H2287" s="1227">
        <f t="shared" si="23"/>
        <v>0.88</v>
      </c>
      <c r="I2287" s="1227">
        <f t="shared" si="24"/>
        <v>0.78</v>
      </c>
      <c r="J2287" s="1228">
        <v>58.3</v>
      </c>
      <c r="K2287" s="1229"/>
      <c r="L2287" s="1229"/>
      <c r="M2287" s="1229"/>
      <c r="N2287" s="1229"/>
      <c r="O2287" s="1229"/>
      <c r="P2287" s="1229"/>
      <c r="Q2287" s="1229"/>
      <c r="R2287" s="1229"/>
      <c r="S2287" s="1229"/>
      <c r="T2287" s="1229"/>
      <c r="U2287" s="1229"/>
      <c r="V2287" s="1229"/>
      <c r="W2287" s="1229"/>
      <c r="X2287" s="1229"/>
      <c r="Y2287" s="1229"/>
      <c r="Z2287" s="1229"/>
      <c r="AA2287" s="1229"/>
      <c r="AB2287" s="1229"/>
      <c r="AC2287" s="1229"/>
      <c r="AD2287" s="1229"/>
      <c r="AE2287" s="1229"/>
      <c r="AF2287" s="1229"/>
      <c r="AG2287" s="1229"/>
      <c r="AH2287" s="1229"/>
      <c r="AI2287" s="1229"/>
      <c r="AJ2287" s="1229"/>
      <c r="AK2287" s="1229"/>
      <c r="AL2287" s="1229"/>
      <c r="AM2287" s="1229"/>
      <c r="AN2287" s="1229"/>
      <c r="AO2287" s="1229"/>
      <c r="AP2287" s="1229"/>
      <c r="AQ2287" s="1229"/>
      <c r="AR2287" s="1229"/>
      <c r="AS2287" s="1229"/>
      <c r="AT2287" s="1229"/>
      <c r="AU2287" s="1229"/>
      <c r="AV2287" s="1229"/>
      <c r="AW2287" s="1229"/>
      <c r="AX2287" s="1229"/>
      <c r="AY2287" s="1229"/>
      <c r="AZ2287" s="1229"/>
      <c r="BA2287" s="1229"/>
      <c r="BB2287" s="1229"/>
      <c r="BC2287" s="1229"/>
      <c r="BD2287" s="1229"/>
      <c r="BE2287" s="1229"/>
      <c r="BF2287" s="1229"/>
      <c r="BG2287" s="1229"/>
      <c r="BH2287" s="1229"/>
      <c r="BI2287" s="1229"/>
      <c r="BJ2287" s="1229"/>
      <c r="BK2287" s="1229"/>
      <c r="BL2287" s="1229"/>
      <c r="BM2287" s="1229"/>
      <c r="BN2287" s="1229"/>
      <c r="BO2287" s="1229"/>
      <c r="BP2287" s="1229"/>
      <c r="BQ2287" s="1229"/>
      <c r="BR2287" s="1229"/>
      <c r="BS2287" s="1229"/>
      <c r="BT2287" s="1229"/>
      <c r="BU2287" s="1229"/>
      <c r="BV2287" s="1229"/>
      <c r="BW2287" s="1229"/>
      <c r="BX2287" s="1229"/>
      <c r="BY2287" s="1229"/>
      <c r="BZ2287" s="1229"/>
      <c r="CA2287" s="1229"/>
      <c r="CB2287" s="1229"/>
      <c r="CC2287" s="1229"/>
      <c r="CD2287" s="1229"/>
      <c r="CE2287" s="1229"/>
      <c r="CF2287" s="1229"/>
      <c r="CG2287" s="1229"/>
      <c r="CH2287" s="1229"/>
      <c r="CI2287" s="1229"/>
      <c r="CJ2287" s="1229"/>
      <c r="CK2287" s="1229"/>
      <c r="CL2287" s="1229"/>
      <c r="CM2287" s="1229"/>
      <c r="CN2287" s="1229"/>
      <c r="CO2287" s="1229"/>
      <c r="CP2287" s="1229"/>
      <c r="CQ2287" s="1229"/>
      <c r="CR2287" s="1229"/>
      <c r="CS2287" s="1229"/>
      <c r="CT2287" s="1229"/>
      <c r="CU2287" s="1229"/>
      <c r="CV2287" s="1229"/>
      <c r="CW2287" s="1229"/>
      <c r="CX2287" s="1229"/>
      <c r="CY2287" s="1229"/>
      <c r="CZ2287" s="1229"/>
      <c r="DA2287" s="1229"/>
      <c r="DB2287" s="1229"/>
      <c r="DC2287" s="1229"/>
      <c r="DD2287" s="1229"/>
      <c r="DE2287" s="1229"/>
      <c r="DF2287" s="1229"/>
      <c r="DG2287" s="1229"/>
      <c r="DH2287" s="1229"/>
      <c r="DI2287" s="1229"/>
      <c r="DJ2287" s="1229"/>
      <c r="DK2287" s="1229"/>
      <c r="DL2287" s="1229"/>
      <c r="DM2287" s="1229"/>
      <c r="DN2287" s="1229"/>
      <c r="DO2287" s="1229"/>
      <c r="DP2287" s="1229"/>
      <c r="DQ2287" s="1229"/>
      <c r="DR2287" s="1229"/>
    </row>
    <row r="2288" spans="1:122" s="49" customFormat="1" ht="15" customHeight="1">
      <c r="A2288" s="1221" t="s">
        <v>3403</v>
      </c>
      <c r="B2288" s="1232">
        <v>19</v>
      </c>
      <c r="C2288" s="1223">
        <v>10</v>
      </c>
      <c r="D2288" s="1224" t="s">
        <v>211</v>
      </c>
      <c r="E2288" s="1225" t="s">
        <v>234</v>
      </c>
      <c r="F2288" s="1225" t="s">
        <v>3404</v>
      </c>
      <c r="G2288" s="1226">
        <v>1.44</v>
      </c>
      <c r="H2288" s="1227">
        <f t="shared" si="23"/>
        <v>1.17</v>
      </c>
      <c r="I2288" s="1227">
        <f t="shared" si="24"/>
        <v>1.04</v>
      </c>
      <c r="J2288" s="1228">
        <v>77.400000000000006</v>
      </c>
      <c r="K2288" s="1229"/>
      <c r="L2288" s="1229"/>
      <c r="M2288" s="1229"/>
      <c r="N2288" s="1229"/>
      <c r="O2288" s="1229"/>
      <c r="P2288" s="1229"/>
      <c r="Q2288" s="1229"/>
      <c r="R2288" s="1229"/>
      <c r="S2288" s="1229"/>
      <c r="T2288" s="1229"/>
      <c r="U2288" s="1229"/>
      <c r="V2288" s="1229"/>
      <c r="W2288" s="1229"/>
      <c r="X2288" s="1229"/>
      <c r="Y2288" s="1229"/>
      <c r="Z2288" s="1229"/>
      <c r="AA2288" s="1229"/>
      <c r="AB2288" s="1229"/>
      <c r="AC2288" s="1229"/>
      <c r="AD2288" s="1229"/>
      <c r="AE2288" s="1229"/>
      <c r="AF2288" s="1229"/>
      <c r="AG2288" s="1229"/>
      <c r="AH2288" s="1229"/>
      <c r="AI2288" s="1229"/>
      <c r="AJ2288" s="1229"/>
      <c r="AK2288" s="1229"/>
      <c r="AL2288" s="1229"/>
      <c r="AM2288" s="1229"/>
      <c r="AN2288" s="1229"/>
      <c r="AO2288" s="1229"/>
      <c r="AP2288" s="1229"/>
      <c r="AQ2288" s="1229"/>
      <c r="AR2288" s="1229"/>
      <c r="AS2288" s="1229"/>
      <c r="AT2288" s="1229"/>
      <c r="AU2288" s="1229"/>
      <c r="AV2288" s="1229"/>
      <c r="AW2288" s="1229"/>
      <c r="AX2288" s="1229"/>
      <c r="AY2288" s="1229"/>
      <c r="AZ2288" s="1229"/>
      <c r="BA2288" s="1229"/>
      <c r="BB2288" s="1229"/>
      <c r="BC2288" s="1229"/>
      <c r="BD2288" s="1229"/>
      <c r="BE2288" s="1229"/>
      <c r="BF2288" s="1229"/>
      <c r="BG2288" s="1229"/>
      <c r="BH2288" s="1229"/>
      <c r="BI2288" s="1229"/>
      <c r="BJ2288" s="1229"/>
      <c r="BK2288" s="1229"/>
      <c r="BL2288" s="1229"/>
      <c r="BM2288" s="1229"/>
      <c r="BN2288" s="1229"/>
      <c r="BO2288" s="1229"/>
      <c r="BP2288" s="1229"/>
      <c r="BQ2288" s="1229"/>
      <c r="BR2288" s="1229"/>
      <c r="BS2288" s="1229"/>
      <c r="BT2288" s="1229"/>
      <c r="BU2288" s="1229"/>
      <c r="BV2288" s="1229"/>
      <c r="BW2288" s="1229"/>
      <c r="BX2288" s="1229"/>
      <c r="BY2288" s="1229"/>
      <c r="BZ2288" s="1229"/>
      <c r="CA2288" s="1229"/>
      <c r="CB2288" s="1229"/>
      <c r="CC2288" s="1229"/>
      <c r="CD2288" s="1229"/>
      <c r="CE2288" s="1229"/>
      <c r="CF2288" s="1229"/>
      <c r="CG2288" s="1229"/>
      <c r="CH2288" s="1229"/>
      <c r="CI2288" s="1229"/>
      <c r="CJ2288" s="1229"/>
      <c r="CK2288" s="1229"/>
      <c r="CL2288" s="1229"/>
      <c r="CM2288" s="1229"/>
      <c r="CN2288" s="1229"/>
      <c r="CO2288" s="1229"/>
      <c r="CP2288" s="1229"/>
      <c r="CQ2288" s="1229"/>
      <c r="CR2288" s="1229"/>
      <c r="CS2288" s="1229"/>
      <c r="CT2288" s="1229"/>
      <c r="CU2288" s="1229"/>
      <c r="CV2288" s="1229"/>
      <c r="CW2288" s="1229"/>
      <c r="CX2288" s="1229"/>
      <c r="CY2288" s="1229"/>
      <c r="CZ2288" s="1229"/>
      <c r="DA2288" s="1229"/>
      <c r="DB2288" s="1229"/>
      <c r="DC2288" s="1229"/>
      <c r="DD2288" s="1229"/>
      <c r="DE2288" s="1229"/>
      <c r="DF2288" s="1229"/>
      <c r="DG2288" s="1229"/>
      <c r="DH2288" s="1229"/>
      <c r="DI2288" s="1229"/>
      <c r="DJ2288" s="1229"/>
      <c r="DK2288" s="1229"/>
      <c r="DL2288" s="1229"/>
      <c r="DM2288" s="1229"/>
      <c r="DN2288" s="1229"/>
      <c r="DO2288" s="1229"/>
      <c r="DP2288" s="1229"/>
      <c r="DQ2288" s="1229"/>
      <c r="DR2288" s="1229"/>
    </row>
    <row r="2289" spans="1:122" s="49" customFormat="1" ht="15" customHeight="1">
      <c r="A2289" s="1221" t="s">
        <v>3403</v>
      </c>
      <c r="B2289" s="1232">
        <v>25</v>
      </c>
      <c r="C2289" s="1223">
        <v>10</v>
      </c>
      <c r="D2289" s="1224" t="s">
        <v>211</v>
      </c>
      <c r="E2289" s="1225" t="s">
        <v>234</v>
      </c>
      <c r="F2289" s="1225" t="s">
        <v>3404</v>
      </c>
      <c r="G2289" s="1226">
        <v>1.79</v>
      </c>
      <c r="H2289" s="1227">
        <f t="shared" si="23"/>
        <v>1.46</v>
      </c>
      <c r="I2289" s="1227">
        <f t="shared" si="24"/>
        <v>1.29</v>
      </c>
      <c r="J2289" s="1228">
        <v>96.5</v>
      </c>
      <c r="K2289" s="1229"/>
      <c r="L2289" s="1229"/>
      <c r="M2289" s="1229"/>
      <c r="N2289" s="1229"/>
      <c r="O2289" s="1229"/>
      <c r="P2289" s="1229"/>
      <c r="Q2289" s="1229"/>
      <c r="R2289" s="1229"/>
      <c r="S2289" s="1229"/>
      <c r="T2289" s="1229"/>
      <c r="U2289" s="1229"/>
      <c r="V2289" s="1229"/>
      <c r="W2289" s="1229"/>
      <c r="X2289" s="1229"/>
      <c r="Y2289" s="1229"/>
      <c r="Z2289" s="1229"/>
      <c r="AA2289" s="1229"/>
      <c r="AB2289" s="1229"/>
      <c r="AC2289" s="1229"/>
      <c r="AD2289" s="1229"/>
      <c r="AE2289" s="1229"/>
      <c r="AF2289" s="1229"/>
      <c r="AG2289" s="1229"/>
      <c r="AH2289" s="1229"/>
      <c r="AI2289" s="1229"/>
      <c r="AJ2289" s="1229"/>
      <c r="AK2289" s="1229"/>
      <c r="AL2289" s="1229"/>
      <c r="AM2289" s="1229"/>
      <c r="AN2289" s="1229"/>
      <c r="AO2289" s="1229"/>
      <c r="AP2289" s="1229"/>
      <c r="AQ2289" s="1229"/>
      <c r="AR2289" s="1229"/>
      <c r="AS2289" s="1229"/>
      <c r="AT2289" s="1229"/>
      <c r="AU2289" s="1229"/>
      <c r="AV2289" s="1229"/>
      <c r="AW2289" s="1229"/>
      <c r="AX2289" s="1229"/>
      <c r="AY2289" s="1229"/>
      <c r="AZ2289" s="1229"/>
      <c r="BA2289" s="1229"/>
      <c r="BB2289" s="1229"/>
      <c r="BC2289" s="1229"/>
      <c r="BD2289" s="1229"/>
      <c r="BE2289" s="1229"/>
      <c r="BF2289" s="1229"/>
      <c r="BG2289" s="1229"/>
      <c r="BH2289" s="1229"/>
      <c r="BI2289" s="1229"/>
      <c r="BJ2289" s="1229"/>
      <c r="BK2289" s="1229"/>
      <c r="BL2289" s="1229"/>
      <c r="BM2289" s="1229"/>
      <c r="BN2289" s="1229"/>
      <c r="BO2289" s="1229"/>
      <c r="BP2289" s="1229"/>
      <c r="BQ2289" s="1229"/>
      <c r="BR2289" s="1229"/>
      <c r="BS2289" s="1229"/>
      <c r="BT2289" s="1229"/>
      <c r="BU2289" s="1229"/>
      <c r="BV2289" s="1229"/>
      <c r="BW2289" s="1229"/>
      <c r="BX2289" s="1229"/>
      <c r="BY2289" s="1229"/>
      <c r="BZ2289" s="1229"/>
      <c r="CA2289" s="1229"/>
      <c r="CB2289" s="1229"/>
      <c r="CC2289" s="1229"/>
      <c r="CD2289" s="1229"/>
      <c r="CE2289" s="1229"/>
      <c r="CF2289" s="1229"/>
      <c r="CG2289" s="1229"/>
      <c r="CH2289" s="1229"/>
      <c r="CI2289" s="1229"/>
      <c r="CJ2289" s="1229"/>
      <c r="CK2289" s="1229"/>
      <c r="CL2289" s="1229"/>
      <c r="CM2289" s="1229"/>
      <c r="CN2289" s="1229"/>
      <c r="CO2289" s="1229"/>
      <c r="CP2289" s="1229"/>
      <c r="CQ2289" s="1229"/>
      <c r="CR2289" s="1229"/>
      <c r="CS2289" s="1229"/>
      <c r="CT2289" s="1229"/>
      <c r="CU2289" s="1229"/>
      <c r="CV2289" s="1229"/>
      <c r="CW2289" s="1229"/>
      <c r="CX2289" s="1229"/>
      <c r="CY2289" s="1229"/>
      <c r="CZ2289" s="1229"/>
      <c r="DA2289" s="1229"/>
      <c r="DB2289" s="1229"/>
      <c r="DC2289" s="1229"/>
      <c r="DD2289" s="1229"/>
      <c r="DE2289" s="1229"/>
      <c r="DF2289" s="1229"/>
      <c r="DG2289" s="1229"/>
      <c r="DH2289" s="1229"/>
      <c r="DI2289" s="1229"/>
      <c r="DJ2289" s="1229"/>
      <c r="DK2289" s="1229"/>
      <c r="DL2289" s="1229"/>
      <c r="DM2289" s="1229"/>
      <c r="DN2289" s="1229"/>
      <c r="DO2289" s="1229"/>
      <c r="DP2289" s="1229"/>
      <c r="DQ2289" s="1229"/>
      <c r="DR2289" s="1229"/>
    </row>
    <row r="2290" spans="1:122" s="49" customFormat="1" ht="15" customHeight="1">
      <c r="A2290" s="1221"/>
      <c r="B2290" s="1232"/>
      <c r="C2290" s="1223"/>
      <c r="D2290" s="1224"/>
      <c r="E2290" s="1225"/>
      <c r="F2290" s="1225"/>
      <c r="G2290" s="1226"/>
      <c r="H2290" s="1226"/>
      <c r="I2290" s="1226"/>
      <c r="J2290" s="1230"/>
      <c r="K2290" s="1229"/>
      <c r="L2290" s="1229"/>
      <c r="M2290" s="1229"/>
      <c r="N2290" s="1229"/>
      <c r="O2290" s="1229"/>
      <c r="P2290" s="1229"/>
      <c r="Q2290" s="1229"/>
      <c r="R2290" s="1229"/>
      <c r="S2290" s="1229"/>
      <c r="T2290" s="1229"/>
      <c r="U2290" s="1229"/>
      <c r="V2290" s="1229"/>
      <c r="W2290" s="1229"/>
      <c r="X2290" s="1229"/>
      <c r="Y2290" s="1229"/>
      <c r="Z2290" s="1229"/>
      <c r="AA2290" s="1229"/>
      <c r="AB2290" s="1229"/>
      <c r="AC2290" s="1229"/>
      <c r="AD2290" s="1229"/>
      <c r="AE2290" s="1229"/>
      <c r="AF2290" s="1229"/>
      <c r="AG2290" s="1229"/>
      <c r="AH2290" s="1229"/>
      <c r="AI2290" s="1229"/>
      <c r="AJ2290" s="1229"/>
      <c r="AK2290" s="1229"/>
      <c r="AL2290" s="1229"/>
      <c r="AM2290" s="1229"/>
      <c r="AN2290" s="1229"/>
      <c r="AO2290" s="1229"/>
      <c r="AP2290" s="1229"/>
      <c r="AQ2290" s="1229"/>
      <c r="AR2290" s="1229"/>
      <c r="AS2290" s="1229"/>
      <c r="AT2290" s="1229"/>
      <c r="AU2290" s="1229"/>
      <c r="AV2290" s="1229"/>
      <c r="AW2290" s="1229"/>
      <c r="AX2290" s="1229"/>
      <c r="AY2290" s="1229"/>
      <c r="AZ2290" s="1229"/>
      <c r="BA2290" s="1229"/>
      <c r="BB2290" s="1229"/>
      <c r="BC2290" s="1229"/>
      <c r="BD2290" s="1229"/>
      <c r="BE2290" s="1229"/>
      <c r="BF2290" s="1229"/>
      <c r="BG2290" s="1229"/>
      <c r="BH2290" s="1229"/>
      <c r="BI2290" s="1229"/>
      <c r="BJ2290" s="1229"/>
      <c r="BK2290" s="1229"/>
      <c r="BL2290" s="1229"/>
      <c r="BM2290" s="1229"/>
      <c r="BN2290" s="1229"/>
      <c r="BO2290" s="1229"/>
      <c r="BP2290" s="1229"/>
      <c r="BQ2290" s="1229"/>
      <c r="BR2290" s="1229"/>
      <c r="BS2290" s="1229"/>
      <c r="BT2290" s="1229"/>
      <c r="BU2290" s="1229"/>
      <c r="BV2290" s="1229"/>
      <c r="BW2290" s="1229"/>
      <c r="BX2290" s="1229"/>
      <c r="BY2290" s="1229"/>
      <c r="BZ2290" s="1229"/>
      <c r="CA2290" s="1229"/>
      <c r="CB2290" s="1229"/>
      <c r="CC2290" s="1229"/>
      <c r="CD2290" s="1229"/>
      <c r="CE2290" s="1229"/>
      <c r="CF2290" s="1229"/>
      <c r="CG2290" s="1229"/>
      <c r="CH2290" s="1229"/>
      <c r="CI2290" s="1229"/>
      <c r="CJ2290" s="1229"/>
      <c r="CK2290" s="1229"/>
      <c r="CL2290" s="1229"/>
      <c r="CM2290" s="1229"/>
      <c r="CN2290" s="1229"/>
      <c r="CO2290" s="1229"/>
      <c r="CP2290" s="1229"/>
      <c r="CQ2290" s="1229"/>
      <c r="CR2290" s="1229"/>
      <c r="CS2290" s="1229"/>
      <c r="CT2290" s="1229"/>
      <c r="CU2290" s="1229"/>
      <c r="CV2290" s="1229"/>
      <c r="CW2290" s="1229"/>
      <c r="CX2290" s="1229"/>
      <c r="CY2290" s="1229"/>
      <c r="CZ2290" s="1229"/>
      <c r="DA2290" s="1229"/>
      <c r="DB2290" s="1229"/>
      <c r="DC2290" s="1229"/>
      <c r="DD2290" s="1229"/>
      <c r="DE2290" s="1229"/>
      <c r="DF2290" s="1229"/>
      <c r="DG2290" s="1229"/>
      <c r="DH2290" s="1229"/>
      <c r="DI2290" s="1229"/>
      <c r="DJ2290" s="1229"/>
      <c r="DK2290" s="1229"/>
      <c r="DL2290" s="1229"/>
      <c r="DM2290" s="1229"/>
      <c r="DN2290" s="1229"/>
      <c r="DO2290" s="1229"/>
      <c r="DP2290" s="1229"/>
      <c r="DQ2290" s="1229"/>
      <c r="DR2290" s="1229"/>
    </row>
    <row r="2291" spans="1:122" s="49" customFormat="1" ht="15" customHeight="1">
      <c r="A2291" s="1221" t="s">
        <v>3318</v>
      </c>
      <c r="B2291" s="1222">
        <v>4</v>
      </c>
      <c r="C2291" s="1223">
        <v>40</v>
      </c>
      <c r="D2291" s="1224" t="s">
        <v>211</v>
      </c>
      <c r="E2291" s="1225" t="s">
        <v>73</v>
      </c>
      <c r="F2291" s="1225" t="s">
        <v>3319</v>
      </c>
      <c r="G2291" s="1226">
        <v>1.59</v>
      </c>
      <c r="H2291" s="1227">
        <f t="shared" ref="H2291:H2296" si="25">ROUNDUP(J2291/0.53/125,2)</f>
        <v>1.3</v>
      </c>
      <c r="I2291" s="1227">
        <f t="shared" ref="I2291:I2296" si="26">ROUNDUP(J2291/0.6/125,2)</f>
        <v>1.1399999999999999</v>
      </c>
      <c r="J2291" s="1235">
        <v>85.474999999999994</v>
      </c>
      <c r="K2291" s="1229"/>
      <c r="L2291" s="1229"/>
      <c r="M2291" s="1229"/>
      <c r="N2291" s="1229"/>
      <c r="O2291" s="1229"/>
      <c r="P2291" s="1229"/>
      <c r="Q2291" s="1229"/>
      <c r="R2291" s="1229"/>
      <c r="S2291" s="1229"/>
      <c r="T2291" s="1229"/>
      <c r="U2291" s="1229"/>
      <c r="V2291" s="1229"/>
      <c r="W2291" s="1229"/>
      <c r="X2291" s="1229"/>
      <c r="Y2291" s="1229"/>
      <c r="Z2291" s="1229"/>
      <c r="AA2291" s="1229"/>
      <c r="AB2291" s="1229"/>
      <c r="AC2291" s="1229"/>
      <c r="AD2291" s="1229"/>
      <c r="AE2291" s="1229"/>
      <c r="AF2291" s="1229"/>
      <c r="AG2291" s="1229"/>
      <c r="AH2291" s="1229"/>
      <c r="AI2291" s="1229"/>
      <c r="AJ2291" s="1229"/>
      <c r="AK2291" s="1229"/>
      <c r="AL2291" s="1229"/>
      <c r="AM2291" s="1229"/>
      <c r="AN2291" s="1229"/>
      <c r="AO2291" s="1229"/>
      <c r="AP2291" s="1229"/>
      <c r="AQ2291" s="1229"/>
      <c r="AR2291" s="1229"/>
      <c r="AS2291" s="1229"/>
      <c r="AT2291" s="1229"/>
      <c r="AU2291" s="1229"/>
      <c r="AV2291" s="1229"/>
      <c r="AW2291" s="1229"/>
      <c r="AX2291" s="1229"/>
      <c r="AY2291" s="1229"/>
      <c r="AZ2291" s="1229"/>
      <c r="BA2291" s="1229"/>
      <c r="BB2291" s="1229"/>
      <c r="BC2291" s="1229"/>
      <c r="BD2291" s="1229"/>
      <c r="BE2291" s="1229"/>
      <c r="BF2291" s="1229"/>
      <c r="BG2291" s="1229"/>
      <c r="BH2291" s="1229"/>
      <c r="BI2291" s="1229"/>
      <c r="BJ2291" s="1229"/>
      <c r="BK2291" s="1229"/>
      <c r="BL2291" s="1229"/>
      <c r="BM2291" s="1229"/>
      <c r="BN2291" s="1229"/>
      <c r="BO2291" s="1229"/>
      <c r="BP2291" s="1229"/>
      <c r="BQ2291" s="1229"/>
      <c r="BR2291" s="1229"/>
      <c r="BS2291" s="1229"/>
      <c r="BT2291" s="1229"/>
      <c r="BU2291" s="1229"/>
      <c r="BV2291" s="1229"/>
      <c r="BW2291" s="1229"/>
      <c r="BX2291" s="1229"/>
      <c r="BY2291" s="1229"/>
      <c r="BZ2291" s="1229"/>
      <c r="CA2291" s="1229"/>
      <c r="CB2291" s="1229"/>
      <c r="CC2291" s="1229"/>
      <c r="CD2291" s="1229"/>
      <c r="CE2291" s="1229"/>
      <c r="CF2291" s="1229"/>
      <c r="CG2291" s="1229"/>
      <c r="CH2291" s="1229"/>
      <c r="CI2291" s="1229"/>
      <c r="CJ2291" s="1229"/>
      <c r="CK2291" s="1229"/>
      <c r="CL2291" s="1229"/>
      <c r="CM2291" s="1229"/>
      <c r="CN2291" s="1229"/>
      <c r="CO2291" s="1229"/>
      <c r="CP2291" s="1229"/>
      <c r="CQ2291" s="1229"/>
      <c r="CR2291" s="1229"/>
      <c r="CS2291" s="1229"/>
      <c r="CT2291" s="1229"/>
      <c r="CU2291" s="1229"/>
      <c r="CV2291" s="1229"/>
      <c r="CW2291" s="1229"/>
      <c r="CX2291" s="1229"/>
      <c r="CY2291" s="1229"/>
      <c r="CZ2291" s="1229"/>
      <c r="DA2291" s="1229"/>
      <c r="DB2291" s="1229"/>
      <c r="DC2291" s="1229"/>
      <c r="DD2291" s="1229"/>
      <c r="DE2291" s="1229"/>
      <c r="DF2291" s="1229"/>
      <c r="DG2291" s="1229"/>
      <c r="DH2291" s="1229"/>
      <c r="DI2291" s="1229"/>
      <c r="DJ2291" s="1229"/>
      <c r="DK2291" s="1229"/>
      <c r="DL2291" s="1229"/>
      <c r="DM2291" s="1229"/>
      <c r="DN2291" s="1229"/>
      <c r="DO2291" s="1229"/>
      <c r="DP2291" s="1229"/>
      <c r="DQ2291" s="1229"/>
      <c r="DR2291" s="1229"/>
    </row>
    <row r="2292" spans="1:122" s="49" customFormat="1" ht="15" customHeight="1">
      <c r="A2292" s="1221" t="s">
        <v>3318</v>
      </c>
      <c r="B2292" s="1222">
        <v>7</v>
      </c>
      <c r="C2292" s="1223">
        <v>10</v>
      </c>
      <c r="D2292" s="1224" t="s">
        <v>211</v>
      </c>
      <c r="E2292" s="1225" t="s">
        <v>73</v>
      </c>
      <c r="F2292" s="1225" t="s">
        <v>3319</v>
      </c>
      <c r="G2292" s="1226">
        <v>1.7</v>
      </c>
      <c r="H2292" s="1227">
        <f t="shared" si="25"/>
        <v>1.3800000000000001</v>
      </c>
      <c r="I2292" s="1227">
        <f t="shared" si="26"/>
        <v>1.22</v>
      </c>
      <c r="J2292" s="1228">
        <v>91.3</v>
      </c>
      <c r="K2292" s="1229"/>
      <c r="L2292" s="1229"/>
      <c r="M2292" s="1229"/>
      <c r="N2292" s="1229"/>
      <c r="O2292" s="1229"/>
      <c r="P2292" s="1229"/>
      <c r="Q2292" s="1229"/>
      <c r="R2292" s="1229"/>
      <c r="S2292" s="1229"/>
      <c r="T2292" s="1229"/>
      <c r="U2292" s="1229"/>
      <c r="V2292" s="1229"/>
      <c r="W2292" s="1229"/>
      <c r="X2292" s="1229"/>
      <c r="Y2292" s="1229"/>
      <c r="Z2292" s="1229"/>
      <c r="AA2292" s="1229"/>
      <c r="AB2292" s="1229"/>
      <c r="AC2292" s="1229"/>
      <c r="AD2292" s="1229"/>
      <c r="AE2292" s="1229"/>
      <c r="AF2292" s="1229"/>
      <c r="AG2292" s="1229"/>
      <c r="AH2292" s="1229"/>
      <c r="AI2292" s="1229"/>
      <c r="AJ2292" s="1229"/>
      <c r="AK2292" s="1229"/>
      <c r="AL2292" s="1229"/>
      <c r="AM2292" s="1229"/>
      <c r="AN2292" s="1229"/>
      <c r="AO2292" s="1229"/>
      <c r="AP2292" s="1229"/>
      <c r="AQ2292" s="1229"/>
      <c r="AR2292" s="1229"/>
      <c r="AS2292" s="1229"/>
      <c r="AT2292" s="1229"/>
      <c r="AU2292" s="1229"/>
      <c r="AV2292" s="1229"/>
      <c r="AW2292" s="1229"/>
      <c r="AX2292" s="1229"/>
      <c r="AY2292" s="1229"/>
      <c r="AZ2292" s="1229"/>
      <c r="BA2292" s="1229"/>
      <c r="BB2292" s="1229"/>
      <c r="BC2292" s="1229"/>
      <c r="BD2292" s="1229"/>
      <c r="BE2292" s="1229"/>
      <c r="BF2292" s="1229"/>
      <c r="BG2292" s="1229"/>
      <c r="BH2292" s="1229"/>
      <c r="BI2292" s="1229"/>
      <c r="BJ2292" s="1229"/>
      <c r="BK2292" s="1229"/>
      <c r="BL2292" s="1229"/>
      <c r="BM2292" s="1229"/>
      <c r="BN2292" s="1229"/>
      <c r="BO2292" s="1229"/>
      <c r="BP2292" s="1229"/>
      <c r="BQ2292" s="1229"/>
      <c r="BR2292" s="1229"/>
      <c r="BS2292" s="1229"/>
      <c r="BT2292" s="1229"/>
      <c r="BU2292" s="1229"/>
      <c r="BV2292" s="1229"/>
      <c r="BW2292" s="1229"/>
      <c r="BX2292" s="1229"/>
      <c r="BY2292" s="1229"/>
      <c r="BZ2292" s="1229"/>
      <c r="CA2292" s="1229"/>
      <c r="CB2292" s="1229"/>
      <c r="CC2292" s="1229"/>
      <c r="CD2292" s="1229"/>
      <c r="CE2292" s="1229"/>
      <c r="CF2292" s="1229"/>
      <c r="CG2292" s="1229"/>
      <c r="CH2292" s="1229"/>
      <c r="CI2292" s="1229"/>
      <c r="CJ2292" s="1229"/>
      <c r="CK2292" s="1229"/>
      <c r="CL2292" s="1229"/>
      <c r="CM2292" s="1229"/>
      <c r="CN2292" s="1229"/>
      <c r="CO2292" s="1229"/>
      <c r="CP2292" s="1229"/>
      <c r="CQ2292" s="1229"/>
      <c r="CR2292" s="1229"/>
      <c r="CS2292" s="1229"/>
      <c r="CT2292" s="1229"/>
      <c r="CU2292" s="1229"/>
      <c r="CV2292" s="1229"/>
      <c r="CW2292" s="1229"/>
      <c r="CX2292" s="1229"/>
      <c r="CY2292" s="1229"/>
      <c r="CZ2292" s="1229"/>
      <c r="DA2292" s="1229"/>
      <c r="DB2292" s="1229"/>
      <c r="DC2292" s="1229"/>
      <c r="DD2292" s="1229"/>
      <c r="DE2292" s="1229"/>
      <c r="DF2292" s="1229"/>
      <c r="DG2292" s="1229"/>
      <c r="DH2292" s="1229"/>
      <c r="DI2292" s="1229"/>
      <c r="DJ2292" s="1229"/>
      <c r="DK2292" s="1229"/>
      <c r="DL2292" s="1229"/>
      <c r="DM2292" s="1229"/>
      <c r="DN2292" s="1229"/>
      <c r="DO2292" s="1229"/>
      <c r="DP2292" s="1229"/>
      <c r="DQ2292" s="1229"/>
      <c r="DR2292" s="1229"/>
    </row>
    <row r="2293" spans="1:122" s="49" customFormat="1" ht="15" customHeight="1">
      <c r="A2293" s="1221" t="s">
        <v>3318</v>
      </c>
      <c r="B2293" s="1222">
        <v>10</v>
      </c>
      <c r="C2293" s="1223">
        <v>10</v>
      </c>
      <c r="D2293" s="1224" t="s">
        <v>211</v>
      </c>
      <c r="E2293" s="1225" t="s">
        <v>73</v>
      </c>
      <c r="F2293" s="1225" t="s">
        <v>3319</v>
      </c>
      <c r="G2293" s="1226">
        <v>1.87</v>
      </c>
      <c r="H2293" s="1227">
        <f t="shared" si="25"/>
        <v>1.52</v>
      </c>
      <c r="I2293" s="1227">
        <f t="shared" si="26"/>
        <v>1.34</v>
      </c>
      <c r="J2293" s="1228">
        <v>100.5</v>
      </c>
      <c r="K2293" s="1229"/>
      <c r="L2293" s="1229"/>
      <c r="M2293" s="1229"/>
      <c r="N2293" s="1229"/>
      <c r="O2293" s="1229"/>
      <c r="P2293" s="1229"/>
      <c r="Q2293" s="1229"/>
      <c r="R2293" s="1229"/>
      <c r="S2293" s="1229"/>
      <c r="T2293" s="1229"/>
      <c r="U2293" s="1229"/>
      <c r="V2293" s="1229"/>
      <c r="W2293" s="1229"/>
      <c r="X2293" s="1229"/>
      <c r="Y2293" s="1229"/>
      <c r="Z2293" s="1229"/>
      <c r="AA2293" s="1229"/>
      <c r="AB2293" s="1229"/>
      <c r="AC2293" s="1229"/>
      <c r="AD2293" s="1229"/>
      <c r="AE2293" s="1229"/>
      <c r="AF2293" s="1229"/>
      <c r="AG2293" s="1229"/>
      <c r="AH2293" s="1229"/>
      <c r="AI2293" s="1229"/>
      <c r="AJ2293" s="1229"/>
      <c r="AK2293" s="1229"/>
      <c r="AL2293" s="1229"/>
      <c r="AM2293" s="1229"/>
      <c r="AN2293" s="1229"/>
      <c r="AO2293" s="1229"/>
      <c r="AP2293" s="1229"/>
      <c r="AQ2293" s="1229"/>
      <c r="AR2293" s="1229"/>
      <c r="AS2293" s="1229"/>
      <c r="AT2293" s="1229"/>
      <c r="AU2293" s="1229"/>
      <c r="AV2293" s="1229"/>
      <c r="AW2293" s="1229"/>
      <c r="AX2293" s="1229"/>
      <c r="AY2293" s="1229"/>
      <c r="AZ2293" s="1229"/>
      <c r="BA2293" s="1229"/>
      <c r="BB2293" s="1229"/>
      <c r="BC2293" s="1229"/>
      <c r="BD2293" s="1229"/>
      <c r="BE2293" s="1229"/>
      <c r="BF2293" s="1229"/>
      <c r="BG2293" s="1229"/>
      <c r="BH2293" s="1229"/>
      <c r="BI2293" s="1229"/>
      <c r="BJ2293" s="1229"/>
      <c r="BK2293" s="1229"/>
      <c r="BL2293" s="1229"/>
      <c r="BM2293" s="1229"/>
      <c r="BN2293" s="1229"/>
      <c r="BO2293" s="1229"/>
      <c r="BP2293" s="1229"/>
      <c r="BQ2293" s="1229"/>
      <c r="BR2293" s="1229"/>
      <c r="BS2293" s="1229"/>
      <c r="BT2293" s="1229"/>
      <c r="BU2293" s="1229"/>
      <c r="BV2293" s="1229"/>
      <c r="BW2293" s="1229"/>
      <c r="BX2293" s="1229"/>
      <c r="BY2293" s="1229"/>
      <c r="BZ2293" s="1229"/>
      <c r="CA2293" s="1229"/>
      <c r="CB2293" s="1229"/>
      <c r="CC2293" s="1229"/>
      <c r="CD2293" s="1229"/>
      <c r="CE2293" s="1229"/>
      <c r="CF2293" s="1229"/>
      <c r="CG2293" s="1229"/>
      <c r="CH2293" s="1229"/>
      <c r="CI2293" s="1229"/>
      <c r="CJ2293" s="1229"/>
      <c r="CK2293" s="1229"/>
      <c r="CL2293" s="1229"/>
      <c r="CM2293" s="1229"/>
      <c r="CN2293" s="1229"/>
      <c r="CO2293" s="1229"/>
      <c r="CP2293" s="1229"/>
      <c r="CQ2293" s="1229"/>
      <c r="CR2293" s="1229"/>
      <c r="CS2293" s="1229"/>
      <c r="CT2293" s="1229"/>
      <c r="CU2293" s="1229"/>
      <c r="CV2293" s="1229"/>
      <c r="CW2293" s="1229"/>
      <c r="CX2293" s="1229"/>
      <c r="CY2293" s="1229"/>
      <c r="CZ2293" s="1229"/>
      <c r="DA2293" s="1229"/>
      <c r="DB2293" s="1229"/>
      <c r="DC2293" s="1229"/>
      <c r="DD2293" s="1229"/>
      <c r="DE2293" s="1229"/>
      <c r="DF2293" s="1229"/>
      <c r="DG2293" s="1229"/>
      <c r="DH2293" s="1229"/>
      <c r="DI2293" s="1229"/>
      <c r="DJ2293" s="1229"/>
      <c r="DK2293" s="1229"/>
      <c r="DL2293" s="1229"/>
      <c r="DM2293" s="1229"/>
      <c r="DN2293" s="1229"/>
      <c r="DO2293" s="1229"/>
      <c r="DP2293" s="1229"/>
      <c r="DQ2293" s="1229"/>
      <c r="DR2293" s="1229"/>
    </row>
    <row r="2294" spans="1:122" s="49" customFormat="1" ht="15" customHeight="1">
      <c r="A2294" s="1221" t="s">
        <v>3318</v>
      </c>
      <c r="B2294" s="1222">
        <v>13</v>
      </c>
      <c r="C2294" s="1223">
        <v>10</v>
      </c>
      <c r="D2294" s="1224" t="s">
        <v>211</v>
      </c>
      <c r="E2294" s="1225" t="s">
        <v>73</v>
      </c>
      <c r="F2294" s="1225" t="s">
        <v>3319</v>
      </c>
      <c r="G2294" s="1226">
        <v>2.0399999999999996</v>
      </c>
      <c r="H2294" s="1227">
        <f t="shared" si="25"/>
        <v>1.66</v>
      </c>
      <c r="I2294" s="1227">
        <f t="shared" si="26"/>
        <v>1.47</v>
      </c>
      <c r="J2294" s="1228">
        <v>109.8</v>
      </c>
      <c r="K2294" s="1229"/>
      <c r="L2294" s="1229"/>
      <c r="M2294" s="1229"/>
      <c r="N2294" s="1229"/>
      <c r="O2294" s="1229"/>
      <c r="P2294" s="1229"/>
      <c r="Q2294" s="1229"/>
      <c r="R2294" s="1229"/>
      <c r="S2294" s="1229"/>
      <c r="T2294" s="1229"/>
      <c r="U2294" s="1229"/>
      <c r="V2294" s="1229"/>
      <c r="W2294" s="1229"/>
      <c r="X2294" s="1229"/>
      <c r="Y2294" s="1229"/>
      <c r="Z2294" s="1229"/>
      <c r="AA2294" s="1229"/>
      <c r="AB2294" s="1229"/>
      <c r="AC2294" s="1229"/>
      <c r="AD2294" s="1229"/>
      <c r="AE2294" s="1229"/>
      <c r="AF2294" s="1229"/>
      <c r="AG2294" s="1229"/>
      <c r="AH2294" s="1229"/>
      <c r="AI2294" s="1229"/>
      <c r="AJ2294" s="1229"/>
      <c r="AK2294" s="1229"/>
      <c r="AL2294" s="1229"/>
      <c r="AM2294" s="1229"/>
      <c r="AN2294" s="1229"/>
      <c r="AO2294" s="1229"/>
      <c r="AP2294" s="1229"/>
      <c r="AQ2294" s="1229"/>
      <c r="AR2294" s="1229"/>
      <c r="AS2294" s="1229"/>
      <c r="AT2294" s="1229"/>
      <c r="AU2294" s="1229"/>
      <c r="AV2294" s="1229"/>
      <c r="AW2294" s="1229"/>
      <c r="AX2294" s="1229"/>
      <c r="AY2294" s="1229"/>
      <c r="AZ2294" s="1229"/>
      <c r="BA2294" s="1229"/>
      <c r="BB2294" s="1229"/>
      <c r="BC2294" s="1229"/>
      <c r="BD2294" s="1229"/>
      <c r="BE2294" s="1229"/>
      <c r="BF2294" s="1229"/>
      <c r="BG2294" s="1229"/>
      <c r="BH2294" s="1229"/>
      <c r="BI2294" s="1229"/>
      <c r="BJ2294" s="1229"/>
      <c r="BK2294" s="1229"/>
      <c r="BL2294" s="1229"/>
      <c r="BM2294" s="1229"/>
      <c r="BN2294" s="1229"/>
      <c r="BO2294" s="1229"/>
      <c r="BP2294" s="1229"/>
      <c r="BQ2294" s="1229"/>
      <c r="BR2294" s="1229"/>
      <c r="BS2294" s="1229"/>
      <c r="BT2294" s="1229"/>
      <c r="BU2294" s="1229"/>
      <c r="BV2294" s="1229"/>
      <c r="BW2294" s="1229"/>
      <c r="BX2294" s="1229"/>
      <c r="BY2294" s="1229"/>
      <c r="BZ2294" s="1229"/>
      <c r="CA2294" s="1229"/>
      <c r="CB2294" s="1229"/>
      <c r="CC2294" s="1229"/>
      <c r="CD2294" s="1229"/>
      <c r="CE2294" s="1229"/>
      <c r="CF2294" s="1229"/>
      <c r="CG2294" s="1229"/>
      <c r="CH2294" s="1229"/>
      <c r="CI2294" s="1229"/>
      <c r="CJ2294" s="1229"/>
      <c r="CK2294" s="1229"/>
      <c r="CL2294" s="1229"/>
      <c r="CM2294" s="1229"/>
      <c r="CN2294" s="1229"/>
      <c r="CO2294" s="1229"/>
      <c r="CP2294" s="1229"/>
      <c r="CQ2294" s="1229"/>
      <c r="CR2294" s="1229"/>
      <c r="CS2294" s="1229"/>
      <c r="CT2294" s="1229"/>
      <c r="CU2294" s="1229"/>
      <c r="CV2294" s="1229"/>
      <c r="CW2294" s="1229"/>
      <c r="CX2294" s="1229"/>
      <c r="CY2294" s="1229"/>
      <c r="CZ2294" s="1229"/>
      <c r="DA2294" s="1229"/>
      <c r="DB2294" s="1229"/>
      <c r="DC2294" s="1229"/>
      <c r="DD2294" s="1229"/>
      <c r="DE2294" s="1229"/>
      <c r="DF2294" s="1229"/>
      <c r="DG2294" s="1229"/>
      <c r="DH2294" s="1229"/>
      <c r="DI2294" s="1229"/>
      <c r="DJ2294" s="1229"/>
      <c r="DK2294" s="1229"/>
      <c r="DL2294" s="1229"/>
      <c r="DM2294" s="1229"/>
      <c r="DN2294" s="1229"/>
      <c r="DO2294" s="1229"/>
      <c r="DP2294" s="1229"/>
      <c r="DQ2294" s="1229"/>
      <c r="DR2294" s="1229"/>
    </row>
    <row r="2295" spans="1:122" s="49" customFormat="1" ht="15" customHeight="1">
      <c r="A2295" s="1221" t="s">
        <v>3318</v>
      </c>
      <c r="B2295" s="1222">
        <v>19</v>
      </c>
      <c r="C2295" s="1223">
        <v>10</v>
      </c>
      <c r="D2295" s="1224" t="s">
        <v>211</v>
      </c>
      <c r="E2295" s="1225" t="s">
        <v>73</v>
      </c>
      <c r="F2295" s="1225" t="s">
        <v>3319</v>
      </c>
      <c r="G2295" s="1226">
        <v>2.6399999999999997</v>
      </c>
      <c r="H2295" s="1227">
        <f t="shared" si="25"/>
        <v>2.15</v>
      </c>
      <c r="I2295" s="1227">
        <f t="shared" si="26"/>
        <v>1.9</v>
      </c>
      <c r="J2295" s="1228">
        <v>142.1</v>
      </c>
      <c r="K2295" s="1229"/>
      <c r="L2295" s="1229"/>
      <c r="M2295" s="1229"/>
      <c r="N2295" s="1229"/>
      <c r="O2295" s="1229"/>
      <c r="P2295" s="1229"/>
      <c r="Q2295" s="1229"/>
      <c r="R2295" s="1229"/>
      <c r="S2295" s="1229"/>
      <c r="T2295" s="1229"/>
      <c r="U2295" s="1229"/>
      <c r="V2295" s="1229"/>
      <c r="W2295" s="1229"/>
      <c r="X2295" s="1229"/>
      <c r="Y2295" s="1229"/>
      <c r="Z2295" s="1229"/>
      <c r="AA2295" s="1229"/>
      <c r="AB2295" s="1229"/>
      <c r="AC2295" s="1229"/>
      <c r="AD2295" s="1229"/>
      <c r="AE2295" s="1229"/>
      <c r="AF2295" s="1229"/>
      <c r="AG2295" s="1229"/>
      <c r="AH2295" s="1229"/>
      <c r="AI2295" s="1229"/>
      <c r="AJ2295" s="1229"/>
      <c r="AK2295" s="1229"/>
      <c r="AL2295" s="1229"/>
      <c r="AM2295" s="1229"/>
      <c r="AN2295" s="1229"/>
      <c r="AO2295" s="1229"/>
      <c r="AP2295" s="1229"/>
      <c r="AQ2295" s="1229"/>
      <c r="AR2295" s="1229"/>
      <c r="AS2295" s="1229"/>
      <c r="AT2295" s="1229"/>
      <c r="AU2295" s="1229"/>
      <c r="AV2295" s="1229"/>
      <c r="AW2295" s="1229"/>
      <c r="AX2295" s="1229"/>
      <c r="AY2295" s="1229"/>
      <c r="AZ2295" s="1229"/>
      <c r="BA2295" s="1229"/>
      <c r="BB2295" s="1229"/>
      <c r="BC2295" s="1229"/>
      <c r="BD2295" s="1229"/>
      <c r="BE2295" s="1229"/>
      <c r="BF2295" s="1229"/>
      <c r="BG2295" s="1229"/>
      <c r="BH2295" s="1229"/>
      <c r="BI2295" s="1229"/>
      <c r="BJ2295" s="1229"/>
      <c r="BK2295" s="1229"/>
      <c r="BL2295" s="1229"/>
      <c r="BM2295" s="1229"/>
      <c r="BN2295" s="1229"/>
      <c r="BO2295" s="1229"/>
      <c r="BP2295" s="1229"/>
      <c r="BQ2295" s="1229"/>
      <c r="BR2295" s="1229"/>
      <c r="BS2295" s="1229"/>
      <c r="BT2295" s="1229"/>
      <c r="BU2295" s="1229"/>
      <c r="BV2295" s="1229"/>
      <c r="BW2295" s="1229"/>
      <c r="BX2295" s="1229"/>
      <c r="BY2295" s="1229"/>
      <c r="BZ2295" s="1229"/>
      <c r="CA2295" s="1229"/>
      <c r="CB2295" s="1229"/>
      <c r="CC2295" s="1229"/>
      <c r="CD2295" s="1229"/>
      <c r="CE2295" s="1229"/>
      <c r="CF2295" s="1229"/>
      <c r="CG2295" s="1229"/>
      <c r="CH2295" s="1229"/>
      <c r="CI2295" s="1229"/>
      <c r="CJ2295" s="1229"/>
      <c r="CK2295" s="1229"/>
      <c r="CL2295" s="1229"/>
      <c r="CM2295" s="1229"/>
      <c r="CN2295" s="1229"/>
      <c r="CO2295" s="1229"/>
      <c r="CP2295" s="1229"/>
      <c r="CQ2295" s="1229"/>
      <c r="CR2295" s="1229"/>
      <c r="CS2295" s="1229"/>
      <c r="CT2295" s="1229"/>
      <c r="CU2295" s="1229"/>
      <c r="CV2295" s="1229"/>
      <c r="CW2295" s="1229"/>
      <c r="CX2295" s="1229"/>
      <c r="CY2295" s="1229"/>
      <c r="CZ2295" s="1229"/>
      <c r="DA2295" s="1229"/>
      <c r="DB2295" s="1229"/>
      <c r="DC2295" s="1229"/>
      <c r="DD2295" s="1229"/>
      <c r="DE2295" s="1229"/>
      <c r="DF2295" s="1229"/>
      <c r="DG2295" s="1229"/>
      <c r="DH2295" s="1229"/>
      <c r="DI2295" s="1229"/>
      <c r="DJ2295" s="1229"/>
      <c r="DK2295" s="1229"/>
      <c r="DL2295" s="1229"/>
      <c r="DM2295" s="1229"/>
      <c r="DN2295" s="1229"/>
      <c r="DO2295" s="1229"/>
      <c r="DP2295" s="1229"/>
      <c r="DQ2295" s="1229"/>
      <c r="DR2295" s="1229"/>
    </row>
    <row r="2296" spans="1:122" s="49" customFormat="1" ht="15" customHeight="1">
      <c r="A2296" s="1221" t="s">
        <v>3318</v>
      </c>
      <c r="B2296" s="1222">
        <v>25</v>
      </c>
      <c r="C2296" s="1223">
        <v>10</v>
      </c>
      <c r="D2296" s="1224" t="s">
        <v>211</v>
      </c>
      <c r="E2296" s="1225" t="s">
        <v>73</v>
      </c>
      <c r="F2296" s="1225" t="s">
        <v>3319</v>
      </c>
      <c r="G2296" s="1226">
        <v>3.28</v>
      </c>
      <c r="H2296" s="1227">
        <f t="shared" si="25"/>
        <v>2.67</v>
      </c>
      <c r="I2296" s="1227">
        <f t="shared" si="26"/>
        <v>2.36</v>
      </c>
      <c r="J2296" s="1228">
        <v>176.8</v>
      </c>
      <c r="K2296" s="1229"/>
      <c r="L2296" s="1229"/>
      <c r="M2296" s="1229"/>
      <c r="N2296" s="1229"/>
      <c r="O2296" s="1229"/>
      <c r="P2296" s="1229"/>
      <c r="Q2296" s="1229"/>
      <c r="R2296" s="1229"/>
      <c r="S2296" s="1229"/>
      <c r="T2296" s="1229"/>
      <c r="U2296" s="1229"/>
      <c r="V2296" s="1229"/>
      <c r="W2296" s="1229"/>
      <c r="X2296" s="1229"/>
      <c r="Y2296" s="1229"/>
      <c r="Z2296" s="1229"/>
      <c r="AA2296" s="1229"/>
      <c r="AB2296" s="1229"/>
      <c r="AC2296" s="1229"/>
      <c r="AD2296" s="1229"/>
      <c r="AE2296" s="1229"/>
      <c r="AF2296" s="1229"/>
      <c r="AG2296" s="1229"/>
      <c r="AH2296" s="1229"/>
      <c r="AI2296" s="1229"/>
      <c r="AJ2296" s="1229"/>
      <c r="AK2296" s="1229"/>
      <c r="AL2296" s="1229"/>
      <c r="AM2296" s="1229"/>
      <c r="AN2296" s="1229"/>
      <c r="AO2296" s="1229"/>
      <c r="AP2296" s="1229"/>
      <c r="AQ2296" s="1229"/>
      <c r="AR2296" s="1229"/>
      <c r="AS2296" s="1229"/>
      <c r="AT2296" s="1229"/>
      <c r="AU2296" s="1229"/>
      <c r="AV2296" s="1229"/>
      <c r="AW2296" s="1229"/>
      <c r="AX2296" s="1229"/>
      <c r="AY2296" s="1229"/>
      <c r="AZ2296" s="1229"/>
      <c r="BA2296" s="1229"/>
      <c r="BB2296" s="1229"/>
      <c r="BC2296" s="1229"/>
      <c r="BD2296" s="1229"/>
      <c r="BE2296" s="1229"/>
      <c r="BF2296" s="1229"/>
      <c r="BG2296" s="1229"/>
      <c r="BH2296" s="1229"/>
      <c r="BI2296" s="1229"/>
      <c r="BJ2296" s="1229"/>
      <c r="BK2296" s="1229"/>
      <c r="BL2296" s="1229"/>
      <c r="BM2296" s="1229"/>
      <c r="BN2296" s="1229"/>
      <c r="BO2296" s="1229"/>
      <c r="BP2296" s="1229"/>
      <c r="BQ2296" s="1229"/>
      <c r="BR2296" s="1229"/>
      <c r="BS2296" s="1229"/>
      <c r="BT2296" s="1229"/>
      <c r="BU2296" s="1229"/>
      <c r="BV2296" s="1229"/>
      <c r="BW2296" s="1229"/>
      <c r="BX2296" s="1229"/>
      <c r="BY2296" s="1229"/>
      <c r="BZ2296" s="1229"/>
      <c r="CA2296" s="1229"/>
      <c r="CB2296" s="1229"/>
      <c r="CC2296" s="1229"/>
      <c r="CD2296" s="1229"/>
      <c r="CE2296" s="1229"/>
      <c r="CF2296" s="1229"/>
      <c r="CG2296" s="1229"/>
      <c r="CH2296" s="1229"/>
      <c r="CI2296" s="1229"/>
      <c r="CJ2296" s="1229"/>
      <c r="CK2296" s="1229"/>
      <c r="CL2296" s="1229"/>
      <c r="CM2296" s="1229"/>
      <c r="CN2296" s="1229"/>
      <c r="CO2296" s="1229"/>
      <c r="CP2296" s="1229"/>
      <c r="CQ2296" s="1229"/>
      <c r="CR2296" s="1229"/>
      <c r="CS2296" s="1229"/>
      <c r="CT2296" s="1229"/>
      <c r="CU2296" s="1229"/>
      <c r="CV2296" s="1229"/>
      <c r="CW2296" s="1229"/>
      <c r="CX2296" s="1229"/>
      <c r="CY2296" s="1229"/>
      <c r="CZ2296" s="1229"/>
      <c r="DA2296" s="1229"/>
      <c r="DB2296" s="1229"/>
      <c r="DC2296" s="1229"/>
      <c r="DD2296" s="1229"/>
      <c r="DE2296" s="1229"/>
      <c r="DF2296" s="1229"/>
      <c r="DG2296" s="1229"/>
      <c r="DH2296" s="1229"/>
      <c r="DI2296" s="1229"/>
      <c r="DJ2296" s="1229"/>
      <c r="DK2296" s="1229"/>
      <c r="DL2296" s="1229"/>
      <c r="DM2296" s="1229"/>
      <c r="DN2296" s="1229"/>
      <c r="DO2296" s="1229"/>
      <c r="DP2296" s="1229"/>
      <c r="DQ2296" s="1229"/>
      <c r="DR2296" s="1229"/>
    </row>
    <row r="2297" spans="1:122" s="49" customFormat="1" ht="15" customHeight="1">
      <c r="A2297" s="1221"/>
      <c r="B2297" s="1222"/>
      <c r="C2297" s="1223"/>
      <c r="D2297" s="1224"/>
      <c r="E2297" s="1225"/>
      <c r="F2297" s="1225"/>
      <c r="G2297" s="1226"/>
      <c r="H2297" s="1226"/>
      <c r="I2297" s="1226"/>
      <c r="J2297" s="1230"/>
      <c r="K2297" s="1229"/>
      <c r="L2297" s="1229"/>
      <c r="M2297" s="1229"/>
      <c r="N2297" s="1229"/>
      <c r="O2297" s="1229"/>
      <c r="P2297" s="1229"/>
      <c r="Q2297" s="1229"/>
      <c r="R2297" s="1229"/>
      <c r="S2297" s="1229"/>
      <c r="T2297" s="1229"/>
      <c r="U2297" s="1229"/>
      <c r="V2297" s="1229"/>
      <c r="W2297" s="1229"/>
      <c r="X2297" s="1229"/>
      <c r="Y2297" s="1229"/>
      <c r="Z2297" s="1229"/>
      <c r="AA2297" s="1229"/>
      <c r="AB2297" s="1229"/>
      <c r="AC2297" s="1229"/>
      <c r="AD2297" s="1229"/>
      <c r="AE2297" s="1229"/>
      <c r="AF2297" s="1229"/>
      <c r="AG2297" s="1229"/>
      <c r="AH2297" s="1229"/>
      <c r="AI2297" s="1229"/>
      <c r="AJ2297" s="1229"/>
      <c r="AK2297" s="1229"/>
      <c r="AL2297" s="1229"/>
      <c r="AM2297" s="1229"/>
      <c r="AN2297" s="1229"/>
      <c r="AO2297" s="1229"/>
      <c r="AP2297" s="1229"/>
      <c r="AQ2297" s="1229"/>
      <c r="AR2297" s="1229"/>
      <c r="AS2297" s="1229"/>
      <c r="AT2297" s="1229"/>
      <c r="AU2297" s="1229"/>
      <c r="AV2297" s="1229"/>
      <c r="AW2297" s="1229"/>
      <c r="AX2297" s="1229"/>
      <c r="AY2297" s="1229"/>
      <c r="AZ2297" s="1229"/>
      <c r="BA2297" s="1229"/>
      <c r="BB2297" s="1229"/>
      <c r="BC2297" s="1229"/>
      <c r="BD2297" s="1229"/>
      <c r="BE2297" s="1229"/>
      <c r="BF2297" s="1229"/>
      <c r="BG2297" s="1229"/>
      <c r="BH2297" s="1229"/>
      <c r="BI2297" s="1229"/>
      <c r="BJ2297" s="1229"/>
      <c r="BK2297" s="1229"/>
      <c r="BL2297" s="1229"/>
      <c r="BM2297" s="1229"/>
      <c r="BN2297" s="1229"/>
      <c r="BO2297" s="1229"/>
      <c r="BP2297" s="1229"/>
      <c r="BQ2297" s="1229"/>
      <c r="BR2297" s="1229"/>
      <c r="BS2297" s="1229"/>
      <c r="BT2297" s="1229"/>
      <c r="BU2297" s="1229"/>
      <c r="BV2297" s="1229"/>
      <c r="BW2297" s="1229"/>
      <c r="BX2297" s="1229"/>
      <c r="BY2297" s="1229"/>
      <c r="BZ2297" s="1229"/>
      <c r="CA2297" s="1229"/>
      <c r="CB2297" s="1229"/>
      <c r="CC2297" s="1229"/>
      <c r="CD2297" s="1229"/>
      <c r="CE2297" s="1229"/>
      <c r="CF2297" s="1229"/>
      <c r="CG2297" s="1229"/>
      <c r="CH2297" s="1229"/>
      <c r="CI2297" s="1229"/>
      <c r="CJ2297" s="1229"/>
      <c r="CK2297" s="1229"/>
      <c r="CL2297" s="1229"/>
      <c r="CM2297" s="1229"/>
      <c r="CN2297" s="1229"/>
      <c r="CO2297" s="1229"/>
      <c r="CP2297" s="1229"/>
      <c r="CQ2297" s="1229"/>
      <c r="CR2297" s="1229"/>
      <c r="CS2297" s="1229"/>
      <c r="CT2297" s="1229"/>
      <c r="CU2297" s="1229"/>
      <c r="CV2297" s="1229"/>
      <c r="CW2297" s="1229"/>
      <c r="CX2297" s="1229"/>
      <c r="CY2297" s="1229"/>
      <c r="CZ2297" s="1229"/>
      <c r="DA2297" s="1229"/>
      <c r="DB2297" s="1229"/>
      <c r="DC2297" s="1229"/>
      <c r="DD2297" s="1229"/>
      <c r="DE2297" s="1229"/>
      <c r="DF2297" s="1229"/>
      <c r="DG2297" s="1229"/>
      <c r="DH2297" s="1229"/>
      <c r="DI2297" s="1229"/>
      <c r="DJ2297" s="1229"/>
      <c r="DK2297" s="1229"/>
      <c r="DL2297" s="1229"/>
      <c r="DM2297" s="1229"/>
      <c r="DN2297" s="1229"/>
      <c r="DO2297" s="1229"/>
      <c r="DP2297" s="1229"/>
      <c r="DQ2297" s="1229"/>
      <c r="DR2297" s="1229"/>
    </row>
    <row r="2298" spans="1:122" s="49" customFormat="1" ht="15" customHeight="1">
      <c r="A2298" s="1221" t="s">
        <v>3405</v>
      </c>
      <c r="B2298" s="1232">
        <v>4</v>
      </c>
      <c r="C2298" s="1223">
        <v>20</v>
      </c>
      <c r="D2298" s="1224" t="s">
        <v>211</v>
      </c>
      <c r="E2298" s="1225" t="s">
        <v>3406</v>
      </c>
      <c r="F2298" s="1225" t="s">
        <v>273</v>
      </c>
      <c r="G2298" s="1226">
        <v>0.9</v>
      </c>
      <c r="H2298" s="1227">
        <f t="shared" ref="H2298:H2303" si="27">ROUNDUP(J2298/0.53/125,2)</f>
        <v>0.73</v>
      </c>
      <c r="I2298" s="1227">
        <f t="shared" ref="I2298:I2303" si="28">ROUNDUP(J2298/0.6/125,2)</f>
        <v>0.65</v>
      </c>
      <c r="J2298" s="1233">
        <v>48.25</v>
      </c>
      <c r="K2298" s="1229"/>
      <c r="L2298" s="1229"/>
      <c r="M2298" s="1229"/>
      <c r="N2298" s="1229"/>
      <c r="O2298" s="1229"/>
      <c r="P2298" s="1229"/>
      <c r="Q2298" s="1229"/>
      <c r="R2298" s="1229"/>
      <c r="S2298" s="1229"/>
      <c r="T2298" s="1229"/>
      <c r="U2298" s="1229"/>
      <c r="V2298" s="1229"/>
      <c r="W2298" s="1229"/>
      <c r="X2298" s="1229"/>
      <c r="Y2298" s="1229"/>
      <c r="Z2298" s="1229"/>
      <c r="AA2298" s="1229"/>
      <c r="AB2298" s="1229"/>
      <c r="AC2298" s="1229"/>
      <c r="AD2298" s="1229"/>
      <c r="AE2298" s="1229"/>
      <c r="AF2298" s="1229"/>
      <c r="AG2298" s="1229"/>
      <c r="AH2298" s="1229"/>
      <c r="AI2298" s="1229"/>
      <c r="AJ2298" s="1229"/>
      <c r="AK2298" s="1229"/>
      <c r="AL2298" s="1229"/>
      <c r="AM2298" s="1229"/>
      <c r="AN2298" s="1229"/>
      <c r="AO2298" s="1229"/>
      <c r="AP2298" s="1229"/>
      <c r="AQ2298" s="1229"/>
      <c r="AR2298" s="1229"/>
      <c r="AS2298" s="1229"/>
      <c r="AT2298" s="1229"/>
      <c r="AU2298" s="1229"/>
      <c r="AV2298" s="1229"/>
      <c r="AW2298" s="1229"/>
      <c r="AX2298" s="1229"/>
      <c r="AY2298" s="1229"/>
      <c r="AZ2298" s="1229"/>
      <c r="BA2298" s="1229"/>
      <c r="BB2298" s="1229"/>
      <c r="BC2298" s="1229"/>
      <c r="BD2298" s="1229"/>
      <c r="BE2298" s="1229"/>
      <c r="BF2298" s="1229"/>
      <c r="BG2298" s="1229"/>
      <c r="BH2298" s="1229"/>
      <c r="BI2298" s="1229"/>
      <c r="BJ2298" s="1229"/>
      <c r="BK2298" s="1229"/>
      <c r="BL2298" s="1229"/>
      <c r="BM2298" s="1229"/>
      <c r="BN2298" s="1229"/>
      <c r="BO2298" s="1229"/>
      <c r="BP2298" s="1229"/>
      <c r="BQ2298" s="1229"/>
      <c r="BR2298" s="1229"/>
      <c r="BS2298" s="1229"/>
      <c r="BT2298" s="1229"/>
      <c r="BU2298" s="1229"/>
      <c r="BV2298" s="1229"/>
      <c r="BW2298" s="1229"/>
      <c r="BX2298" s="1229"/>
      <c r="BY2298" s="1229"/>
      <c r="BZ2298" s="1229"/>
      <c r="CA2298" s="1229"/>
      <c r="CB2298" s="1229"/>
      <c r="CC2298" s="1229"/>
      <c r="CD2298" s="1229"/>
      <c r="CE2298" s="1229"/>
      <c r="CF2298" s="1229"/>
      <c r="CG2298" s="1229"/>
      <c r="CH2298" s="1229"/>
      <c r="CI2298" s="1229"/>
      <c r="CJ2298" s="1229"/>
      <c r="CK2298" s="1229"/>
      <c r="CL2298" s="1229"/>
      <c r="CM2298" s="1229"/>
      <c r="CN2298" s="1229"/>
      <c r="CO2298" s="1229"/>
      <c r="CP2298" s="1229"/>
      <c r="CQ2298" s="1229"/>
      <c r="CR2298" s="1229"/>
      <c r="CS2298" s="1229"/>
      <c r="CT2298" s="1229"/>
      <c r="CU2298" s="1229"/>
      <c r="CV2298" s="1229"/>
      <c r="CW2298" s="1229"/>
      <c r="CX2298" s="1229"/>
      <c r="CY2298" s="1229"/>
      <c r="CZ2298" s="1229"/>
      <c r="DA2298" s="1229"/>
      <c r="DB2298" s="1229"/>
      <c r="DC2298" s="1229"/>
      <c r="DD2298" s="1229"/>
      <c r="DE2298" s="1229"/>
      <c r="DF2298" s="1229"/>
      <c r="DG2298" s="1229"/>
      <c r="DH2298" s="1229"/>
      <c r="DI2298" s="1229"/>
      <c r="DJ2298" s="1229"/>
      <c r="DK2298" s="1229"/>
      <c r="DL2298" s="1229"/>
      <c r="DM2298" s="1229"/>
      <c r="DN2298" s="1229"/>
      <c r="DO2298" s="1229"/>
      <c r="DP2298" s="1229"/>
      <c r="DQ2298" s="1229"/>
      <c r="DR2298" s="1229"/>
    </row>
    <row r="2299" spans="1:122" s="1236" customFormat="1" ht="15" customHeight="1">
      <c r="A2299" s="1221" t="s">
        <v>3405</v>
      </c>
      <c r="B2299" s="1232">
        <v>6</v>
      </c>
      <c r="C2299" s="1223">
        <v>10</v>
      </c>
      <c r="D2299" s="1224" t="s">
        <v>211</v>
      </c>
      <c r="E2299" s="1225" t="s">
        <v>3406</v>
      </c>
      <c r="F2299" s="1225" t="s">
        <v>273</v>
      </c>
      <c r="G2299" s="1226">
        <v>0.93</v>
      </c>
      <c r="H2299" s="1227">
        <f t="shared" si="27"/>
        <v>0.76</v>
      </c>
      <c r="I2299" s="1227">
        <f t="shared" si="28"/>
        <v>0.67</v>
      </c>
      <c r="J2299" s="1228">
        <v>49.7</v>
      </c>
      <c r="K2299" s="1229"/>
      <c r="L2299" s="1229"/>
      <c r="M2299" s="1229"/>
      <c r="N2299" s="1229"/>
      <c r="O2299" s="1229"/>
      <c r="P2299" s="1229"/>
      <c r="Q2299" s="1229"/>
      <c r="R2299" s="1229"/>
      <c r="S2299" s="1229"/>
      <c r="T2299" s="1229"/>
      <c r="U2299" s="1229"/>
      <c r="V2299" s="1229"/>
      <c r="W2299" s="1229"/>
      <c r="X2299" s="1229"/>
      <c r="Y2299" s="1229"/>
      <c r="Z2299" s="1229"/>
      <c r="AA2299" s="1229"/>
      <c r="AB2299" s="1229"/>
      <c r="AC2299" s="1229"/>
      <c r="AD2299" s="1229"/>
      <c r="AE2299" s="1229"/>
      <c r="AF2299" s="1229"/>
      <c r="AG2299" s="1229"/>
      <c r="AH2299" s="1229"/>
      <c r="AI2299" s="1229"/>
      <c r="AJ2299" s="1229"/>
      <c r="AK2299" s="1229"/>
      <c r="AL2299" s="1229"/>
      <c r="AM2299" s="1229"/>
      <c r="AN2299" s="1229"/>
      <c r="AO2299" s="1229"/>
      <c r="AP2299" s="1229"/>
      <c r="AQ2299" s="1229"/>
      <c r="AR2299" s="1229"/>
      <c r="AS2299" s="1229"/>
      <c r="AT2299" s="1229"/>
      <c r="AU2299" s="1229"/>
      <c r="AV2299" s="1229"/>
      <c r="AW2299" s="1229"/>
      <c r="AX2299" s="1229"/>
      <c r="AY2299" s="1229"/>
      <c r="AZ2299" s="1229"/>
      <c r="BA2299" s="1229"/>
      <c r="BB2299" s="1229"/>
      <c r="BC2299" s="1229"/>
      <c r="BD2299" s="1229"/>
      <c r="BE2299" s="1229"/>
      <c r="BF2299" s="1229"/>
      <c r="BG2299" s="1229"/>
      <c r="BH2299" s="1229"/>
      <c r="BI2299" s="1229"/>
      <c r="BJ2299" s="1229"/>
      <c r="BK2299" s="1229"/>
      <c r="BL2299" s="1229"/>
      <c r="BM2299" s="1229"/>
      <c r="BN2299" s="1229"/>
      <c r="BO2299" s="1229"/>
      <c r="BP2299" s="1229"/>
      <c r="BQ2299" s="1229"/>
      <c r="BR2299" s="1229"/>
      <c r="BS2299" s="1229"/>
      <c r="BT2299" s="1229"/>
      <c r="BU2299" s="1229"/>
      <c r="BV2299" s="1229"/>
      <c r="BW2299" s="1229"/>
      <c r="BX2299" s="1229"/>
      <c r="BY2299" s="1229"/>
      <c r="BZ2299" s="1229"/>
      <c r="CA2299" s="1229"/>
      <c r="CB2299" s="1229"/>
      <c r="CC2299" s="1229"/>
      <c r="CD2299" s="1229"/>
      <c r="CE2299" s="1229"/>
      <c r="CF2299" s="1229"/>
      <c r="CG2299" s="1229"/>
      <c r="CH2299" s="1229"/>
      <c r="CI2299" s="1229"/>
      <c r="CJ2299" s="1229"/>
      <c r="CK2299" s="1229"/>
      <c r="CL2299" s="1229"/>
      <c r="CM2299" s="1229"/>
      <c r="CN2299" s="1229"/>
      <c r="CO2299" s="1229"/>
      <c r="CP2299" s="1229"/>
      <c r="CQ2299" s="1229"/>
      <c r="CR2299" s="1229"/>
      <c r="CS2299" s="1229"/>
      <c r="CT2299" s="1229"/>
      <c r="CU2299" s="1229"/>
      <c r="CV2299" s="1229"/>
      <c r="CW2299" s="1229"/>
      <c r="CX2299" s="1229"/>
      <c r="CY2299" s="1229"/>
      <c r="CZ2299" s="1229"/>
      <c r="DA2299" s="1229"/>
      <c r="DB2299" s="1229"/>
      <c r="DC2299" s="1229"/>
      <c r="DD2299" s="1229"/>
      <c r="DE2299" s="1229"/>
      <c r="DF2299" s="1229"/>
      <c r="DG2299" s="1229"/>
      <c r="DH2299" s="1229"/>
      <c r="DI2299" s="1229"/>
      <c r="DJ2299" s="1229"/>
      <c r="DK2299" s="1229"/>
      <c r="DL2299" s="1229"/>
      <c r="DM2299" s="1229"/>
      <c r="DN2299" s="1229"/>
      <c r="DO2299" s="1229"/>
      <c r="DP2299" s="1229"/>
      <c r="DQ2299" s="1229"/>
      <c r="DR2299" s="1229"/>
    </row>
    <row r="2300" spans="1:122" s="49" customFormat="1" ht="15" customHeight="1">
      <c r="A2300" s="1221" t="s">
        <v>3405</v>
      </c>
      <c r="B2300" s="1232">
        <v>9</v>
      </c>
      <c r="C2300" s="1223">
        <v>10</v>
      </c>
      <c r="D2300" s="1224" t="s">
        <v>211</v>
      </c>
      <c r="E2300" s="1225" t="s">
        <v>3406</v>
      </c>
      <c r="F2300" s="1225" t="s">
        <v>273</v>
      </c>
      <c r="G2300" s="1226">
        <v>1.04</v>
      </c>
      <c r="H2300" s="1227">
        <f t="shared" si="27"/>
        <v>0.85</v>
      </c>
      <c r="I2300" s="1227">
        <f t="shared" si="28"/>
        <v>0.75</v>
      </c>
      <c r="J2300" s="1233">
        <v>56</v>
      </c>
      <c r="K2300" s="1229"/>
      <c r="L2300" s="1229"/>
      <c r="M2300" s="1229"/>
      <c r="N2300" s="1229"/>
      <c r="O2300" s="1229"/>
      <c r="P2300" s="1229"/>
      <c r="Q2300" s="1229"/>
      <c r="R2300" s="1229"/>
      <c r="S2300" s="1229"/>
      <c r="T2300" s="1229"/>
      <c r="U2300" s="1229"/>
      <c r="V2300" s="1229"/>
      <c r="W2300" s="1229"/>
      <c r="X2300" s="1229"/>
      <c r="Y2300" s="1229"/>
      <c r="Z2300" s="1229"/>
      <c r="AA2300" s="1229"/>
      <c r="AB2300" s="1229"/>
      <c r="AC2300" s="1229"/>
      <c r="AD2300" s="1229"/>
      <c r="AE2300" s="1229"/>
      <c r="AF2300" s="1229"/>
      <c r="AG2300" s="1229"/>
      <c r="AH2300" s="1229"/>
      <c r="AI2300" s="1229"/>
      <c r="AJ2300" s="1229"/>
      <c r="AK2300" s="1229"/>
      <c r="AL2300" s="1229"/>
      <c r="AM2300" s="1229"/>
      <c r="AN2300" s="1229"/>
      <c r="AO2300" s="1229"/>
      <c r="AP2300" s="1229"/>
      <c r="AQ2300" s="1229"/>
      <c r="AR2300" s="1229"/>
      <c r="AS2300" s="1229"/>
      <c r="AT2300" s="1229"/>
      <c r="AU2300" s="1229"/>
      <c r="AV2300" s="1229"/>
      <c r="AW2300" s="1229"/>
      <c r="AX2300" s="1229"/>
      <c r="AY2300" s="1229"/>
      <c r="AZ2300" s="1229"/>
      <c r="BA2300" s="1229"/>
      <c r="BB2300" s="1229"/>
      <c r="BC2300" s="1229"/>
      <c r="BD2300" s="1229"/>
      <c r="BE2300" s="1229"/>
      <c r="BF2300" s="1229"/>
      <c r="BG2300" s="1229"/>
      <c r="BH2300" s="1229"/>
      <c r="BI2300" s="1229"/>
      <c r="BJ2300" s="1229"/>
      <c r="BK2300" s="1229"/>
      <c r="BL2300" s="1229"/>
      <c r="BM2300" s="1229"/>
      <c r="BN2300" s="1229"/>
      <c r="BO2300" s="1229"/>
      <c r="BP2300" s="1229"/>
      <c r="BQ2300" s="1229"/>
      <c r="BR2300" s="1229"/>
      <c r="BS2300" s="1229"/>
      <c r="BT2300" s="1229"/>
      <c r="BU2300" s="1229"/>
      <c r="BV2300" s="1229"/>
      <c r="BW2300" s="1229"/>
      <c r="BX2300" s="1229"/>
      <c r="BY2300" s="1229"/>
      <c r="BZ2300" s="1229"/>
      <c r="CA2300" s="1229"/>
      <c r="CB2300" s="1229"/>
      <c r="CC2300" s="1229"/>
      <c r="CD2300" s="1229"/>
      <c r="CE2300" s="1229"/>
      <c r="CF2300" s="1229"/>
      <c r="CG2300" s="1229"/>
      <c r="CH2300" s="1229"/>
      <c r="CI2300" s="1229"/>
      <c r="CJ2300" s="1229"/>
      <c r="CK2300" s="1229"/>
      <c r="CL2300" s="1229"/>
      <c r="CM2300" s="1229"/>
      <c r="CN2300" s="1229"/>
      <c r="CO2300" s="1229"/>
      <c r="CP2300" s="1229"/>
      <c r="CQ2300" s="1229"/>
      <c r="CR2300" s="1229"/>
      <c r="CS2300" s="1229"/>
      <c r="CT2300" s="1229"/>
      <c r="CU2300" s="1229"/>
      <c r="CV2300" s="1229"/>
      <c r="CW2300" s="1229"/>
      <c r="CX2300" s="1229"/>
      <c r="CY2300" s="1229"/>
      <c r="CZ2300" s="1229"/>
      <c r="DA2300" s="1229"/>
      <c r="DB2300" s="1229"/>
      <c r="DC2300" s="1229"/>
      <c r="DD2300" s="1229"/>
      <c r="DE2300" s="1229"/>
      <c r="DF2300" s="1229"/>
      <c r="DG2300" s="1229"/>
      <c r="DH2300" s="1229"/>
      <c r="DI2300" s="1229"/>
      <c r="DJ2300" s="1229"/>
      <c r="DK2300" s="1229"/>
      <c r="DL2300" s="1229"/>
      <c r="DM2300" s="1229"/>
      <c r="DN2300" s="1229"/>
      <c r="DO2300" s="1229"/>
      <c r="DP2300" s="1229"/>
      <c r="DQ2300" s="1229"/>
      <c r="DR2300" s="1229"/>
    </row>
    <row r="2301" spans="1:122" s="49" customFormat="1" ht="15" customHeight="1">
      <c r="A2301" s="1221" t="s">
        <v>3405</v>
      </c>
      <c r="B2301" s="1232">
        <v>12</v>
      </c>
      <c r="C2301" s="1223">
        <v>10</v>
      </c>
      <c r="D2301" s="1224" t="s">
        <v>211</v>
      </c>
      <c r="E2301" s="1225" t="s">
        <v>3406</v>
      </c>
      <c r="F2301" s="1225" t="s">
        <v>273</v>
      </c>
      <c r="G2301" s="1226">
        <v>1.17</v>
      </c>
      <c r="H2301" s="1227">
        <f t="shared" si="27"/>
        <v>0.95</v>
      </c>
      <c r="I2301" s="1227">
        <f t="shared" si="28"/>
        <v>0.84</v>
      </c>
      <c r="J2301" s="1228">
        <v>62.9</v>
      </c>
      <c r="K2301" s="1229"/>
      <c r="L2301" s="1229"/>
      <c r="M2301" s="1229"/>
      <c r="N2301" s="1229"/>
      <c r="O2301" s="1229"/>
      <c r="P2301" s="1229"/>
      <c r="Q2301" s="1229"/>
      <c r="R2301" s="1229"/>
      <c r="S2301" s="1229"/>
      <c r="T2301" s="1229"/>
      <c r="U2301" s="1229"/>
      <c r="V2301" s="1229"/>
      <c r="W2301" s="1229"/>
      <c r="X2301" s="1229"/>
      <c r="Y2301" s="1229"/>
      <c r="Z2301" s="1229"/>
      <c r="AA2301" s="1229"/>
      <c r="AB2301" s="1229"/>
      <c r="AC2301" s="1229"/>
      <c r="AD2301" s="1229"/>
      <c r="AE2301" s="1229"/>
      <c r="AF2301" s="1229"/>
      <c r="AG2301" s="1229"/>
      <c r="AH2301" s="1229"/>
      <c r="AI2301" s="1229"/>
      <c r="AJ2301" s="1229"/>
      <c r="AK2301" s="1229"/>
      <c r="AL2301" s="1229"/>
      <c r="AM2301" s="1229"/>
      <c r="AN2301" s="1229"/>
      <c r="AO2301" s="1229"/>
      <c r="AP2301" s="1229"/>
      <c r="AQ2301" s="1229"/>
      <c r="AR2301" s="1229"/>
      <c r="AS2301" s="1229"/>
      <c r="AT2301" s="1229"/>
      <c r="AU2301" s="1229"/>
      <c r="AV2301" s="1229"/>
      <c r="AW2301" s="1229"/>
      <c r="AX2301" s="1229"/>
      <c r="AY2301" s="1229"/>
      <c r="AZ2301" s="1229"/>
      <c r="BA2301" s="1229"/>
      <c r="BB2301" s="1229"/>
      <c r="BC2301" s="1229"/>
      <c r="BD2301" s="1229"/>
      <c r="BE2301" s="1229"/>
      <c r="BF2301" s="1229"/>
      <c r="BG2301" s="1229"/>
      <c r="BH2301" s="1229"/>
      <c r="BI2301" s="1229"/>
      <c r="BJ2301" s="1229"/>
      <c r="BK2301" s="1229"/>
      <c r="BL2301" s="1229"/>
      <c r="BM2301" s="1229"/>
      <c r="BN2301" s="1229"/>
      <c r="BO2301" s="1229"/>
      <c r="BP2301" s="1229"/>
      <c r="BQ2301" s="1229"/>
      <c r="BR2301" s="1229"/>
      <c r="BS2301" s="1229"/>
      <c r="BT2301" s="1229"/>
      <c r="BU2301" s="1229"/>
      <c r="BV2301" s="1229"/>
      <c r="BW2301" s="1229"/>
      <c r="BX2301" s="1229"/>
      <c r="BY2301" s="1229"/>
      <c r="BZ2301" s="1229"/>
      <c r="CA2301" s="1229"/>
      <c r="CB2301" s="1229"/>
      <c r="CC2301" s="1229"/>
      <c r="CD2301" s="1229"/>
      <c r="CE2301" s="1229"/>
      <c r="CF2301" s="1229"/>
      <c r="CG2301" s="1229"/>
      <c r="CH2301" s="1229"/>
      <c r="CI2301" s="1229"/>
      <c r="CJ2301" s="1229"/>
      <c r="CK2301" s="1229"/>
      <c r="CL2301" s="1229"/>
      <c r="CM2301" s="1229"/>
      <c r="CN2301" s="1229"/>
      <c r="CO2301" s="1229"/>
      <c r="CP2301" s="1229"/>
      <c r="CQ2301" s="1229"/>
      <c r="CR2301" s="1229"/>
      <c r="CS2301" s="1229"/>
      <c r="CT2301" s="1229"/>
      <c r="CU2301" s="1229"/>
      <c r="CV2301" s="1229"/>
      <c r="CW2301" s="1229"/>
      <c r="CX2301" s="1229"/>
      <c r="CY2301" s="1229"/>
      <c r="CZ2301" s="1229"/>
      <c r="DA2301" s="1229"/>
      <c r="DB2301" s="1229"/>
      <c r="DC2301" s="1229"/>
      <c r="DD2301" s="1229"/>
      <c r="DE2301" s="1229"/>
      <c r="DF2301" s="1229"/>
      <c r="DG2301" s="1229"/>
      <c r="DH2301" s="1229"/>
      <c r="DI2301" s="1229"/>
      <c r="DJ2301" s="1229"/>
      <c r="DK2301" s="1229"/>
      <c r="DL2301" s="1229"/>
      <c r="DM2301" s="1229"/>
      <c r="DN2301" s="1229"/>
      <c r="DO2301" s="1229"/>
      <c r="DP2301" s="1229"/>
      <c r="DQ2301" s="1229"/>
      <c r="DR2301" s="1229"/>
    </row>
    <row r="2302" spans="1:122" s="49" customFormat="1" ht="15" customHeight="1">
      <c r="A2302" s="1221" t="s">
        <v>3405</v>
      </c>
      <c r="B2302" s="1232">
        <v>19</v>
      </c>
      <c r="C2302" s="1223">
        <v>10</v>
      </c>
      <c r="D2302" s="1224" t="s">
        <v>211</v>
      </c>
      <c r="E2302" s="1225" t="s">
        <v>3406</v>
      </c>
      <c r="F2302" s="1225" t="s">
        <v>273</v>
      </c>
      <c r="G2302" s="1226">
        <v>1.5</v>
      </c>
      <c r="H2302" s="1227">
        <f t="shared" si="27"/>
        <v>1.23</v>
      </c>
      <c r="I2302" s="1227">
        <f t="shared" si="28"/>
        <v>1.08</v>
      </c>
      <c r="J2302" s="1228">
        <v>80.900000000000006</v>
      </c>
      <c r="K2302" s="1229"/>
      <c r="L2302" s="1229"/>
      <c r="M2302" s="1229"/>
      <c r="N2302" s="1229"/>
      <c r="O2302" s="1229"/>
      <c r="P2302" s="1229"/>
      <c r="Q2302" s="1229"/>
      <c r="R2302" s="1229"/>
      <c r="S2302" s="1229"/>
      <c r="T2302" s="1229"/>
      <c r="U2302" s="1229"/>
      <c r="V2302" s="1229"/>
      <c r="W2302" s="1229"/>
      <c r="X2302" s="1229"/>
      <c r="Y2302" s="1229"/>
      <c r="Z2302" s="1229"/>
      <c r="AA2302" s="1229"/>
      <c r="AB2302" s="1229"/>
      <c r="AC2302" s="1229"/>
      <c r="AD2302" s="1229"/>
      <c r="AE2302" s="1229"/>
      <c r="AF2302" s="1229"/>
      <c r="AG2302" s="1229"/>
      <c r="AH2302" s="1229"/>
      <c r="AI2302" s="1229"/>
      <c r="AJ2302" s="1229"/>
      <c r="AK2302" s="1229"/>
      <c r="AL2302" s="1229"/>
      <c r="AM2302" s="1229"/>
      <c r="AN2302" s="1229"/>
      <c r="AO2302" s="1229"/>
      <c r="AP2302" s="1229"/>
      <c r="AQ2302" s="1229"/>
      <c r="AR2302" s="1229"/>
      <c r="AS2302" s="1229"/>
      <c r="AT2302" s="1229"/>
      <c r="AU2302" s="1229"/>
      <c r="AV2302" s="1229"/>
      <c r="AW2302" s="1229"/>
      <c r="AX2302" s="1229"/>
      <c r="AY2302" s="1229"/>
      <c r="AZ2302" s="1229"/>
      <c r="BA2302" s="1229"/>
      <c r="BB2302" s="1229"/>
      <c r="BC2302" s="1229"/>
      <c r="BD2302" s="1229"/>
      <c r="BE2302" s="1229"/>
      <c r="BF2302" s="1229"/>
      <c r="BG2302" s="1229"/>
      <c r="BH2302" s="1229"/>
      <c r="BI2302" s="1229"/>
      <c r="BJ2302" s="1229"/>
      <c r="BK2302" s="1229"/>
      <c r="BL2302" s="1229"/>
      <c r="BM2302" s="1229"/>
      <c r="BN2302" s="1229"/>
      <c r="BO2302" s="1229"/>
      <c r="BP2302" s="1229"/>
      <c r="BQ2302" s="1229"/>
      <c r="BR2302" s="1229"/>
      <c r="BS2302" s="1229"/>
      <c r="BT2302" s="1229"/>
      <c r="BU2302" s="1229"/>
      <c r="BV2302" s="1229"/>
      <c r="BW2302" s="1229"/>
      <c r="BX2302" s="1229"/>
      <c r="BY2302" s="1229"/>
      <c r="BZ2302" s="1229"/>
      <c r="CA2302" s="1229"/>
      <c r="CB2302" s="1229"/>
      <c r="CC2302" s="1229"/>
      <c r="CD2302" s="1229"/>
      <c r="CE2302" s="1229"/>
      <c r="CF2302" s="1229"/>
      <c r="CG2302" s="1229"/>
      <c r="CH2302" s="1229"/>
      <c r="CI2302" s="1229"/>
      <c r="CJ2302" s="1229"/>
      <c r="CK2302" s="1229"/>
      <c r="CL2302" s="1229"/>
      <c r="CM2302" s="1229"/>
      <c r="CN2302" s="1229"/>
      <c r="CO2302" s="1229"/>
      <c r="CP2302" s="1229"/>
      <c r="CQ2302" s="1229"/>
      <c r="CR2302" s="1229"/>
      <c r="CS2302" s="1229"/>
      <c r="CT2302" s="1229"/>
      <c r="CU2302" s="1229"/>
      <c r="CV2302" s="1229"/>
      <c r="CW2302" s="1229"/>
      <c r="CX2302" s="1229"/>
      <c r="CY2302" s="1229"/>
      <c r="CZ2302" s="1229"/>
      <c r="DA2302" s="1229"/>
      <c r="DB2302" s="1229"/>
      <c r="DC2302" s="1229"/>
      <c r="DD2302" s="1229"/>
      <c r="DE2302" s="1229"/>
      <c r="DF2302" s="1229"/>
      <c r="DG2302" s="1229"/>
      <c r="DH2302" s="1229"/>
      <c r="DI2302" s="1229"/>
      <c r="DJ2302" s="1229"/>
      <c r="DK2302" s="1229"/>
      <c r="DL2302" s="1229"/>
      <c r="DM2302" s="1229"/>
      <c r="DN2302" s="1229"/>
      <c r="DO2302" s="1229"/>
      <c r="DP2302" s="1229"/>
      <c r="DQ2302" s="1229"/>
      <c r="DR2302" s="1229"/>
    </row>
    <row r="2303" spans="1:122" s="49" customFormat="1" ht="15" customHeight="1">
      <c r="A2303" s="1221" t="s">
        <v>3405</v>
      </c>
      <c r="B2303" s="1232">
        <v>25</v>
      </c>
      <c r="C2303" s="1223">
        <v>10</v>
      </c>
      <c r="D2303" s="1224" t="s">
        <v>211</v>
      </c>
      <c r="E2303" s="1225" t="s">
        <v>3406</v>
      </c>
      <c r="F2303" s="1225" t="s">
        <v>273</v>
      </c>
      <c r="G2303" s="1226">
        <v>1.84</v>
      </c>
      <c r="H2303" s="1227">
        <f t="shared" si="27"/>
        <v>1.5</v>
      </c>
      <c r="I2303" s="1227">
        <f t="shared" si="28"/>
        <v>1.33</v>
      </c>
      <c r="J2303" s="1228">
        <v>99.3</v>
      </c>
      <c r="K2303" s="1229"/>
      <c r="L2303" s="1229"/>
      <c r="M2303" s="1229"/>
      <c r="N2303" s="1229"/>
      <c r="O2303" s="1229"/>
      <c r="P2303" s="1229"/>
      <c r="Q2303" s="1229"/>
      <c r="R2303" s="1229"/>
      <c r="S2303" s="1229"/>
      <c r="T2303" s="1229"/>
      <c r="U2303" s="1229"/>
      <c r="V2303" s="1229"/>
      <c r="W2303" s="1229"/>
      <c r="X2303" s="1229"/>
      <c r="Y2303" s="1229"/>
      <c r="Z2303" s="1229"/>
      <c r="AA2303" s="1229"/>
      <c r="AB2303" s="1229"/>
      <c r="AC2303" s="1229"/>
      <c r="AD2303" s="1229"/>
      <c r="AE2303" s="1229"/>
      <c r="AF2303" s="1229"/>
      <c r="AG2303" s="1229"/>
      <c r="AH2303" s="1229"/>
      <c r="AI2303" s="1229"/>
      <c r="AJ2303" s="1229"/>
      <c r="AK2303" s="1229"/>
      <c r="AL2303" s="1229"/>
      <c r="AM2303" s="1229"/>
      <c r="AN2303" s="1229"/>
      <c r="AO2303" s="1229"/>
      <c r="AP2303" s="1229"/>
      <c r="AQ2303" s="1229"/>
      <c r="AR2303" s="1229"/>
      <c r="AS2303" s="1229"/>
      <c r="AT2303" s="1229"/>
      <c r="AU2303" s="1229"/>
      <c r="AV2303" s="1229"/>
      <c r="AW2303" s="1229"/>
      <c r="AX2303" s="1229"/>
      <c r="AY2303" s="1229"/>
      <c r="AZ2303" s="1229"/>
      <c r="BA2303" s="1229"/>
      <c r="BB2303" s="1229"/>
      <c r="BC2303" s="1229"/>
      <c r="BD2303" s="1229"/>
      <c r="BE2303" s="1229"/>
      <c r="BF2303" s="1229"/>
      <c r="BG2303" s="1229"/>
      <c r="BH2303" s="1229"/>
      <c r="BI2303" s="1229"/>
      <c r="BJ2303" s="1229"/>
      <c r="BK2303" s="1229"/>
      <c r="BL2303" s="1229"/>
      <c r="BM2303" s="1229"/>
      <c r="BN2303" s="1229"/>
      <c r="BO2303" s="1229"/>
      <c r="BP2303" s="1229"/>
      <c r="BQ2303" s="1229"/>
      <c r="BR2303" s="1229"/>
      <c r="BS2303" s="1229"/>
      <c r="BT2303" s="1229"/>
      <c r="BU2303" s="1229"/>
      <c r="BV2303" s="1229"/>
      <c r="BW2303" s="1229"/>
      <c r="BX2303" s="1229"/>
      <c r="BY2303" s="1229"/>
      <c r="BZ2303" s="1229"/>
      <c r="CA2303" s="1229"/>
      <c r="CB2303" s="1229"/>
      <c r="CC2303" s="1229"/>
      <c r="CD2303" s="1229"/>
      <c r="CE2303" s="1229"/>
      <c r="CF2303" s="1229"/>
      <c r="CG2303" s="1229"/>
      <c r="CH2303" s="1229"/>
      <c r="CI2303" s="1229"/>
      <c r="CJ2303" s="1229"/>
      <c r="CK2303" s="1229"/>
      <c r="CL2303" s="1229"/>
      <c r="CM2303" s="1229"/>
      <c r="CN2303" s="1229"/>
      <c r="CO2303" s="1229"/>
      <c r="CP2303" s="1229"/>
      <c r="CQ2303" s="1229"/>
      <c r="CR2303" s="1229"/>
      <c r="CS2303" s="1229"/>
      <c r="CT2303" s="1229"/>
      <c r="CU2303" s="1229"/>
      <c r="CV2303" s="1229"/>
      <c r="CW2303" s="1229"/>
      <c r="CX2303" s="1229"/>
      <c r="CY2303" s="1229"/>
      <c r="CZ2303" s="1229"/>
      <c r="DA2303" s="1229"/>
      <c r="DB2303" s="1229"/>
      <c r="DC2303" s="1229"/>
      <c r="DD2303" s="1229"/>
      <c r="DE2303" s="1229"/>
      <c r="DF2303" s="1229"/>
      <c r="DG2303" s="1229"/>
      <c r="DH2303" s="1229"/>
      <c r="DI2303" s="1229"/>
      <c r="DJ2303" s="1229"/>
      <c r="DK2303" s="1229"/>
      <c r="DL2303" s="1229"/>
      <c r="DM2303" s="1229"/>
      <c r="DN2303" s="1229"/>
      <c r="DO2303" s="1229"/>
      <c r="DP2303" s="1229"/>
      <c r="DQ2303" s="1229"/>
      <c r="DR2303" s="1229"/>
    </row>
    <row r="2304" spans="1:122" s="49" customFormat="1" ht="15" customHeight="1">
      <c r="A2304" s="1221"/>
      <c r="B2304" s="1232"/>
      <c r="C2304" s="1223"/>
      <c r="D2304" s="1224"/>
      <c r="E2304" s="1225"/>
      <c r="F2304" s="1225"/>
      <c r="G2304" s="1226"/>
      <c r="H2304" s="1226"/>
      <c r="I2304" s="1226"/>
      <c r="J2304" s="1230"/>
      <c r="K2304" s="1229"/>
      <c r="L2304" s="1229"/>
      <c r="M2304" s="1229"/>
      <c r="N2304" s="1229"/>
      <c r="O2304" s="1229"/>
      <c r="P2304" s="1229"/>
      <c r="Q2304" s="1229"/>
      <c r="R2304" s="1229"/>
      <c r="S2304" s="1229"/>
      <c r="T2304" s="1229"/>
      <c r="U2304" s="1229"/>
      <c r="V2304" s="1229"/>
      <c r="W2304" s="1229"/>
      <c r="X2304" s="1229"/>
      <c r="Y2304" s="1229"/>
      <c r="Z2304" s="1229"/>
      <c r="AA2304" s="1229"/>
      <c r="AB2304" s="1229"/>
      <c r="AC2304" s="1229"/>
      <c r="AD2304" s="1229"/>
      <c r="AE2304" s="1229"/>
      <c r="AF2304" s="1229"/>
      <c r="AG2304" s="1229"/>
      <c r="AH2304" s="1229"/>
      <c r="AI2304" s="1229"/>
      <c r="AJ2304" s="1229"/>
      <c r="AK2304" s="1229"/>
      <c r="AL2304" s="1229"/>
      <c r="AM2304" s="1229"/>
      <c r="AN2304" s="1229"/>
      <c r="AO2304" s="1229"/>
      <c r="AP2304" s="1229"/>
      <c r="AQ2304" s="1229"/>
      <c r="AR2304" s="1229"/>
      <c r="AS2304" s="1229"/>
      <c r="AT2304" s="1229"/>
      <c r="AU2304" s="1229"/>
      <c r="AV2304" s="1229"/>
      <c r="AW2304" s="1229"/>
      <c r="AX2304" s="1229"/>
      <c r="AY2304" s="1229"/>
      <c r="AZ2304" s="1229"/>
      <c r="BA2304" s="1229"/>
      <c r="BB2304" s="1229"/>
      <c r="BC2304" s="1229"/>
      <c r="BD2304" s="1229"/>
      <c r="BE2304" s="1229"/>
      <c r="BF2304" s="1229"/>
      <c r="BG2304" s="1229"/>
      <c r="BH2304" s="1229"/>
      <c r="BI2304" s="1229"/>
      <c r="BJ2304" s="1229"/>
      <c r="BK2304" s="1229"/>
      <c r="BL2304" s="1229"/>
      <c r="BM2304" s="1229"/>
      <c r="BN2304" s="1229"/>
      <c r="BO2304" s="1229"/>
      <c r="BP2304" s="1229"/>
      <c r="BQ2304" s="1229"/>
      <c r="BR2304" s="1229"/>
      <c r="BS2304" s="1229"/>
      <c r="BT2304" s="1229"/>
      <c r="BU2304" s="1229"/>
      <c r="BV2304" s="1229"/>
      <c r="BW2304" s="1229"/>
      <c r="BX2304" s="1229"/>
      <c r="BY2304" s="1229"/>
      <c r="BZ2304" s="1229"/>
      <c r="CA2304" s="1229"/>
      <c r="CB2304" s="1229"/>
      <c r="CC2304" s="1229"/>
      <c r="CD2304" s="1229"/>
      <c r="CE2304" s="1229"/>
      <c r="CF2304" s="1229"/>
      <c r="CG2304" s="1229"/>
      <c r="CH2304" s="1229"/>
      <c r="CI2304" s="1229"/>
      <c r="CJ2304" s="1229"/>
      <c r="CK2304" s="1229"/>
      <c r="CL2304" s="1229"/>
      <c r="CM2304" s="1229"/>
      <c r="CN2304" s="1229"/>
      <c r="CO2304" s="1229"/>
      <c r="CP2304" s="1229"/>
      <c r="CQ2304" s="1229"/>
      <c r="CR2304" s="1229"/>
      <c r="CS2304" s="1229"/>
      <c r="CT2304" s="1229"/>
      <c r="CU2304" s="1229"/>
      <c r="CV2304" s="1229"/>
      <c r="CW2304" s="1229"/>
      <c r="CX2304" s="1229"/>
      <c r="CY2304" s="1229"/>
      <c r="CZ2304" s="1229"/>
      <c r="DA2304" s="1229"/>
      <c r="DB2304" s="1229"/>
      <c r="DC2304" s="1229"/>
      <c r="DD2304" s="1229"/>
      <c r="DE2304" s="1229"/>
      <c r="DF2304" s="1229"/>
      <c r="DG2304" s="1229"/>
      <c r="DH2304" s="1229"/>
      <c r="DI2304" s="1229"/>
      <c r="DJ2304" s="1229"/>
      <c r="DK2304" s="1229"/>
      <c r="DL2304" s="1229"/>
      <c r="DM2304" s="1229"/>
      <c r="DN2304" s="1229"/>
      <c r="DO2304" s="1229"/>
      <c r="DP2304" s="1229"/>
      <c r="DQ2304" s="1229"/>
      <c r="DR2304" s="1229"/>
    </row>
    <row r="2305" spans="1:122" s="49" customFormat="1" ht="15">
      <c r="A2305" s="203">
        <v>4105</v>
      </c>
      <c r="B2305" s="1237">
        <v>1.5</v>
      </c>
      <c r="C2305" s="1223">
        <v>30</v>
      </c>
      <c r="D2305" s="203" t="s">
        <v>211</v>
      </c>
      <c r="E2305" s="373" t="s">
        <v>3407</v>
      </c>
      <c r="F2305" s="373" t="s">
        <v>3408</v>
      </c>
      <c r="G2305" s="1238">
        <v>4.17</v>
      </c>
      <c r="H2305" s="1227">
        <f>ROUNDUP(J2305/0.53/125,2)</f>
        <v>3.4</v>
      </c>
      <c r="I2305" s="1227">
        <f>ROUNDUP(J2305/0.6/125,2)</f>
        <v>3</v>
      </c>
      <c r="J2305" s="1239">
        <v>225</v>
      </c>
    </row>
    <row r="2306" spans="1:122" s="49" customFormat="1" ht="15">
      <c r="A2306" s="203">
        <v>4105</v>
      </c>
      <c r="B2306" s="204">
        <v>2</v>
      </c>
      <c r="C2306" s="1223">
        <v>30</v>
      </c>
      <c r="D2306" s="203" t="s">
        <v>211</v>
      </c>
      <c r="E2306" s="373" t="s">
        <v>3407</v>
      </c>
      <c r="F2306" s="373" t="s">
        <v>3408</v>
      </c>
      <c r="G2306" s="1238">
        <v>4.3199999999999994</v>
      </c>
      <c r="H2306" s="1227">
        <f>ROUNDUP(J2306/0.53/125,2)</f>
        <v>3.5199999999999996</v>
      </c>
      <c r="I2306" s="1227">
        <f>ROUNDUP(J2306/0.6/125,2)</f>
        <v>3.11</v>
      </c>
      <c r="J2306" s="1239">
        <v>233</v>
      </c>
    </row>
    <row r="2307" spans="1:122" s="49" customFormat="1" ht="15">
      <c r="A2307" s="203">
        <v>4105</v>
      </c>
      <c r="B2307" s="204">
        <v>3</v>
      </c>
      <c r="C2307" s="1223">
        <v>30</v>
      </c>
      <c r="D2307" s="203" t="s">
        <v>211</v>
      </c>
      <c r="E2307" s="373" t="s">
        <v>3407</v>
      </c>
      <c r="F2307" s="373" t="s">
        <v>3408</v>
      </c>
      <c r="G2307" s="1238">
        <v>4.5999999999999996</v>
      </c>
      <c r="H2307" s="1227">
        <f>ROUNDUP(J2307/0.53/125,2)</f>
        <v>3.75</v>
      </c>
      <c r="I2307" s="1227">
        <f>ROUNDUP(J2307/0.6/125,2)</f>
        <v>3.3099999999999996</v>
      </c>
      <c r="J2307" s="1239">
        <v>248</v>
      </c>
    </row>
    <row r="2308" spans="1:122" s="49" customFormat="1" ht="15">
      <c r="A2308" s="203">
        <v>4105</v>
      </c>
      <c r="B2308" s="204">
        <v>5</v>
      </c>
      <c r="C2308" s="1223">
        <v>30</v>
      </c>
      <c r="D2308" s="203" t="s">
        <v>211</v>
      </c>
      <c r="E2308" s="373" t="s">
        <v>3407</v>
      </c>
      <c r="F2308" s="373" t="s">
        <v>3408</v>
      </c>
      <c r="G2308" s="1238">
        <v>4.26</v>
      </c>
      <c r="H2308" s="1227">
        <f>ROUNDUP(J2308/0.53/125,2)</f>
        <v>3.48</v>
      </c>
      <c r="I2308" s="1227">
        <f>ROUNDUP(J2308/0.6/125,2)</f>
        <v>3.07</v>
      </c>
      <c r="J2308" s="1239">
        <v>230</v>
      </c>
    </row>
    <row r="2309" spans="1:122" s="49" customFormat="1" ht="15">
      <c r="A2309" s="203"/>
      <c r="B2309" s="204"/>
      <c r="C2309" s="1223"/>
      <c r="D2309" s="203"/>
      <c r="E2309" s="373"/>
      <c r="F2309" s="373"/>
      <c r="G2309" s="1238"/>
      <c r="H2309" s="1226"/>
      <c r="I2309" s="1238"/>
      <c r="J2309" s="1240"/>
    </row>
    <row r="2310" spans="1:122" s="49" customFormat="1" ht="15" customHeight="1">
      <c r="A2310" s="1224">
        <v>4350</v>
      </c>
      <c r="B2310" s="1222"/>
      <c r="C2310" s="1223">
        <v>20</v>
      </c>
      <c r="D2310" s="1224" t="s">
        <v>211</v>
      </c>
      <c r="E2310" s="1225" t="s">
        <v>3409</v>
      </c>
      <c r="F2310" s="1225" t="s">
        <v>4</v>
      </c>
      <c r="G2310" s="1226">
        <v>3.89</v>
      </c>
      <c r="H2310" s="1227">
        <f>ROUNDUP(J2310/0.53/125,2)</f>
        <v>3.17</v>
      </c>
      <c r="I2310" s="1227">
        <f>ROUNDUP(J2310/0.6/125,2)</f>
        <v>2.8</v>
      </c>
      <c r="J2310" s="1241">
        <v>210</v>
      </c>
      <c r="K2310" s="1229"/>
      <c r="L2310" s="1229"/>
      <c r="M2310" s="1229"/>
      <c r="N2310" s="1229"/>
      <c r="O2310" s="1229"/>
      <c r="P2310" s="1229"/>
      <c r="Q2310" s="1229"/>
      <c r="R2310" s="1229"/>
      <c r="S2310" s="1229"/>
      <c r="T2310" s="1229"/>
      <c r="U2310" s="1229"/>
      <c r="V2310" s="1229"/>
      <c r="W2310" s="1229"/>
      <c r="X2310" s="1229"/>
      <c r="Y2310" s="1229"/>
      <c r="Z2310" s="1229"/>
      <c r="AA2310" s="1229"/>
      <c r="AB2310" s="1229"/>
      <c r="AC2310" s="1229"/>
      <c r="AD2310" s="1229"/>
      <c r="AE2310" s="1229"/>
      <c r="AF2310" s="1229"/>
      <c r="AG2310" s="1229"/>
      <c r="AH2310" s="1229"/>
      <c r="AI2310" s="1229"/>
      <c r="AJ2310" s="1229"/>
      <c r="AK2310" s="1229"/>
      <c r="AL2310" s="1229"/>
      <c r="AM2310" s="1229"/>
      <c r="AN2310" s="1229"/>
      <c r="AO2310" s="1229"/>
      <c r="AP2310" s="1229"/>
      <c r="AQ2310" s="1229"/>
      <c r="AR2310" s="1229"/>
      <c r="AS2310" s="1229"/>
      <c r="AT2310" s="1229"/>
      <c r="AU2310" s="1229"/>
      <c r="AV2310" s="1229"/>
      <c r="AW2310" s="1229"/>
      <c r="AX2310" s="1229"/>
      <c r="AY2310" s="1229"/>
      <c r="AZ2310" s="1229"/>
      <c r="BA2310" s="1229"/>
      <c r="BB2310" s="1229"/>
      <c r="BC2310" s="1229"/>
      <c r="BD2310" s="1229"/>
      <c r="BE2310" s="1229"/>
      <c r="BF2310" s="1229"/>
      <c r="BG2310" s="1229"/>
      <c r="BH2310" s="1229"/>
      <c r="BI2310" s="1229"/>
      <c r="BJ2310" s="1229"/>
      <c r="BK2310" s="1229"/>
      <c r="BL2310" s="1229"/>
      <c r="BM2310" s="1229"/>
      <c r="BN2310" s="1229"/>
      <c r="BO2310" s="1229"/>
      <c r="BP2310" s="1229"/>
      <c r="BQ2310" s="1229"/>
      <c r="BR2310" s="1229"/>
      <c r="BS2310" s="1229"/>
      <c r="BT2310" s="1229"/>
      <c r="BU2310" s="1229"/>
      <c r="BV2310" s="1229"/>
      <c r="BW2310" s="1229"/>
      <c r="BX2310" s="1229"/>
      <c r="BY2310" s="1229"/>
      <c r="BZ2310" s="1229"/>
      <c r="CA2310" s="1229"/>
      <c r="CB2310" s="1229"/>
      <c r="CC2310" s="1229"/>
      <c r="CD2310" s="1229"/>
      <c r="CE2310" s="1229"/>
      <c r="CF2310" s="1229"/>
      <c r="CG2310" s="1229"/>
      <c r="CH2310" s="1229"/>
      <c r="CI2310" s="1229"/>
      <c r="CJ2310" s="1229"/>
      <c r="CK2310" s="1229"/>
      <c r="CL2310" s="1229"/>
      <c r="CM2310" s="1229"/>
      <c r="CN2310" s="1229"/>
      <c r="CO2310" s="1229"/>
      <c r="CP2310" s="1229"/>
      <c r="CQ2310" s="1229"/>
      <c r="CR2310" s="1229"/>
      <c r="CS2310" s="1229"/>
      <c r="CT2310" s="1229"/>
      <c r="CU2310" s="1229"/>
      <c r="CV2310" s="1229"/>
      <c r="CW2310" s="1229"/>
      <c r="CX2310" s="1229"/>
      <c r="CY2310" s="1229"/>
      <c r="CZ2310" s="1229"/>
      <c r="DA2310" s="1229"/>
      <c r="DB2310" s="1229"/>
      <c r="DC2310" s="1229"/>
      <c r="DD2310" s="1229"/>
      <c r="DE2310" s="1229"/>
      <c r="DF2310" s="1229"/>
      <c r="DG2310" s="1229"/>
      <c r="DH2310" s="1229"/>
      <c r="DI2310" s="1229"/>
      <c r="DJ2310" s="1229"/>
      <c r="DK2310" s="1229"/>
      <c r="DL2310" s="1229"/>
      <c r="DM2310" s="1229"/>
      <c r="DN2310" s="1229"/>
      <c r="DO2310" s="1229"/>
      <c r="DP2310" s="1229"/>
      <c r="DQ2310" s="1229"/>
      <c r="DR2310" s="1229"/>
    </row>
    <row r="2311" spans="1:122" s="49" customFormat="1" ht="15" customHeight="1">
      <c r="A2311" s="1224"/>
      <c r="B2311" s="1222"/>
      <c r="C2311" s="1223"/>
      <c r="D2311" s="1224"/>
      <c r="E2311" s="1225"/>
      <c r="F2311" s="1225"/>
      <c r="G2311" s="1226"/>
      <c r="H2311" s="1226"/>
      <c r="I2311" s="1226"/>
      <c r="J2311" s="1230"/>
      <c r="K2311" s="1229"/>
      <c r="L2311" s="1229"/>
      <c r="M2311" s="1229"/>
      <c r="N2311" s="1229"/>
      <c r="O2311" s="1229"/>
      <c r="P2311" s="1229"/>
      <c r="Q2311" s="1229"/>
      <c r="R2311" s="1229"/>
      <c r="S2311" s="1229"/>
      <c r="T2311" s="1229"/>
      <c r="U2311" s="1229"/>
      <c r="V2311" s="1229"/>
      <c r="W2311" s="1229"/>
      <c r="X2311" s="1229"/>
      <c r="Y2311" s="1229"/>
      <c r="Z2311" s="1229"/>
      <c r="AA2311" s="1229"/>
      <c r="AB2311" s="1229"/>
      <c r="AC2311" s="1229"/>
      <c r="AD2311" s="1229"/>
      <c r="AE2311" s="1229"/>
      <c r="AF2311" s="1229"/>
      <c r="AG2311" s="1229"/>
      <c r="AH2311" s="1229"/>
      <c r="AI2311" s="1229"/>
      <c r="AJ2311" s="1229"/>
      <c r="AK2311" s="1229"/>
      <c r="AL2311" s="1229"/>
      <c r="AM2311" s="1229"/>
      <c r="AN2311" s="1229"/>
      <c r="AO2311" s="1229"/>
      <c r="AP2311" s="1229"/>
      <c r="AQ2311" s="1229"/>
      <c r="AR2311" s="1229"/>
      <c r="AS2311" s="1229"/>
      <c r="AT2311" s="1229"/>
      <c r="AU2311" s="1229"/>
      <c r="AV2311" s="1229"/>
      <c r="AW2311" s="1229"/>
      <c r="AX2311" s="1229"/>
      <c r="AY2311" s="1229"/>
      <c r="AZ2311" s="1229"/>
      <c r="BA2311" s="1229"/>
      <c r="BB2311" s="1229"/>
      <c r="BC2311" s="1229"/>
      <c r="BD2311" s="1229"/>
      <c r="BE2311" s="1229"/>
      <c r="BF2311" s="1229"/>
      <c r="BG2311" s="1229"/>
      <c r="BH2311" s="1229"/>
      <c r="BI2311" s="1229"/>
      <c r="BJ2311" s="1229"/>
      <c r="BK2311" s="1229"/>
      <c r="BL2311" s="1229"/>
      <c r="BM2311" s="1229"/>
      <c r="BN2311" s="1229"/>
      <c r="BO2311" s="1229"/>
      <c r="BP2311" s="1229"/>
      <c r="BQ2311" s="1229"/>
      <c r="BR2311" s="1229"/>
      <c r="BS2311" s="1229"/>
      <c r="BT2311" s="1229"/>
      <c r="BU2311" s="1229"/>
      <c r="BV2311" s="1229"/>
      <c r="BW2311" s="1229"/>
      <c r="BX2311" s="1229"/>
      <c r="BY2311" s="1229"/>
      <c r="BZ2311" s="1229"/>
      <c r="CA2311" s="1229"/>
      <c r="CB2311" s="1229"/>
      <c r="CC2311" s="1229"/>
      <c r="CD2311" s="1229"/>
      <c r="CE2311" s="1229"/>
      <c r="CF2311" s="1229"/>
      <c r="CG2311" s="1229"/>
      <c r="CH2311" s="1229"/>
      <c r="CI2311" s="1229"/>
      <c r="CJ2311" s="1229"/>
      <c r="CK2311" s="1229"/>
      <c r="CL2311" s="1229"/>
      <c r="CM2311" s="1229"/>
      <c r="CN2311" s="1229"/>
      <c r="CO2311" s="1229"/>
      <c r="CP2311" s="1229"/>
      <c r="CQ2311" s="1229"/>
      <c r="CR2311" s="1229"/>
      <c r="CS2311" s="1229"/>
      <c r="CT2311" s="1229"/>
      <c r="CU2311" s="1229"/>
      <c r="CV2311" s="1229"/>
      <c r="CW2311" s="1229"/>
      <c r="CX2311" s="1229"/>
      <c r="CY2311" s="1229"/>
      <c r="CZ2311" s="1229"/>
      <c r="DA2311" s="1229"/>
      <c r="DB2311" s="1229"/>
      <c r="DC2311" s="1229"/>
      <c r="DD2311" s="1229"/>
      <c r="DE2311" s="1229"/>
      <c r="DF2311" s="1229"/>
      <c r="DG2311" s="1229"/>
      <c r="DH2311" s="1229"/>
      <c r="DI2311" s="1229"/>
      <c r="DJ2311" s="1229"/>
      <c r="DK2311" s="1229"/>
      <c r="DL2311" s="1229"/>
      <c r="DM2311" s="1229"/>
      <c r="DN2311" s="1229"/>
      <c r="DO2311" s="1229"/>
      <c r="DP2311" s="1229"/>
      <c r="DQ2311" s="1229"/>
      <c r="DR2311" s="1229"/>
    </row>
    <row r="2312" spans="1:122" s="49" customFormat="1" ht="15" customHeight="1">
      <c r="A2312" s="1224">
        <v>11707</v>
      </c>
      <c r="B2312" s="1222">
        <v>6</v>
      </c>
      <c r="C2312" s="1223">
        <v>10</v>
      </c>
      <c r="D2312" s="1224" t="s">
        <v>211</v>
      </c>
      <c r="E2312" s="1225" t="s">
        <v>3410</v>
      </c>
      <c r="F2312" s="1225" t="s">
        <v>3411</v>
      </c>
      <c r="G2312" s="1226">
        <v>1.49</v>
      </c>
      <c r="H2312" s="1227">
        <f t="shared" ref="H2312:H2318" si="29">ROUNDUP(J2312/0.53/125,2)</f>
        <v>1.1499999999999999</v>
      </c>
      <c r="I2312" s="1227">
        <f t="shared" ref="I2312:I2318" si="30">ROUNDUP(J2312/0.6/125,2)</f>
        <v>1.01</v>
      </c>
      <c r="J2312" s="1228">
        <v>75.7</v>
      </c>
      <c r="K2312" s="1229"/>
      <c r="L2312" s="1229"/>
      <c r="M2312" s="1229"/>
      <c r="N2312" s="1229"/>
      <c r="O2312" s="1229"/>
      <c r="P2312" s="1229"/>
      <c r="Q2312" s="1229"/>
      <c r="R2312" s="1229"/>
      <c r="S2312" s="1229"/>
      <c r="T2312" s="1229"/>
      <c r="U2312" s="1229"/>
      <c r="V2312" s="1229"/>
      <c r="W2312" s="1229"/>
      <c r="X2312" s="1229"/>
      <c r="Y2312" s="1229"/>
      <c r="Z2312" s="1229"/>
      <c r="AA2312" s="1229"/>
      <c r="AB2312" s="1229"/>
      <c r="AC2312" s="1229"/>
      <c r="AD2312" s="1229"/>
      <c r="AE2312" s="1229"/>
      <c r="AF2312" s="1229"/>
      <c r="AG2312" s="1229"/>
      <c r="AH2312" s="1229"/>
      <c r="AI2312" s="1229"/>
      <c r="AJ2312" s="1229"/>
      <c r="AK2312" s="1229"/>
      <c r="AL2312" s="1229"/>
      <c r="AM2312" s="1229"/>
      <c r="AN2312" s="1229"/>
      <c r="AO2312" s="1229"/>
      <c r="AP2312" s="1229"/>
      <c r="AQ2312" s="1229"/>
      <c r="AR2312" s="1229"/>
      <c r="AS2312" s="1229"/>
      <c r="AT2312" s="1229"/>
      <c r="AU2312" s="1229"/>
      <c r="AV2312" s="1229"/>
      <c r="AW2312" s="1229"/>
      <c r="AX2312" s="1229"/>
      <c r="AY2312" s="1229"/>
      <c r="AZ2312" s="1229"/>
      <c r="BA2312" s="1229"/>
      <c r="BB2312" s="1229"/>
      <c r="BC2312" s="1229"/>
      <c r="BD2312" s="1229"/>
      <c r="BE2312" s="1229"/>
      <c r="BF2312" s="1229"/>
      <c r="BG2312" s="1229"/>
      <c r="BH2312" s="1229"/>
      <c r="BI2312" s="1229"/>
      <c r="BJ2312" s="1229"/>
      <c r="BK2312" s="1229"/>
      <c r="BL2312" s="1229"/>
      <c r="BM2312" s="1229"/>
      <c r="BN2312" s="1229"/>
      <c r="BO2312" s="1229"/>
      <c r="BP2312" s="1229"/>
      <c r="BQ2312" s="1229"/>
      <c r="BR2312" s="1229"/>
      <c r="BS2312" s="1229"/>
      <c r="BT2312" s="1229"/>
      <c r="BU2312" s="1229"/>
      <c r="BV2312" s="1229"/>
      <c r="BW2312" s="1229"/>
      <c r="BX2312" s="1229"/>
      <c r="BY2312" s="1229"/>
      <c r="BZ2312" s="1229"/>
      <c r="CA2312" s="1229"/>
      <c r="CB2312" s="1229"/>
      <c r="CC2312" s="1229"/>
      <c r="CD2312" s="1229"/>
      <c r="CE2312" s="1229"/>
      <c r="CF2312" s="1229"/>
      <c r="CG2312" s="1229"/>
      <c r="CH2312" s="1229"/>
      <c r="CI2312" s="1229"/>
      <c r="CJ2312" s="1229"/>
      <c r="CK2312" s="1229"/>
      <c r="CL2312" s="1229"/>
      <c r="CM2312" s="1229"/>
      <c r="CN2312" s="1229"/>
      <c r="CO2312" s="1229"/>
      <c r="CP2312" s="1229"/>
      <c r="CQ2312" s="1229"/>
      <c r="CR2312" s="1229"/>
      <c r="CS2312" s="1229"/>
      <c r="CT2312" s="1229"/>
      <c r="CU2312" s="1229"/>
      <c r="CV2312" s="1229"/>
      <c r="CW2312" s="1229"/>
      <c r="CX2312" s="1229"/>
      <c r="CY2312" s="1229"/>
      <c r="CZ2312" s="1229"/>
      <c r="DA2312" s="1229"/>
      <c r="DB2312" s="1229"/>
      <c r="DC2312" s="1229"/>
      <c r="DD2312" s="1229"/>
      <c r="DE2312" s="1229"/>
      <c r="DF2312" s="1229"/>
      <c r="DG2312" s="1229"/>
      <c r="DH2312" s="1229"/>
      <c r="DI2312" s="1229"/>
      <c r="DJ2312" s="1229"/>
      <c r="DK2312" s="1229"/>
      <c r="DL2312" s="1229"/>
      <c r="DM2312" s="1229"/>
      <c r="DN2312" s="1229"/>
      <c r="DO2312" s="1229"/>
      <c r="DP2312" s="1229"/>
      <c r="DQ2312" s="1229"/>
      <c r="DR2312" s="1229"/>
    </row>
    <row r="2313" spans="1:122" s="49" customFormat="1" ht="15" customHeight="1">
      <c r="A2313" s="1224">
        <v>11707</v>
      </c>
      <c r="B2313" s="1222">
        <v>10</v>
      </c>
      <c r="C2313" s="1223">
        <v>10</v>
      </c>
      <c r="D2313" s="1224" t="s">
        <v>211</v>
      </c>
      <c r="E2313" s="1225" t="s">
        <v>3410</v>
      </c>
      <c r="F2313" s="1225" t="s">
        <v>3411</v>
      </c>
      <c r="G2313" s="1226">
        <v>1.57</v>
      </c>
      <c r="H2313" s="1227">
        <f t="shared" si="29"/>
        <v>1.27</v>
      </c>
      <c r="I2313" s="1227">
        <f t="shared" si="30"/>
        <v>1.1200000000000001</v>
      </c>
      <c r="J2313" s="1228">
        <v>83.5</v>
      </c>
      <c r="K2313" s="1229"/>
      <c r="L2313" s="1229"/>
      <c r="M2313" s="1229"/>
      <c r="N2313" s="1229"/>
      <c r="O2313" s="1229"/>
      <c r="P2313" s="1229"/>
      <c r="Q2313" s="1229"/>
      <c r="R2313" s="1229"/>
      <c r="S2313" s="1229"/>
      <c r="T2313" s="1229"/>
      <c r="U2313" s="1229"/>
      <c r="V2313" s="1229"/>
      <c r="W2313" s="1229"/>
      <c r="X2313" s="1229"/>
      <c r="Y2313" s="1229"/>
      <c r="Z2313" s="1229"/>
      <c r="AA2313" s="1229"/>
      <c r="AB2313" s="1229"/>
      <c r="AC2313" s="1229"/>
      <c r="AD2313" s="1229"/>
      <c r="AE2313" s="1229"/>
      <c r="AF2313" s="1229"/>
      <c r="AG2313" s="1229"/>
      <c r="AH2313" s="1229"/>
      <c r="AI2313" s="1229"/>
      <c r="AJ2313" s="1229"/>
      <c r="AK2313" s="1229"/>
      <c r="AL2313" s="1229"/>
      <c r="AM2313" s="1229"/>
      <c r="AN2313" s="1229"/>
      <c r="AO2313" s="1229"/>
      <c r="AP2313" s="1229"/>
      <c r="AQ2313" s="1229"/>
      <c r="AR2313" s="1229"/>
      <c r="AS2313" s="1229"/>
      <c r="AT2313" s="1229"/>
      <c r="AU2313" s="1229"/>
      <c r="AV2313" s="1229"/>
      <c r="AW2313" s="1229"/>
      <c r="AX2313" s="1229"/>
      <c r="AY2313" s="1229"/>
      <c r="AZ2313" s="1229"/>
      <c r="BA2313" s="1229"/>
      <c r="BB2313" s="1229"/>
      <c r="BC2313" s="1229"/>
      <c r="BD2313" s="1229"/>
      <c r="BE2313" s="1229"/>
      <c r="BF2313" s="1229"/>
      <c r="BG2313" s="1229"/>
      <c r="BH2313" s="1229"/>
      <c r="BI2313" s="1229"/>
      <c r="BJ2313" s="1229"/>
      <c r="BK2313" s="1229"/>
      <c r="BL2313" s="1229"/>
      <c r="BM2313" s="1229"/>
      <c r="BN2313" s="1229"/>
      <c r="BO2313" s="1229"/>
      <c r="BP2313" s="1229"/>
      <c r="BQ2313" s="1229"/>
      <c r="BR2313" s="1229"/>
      <c r="BS2313" s="1229"/>
      <c r="BT2313" s="1229"/>
      <c r="BU2313" s="1229"/>
      <c r="BV2313" s="1229"/>
      <c r="BW2313" s="1229"/>
      <c r="BX2313" s="1229"/>
      <c r="BY2313" s="1229"/>
      <c r="BZ2313" s="1229"/>
      <c r="CA2313" s="1229"/>
      <c r="CB2313" s="1229"/>
      <c r="CC2313" s="1229"/>
      <c r="CD2313" s="1229"/>
      <c r="CE2313" s="1229"/>
      <c r="CF2313" s="1229"/>
      <c r="CG2313" s="1229"/>
      <c r="CH2313" s="1229"/>
      <c r="CI2313" s="1229"/>
      <c r="CJ2313" s="1229"/>
      <c r="CK2313" s="1229"/>
      <c r="CL2313" s="1229"/>
      <c r="CM2313" s="1229"/>
      <c r="CN2313" s="1229"/>
      <c r="CO2313" s="1229"/>
      <c r="CP2313" s="1229"/>
      <c r="CQ2313" s="1229"/>
      <c r="CR2313" s="1229"/>
      <c r="CS2313" s="1229"/>
      <c r="CT2313" s="1229"/>
      <c r="CU2313" s="1229"/>
      <c r="CV2313" s="1229"/>
      <c r="CW2313" s="1229"/>
      <c r="CX2313" s="1229"/>
      <c r="CY2313" s="1229"/>
      <c r="CZ2313" s="1229"/>
      <c r="DA2313" s="1229"/>
      <c r="DB2313" s="1229"/>
      <c r="DC2313" s="1229"/>
      <c r="DD2313" s="1229"/>
      <c r="DE2313" s="1229"/>
      <c r="DF2313" s="1229"/>
      <c r="DG2313" s="1229"/>
      <c r="DH2313" s="1229"/>
      <c r="DI2313" s="1229"/>
      <c r="DJ2313" s="1229"/>
      <c r="DK2313" s="1229"/>
      <c r="DL2313" s="1229"/>
      <c r="DM2313" s="1229"/>
      <c r="DN2313" s="1229"/>
      <c r="DO2313" s="1229"/>
      <c r="DP2313" s="1229"/>
      <c r="DQ2313" s="1229"/>
      <c r="DR2313" s="1229"/>
    </row>
    <row r="2314" spans="1:122" s="49" customFormat="1" ht="15" customHeight="1">
      <c r="A2314" s="1224">
        <v>11707</v>
      </c>
      <c r="B2314" s="1222">
        <v>12</v>
      </c>
      <c r="C2314" s="1223">
        <v>10</v>
      </c>
      <c r="D2314" s="1224" t="s">
        <v>211</v>
      </c>
      <c r="E2314" s="1225" t="s">
        <v>3410</v>
      </c>
      <c r="F2314" s="1225" t="s">
        <v>3411</v>
      </c>
      <c r="G2314" s="1226">
        <v>1.78</v>
      </c>
      <c r="H2314" s="1227">
        <f t="shared" si="29"/>
        <v>1.37</v>
      </c>
      <c r="I2314" s="1227">
        <f t="shared" si="30"/>
        <v>1.21</v>
      </c>
      <c r="J2314" s="1228">
        <v>90.2</v>
      </c>
      <c r="K2314" s="1229"/>
      <c r="L2314" s="1229"/>
      <c r="M2314" s="1229"/>
      <c r="N2314" s="1229"/>
      <c r="O2314" s="1229"/>
      <c r="P2314" s="1229"/>
      <c r="Q2314" s="1229"/>
      <c r="R2314" s="1229"/>
      <c r="S2314" s="1229"/>
      <c r="T2314" s="1229"/>
      <c r="U2314" s="1229"/>
      <c r="V2314" s="1229"/>
      <c r="W2314" s="1229"/>
      <c r="X2314" s="1229"/>
      <c r="Y2314" s="1229"/>
      <c r="Z2314" s="1229"/>
      <c r="AA2314" s="1229"/>
      <c r="AB2314" s="1229"/>
      <c r="AC2314" s="1229"/>
      <c r="AD2314" s="1229"/>
      <c r="AE2314" s="1229"/>
      <c r="AF2314" s="1229"/>
      <c r="AG2314" s="1229"/>
      <c r="AH2314" s="1229"/>
      <c r="AI2314" s="1229"/>
      <c r="AJ2314" s="1229"/>
      <c r="AK2314" s="1229"/>
      <c r="AL2314" s="1229"/>
      <c r="AM2314" s="1229"/>
      <c r="AN2314" s="1229"/>
      <c r="AO2314" s="1229"/>
      <c r="AP2314" s="1229"/>
      <c r="AQ2314" s="1229"/>
      <c r="AR2314" s="1229"/>
      <c r="AS2314" s="1229"/>
      <c r="AT2314" s="1229"/>
      <c r="AU2314" s="1229"/>
      <c r="AV2314" s="1229"/>
      <c r="AW2314" s="1229"/>
      <c r="AX2314" s="1229"/>
      <c r="AY2314" s="1229"/>
      <c r="AZ2314" s="1229"/>
      <c r="BA2314" s="1229"/>
      <c r="BB2314" s="1229"/>
      <c r="BC2314" s="1229"/>
      <c r="BD2314" s="1229"/>
      <c r="BE2314" s="1229"/>
      <c r="BF2314" s="1229"/>
      <c r="BG2314" s="1229"/>
      <c r="BH2314" s="1229"/>
      <c r="BI2314" s="1229"/>
      <c r="BJ2314" s="1229"/>
      <c r="BK2314" s="1229"/>
      <c r="BL2314" s="1229"/>
      <c r="BM2314" s="1229"/>
      <c r="BN2314" s="1229"/>
      <c r="BO2314" s="1229"/>
      <c r="BP2314" s="1229"/>
      <c r="BQ2314" s="1229"/>
      <c r="BR2314" s="1229"/>
      <c r="BS2314" s="1229"/>
      <c r="BT2314" s="1229"/>
      <c r="BU2314" s="1229"/>
      <c r="BV2314" s="1229"/>
      <c r="BW2314" s="1229"/>
      <c r="BX2314" s="1229"/>
      <c r="BY2314" s="1229"/>
      <c r="BZ2314" s="1229"/>
      <c r="CA2314" s="1229"/>
      <c r="CB2314" s="1229"/>
      <c r="CC2314" s="1229"/>
      <c r="CD2314" s="1229"/>
      <c r="CE2314" s="1229"/>
      <c r="CF2314" s="1229"/>
      <c r="CG2314" s="1229"/>
      <c r="CH2314" s="1229"/>
      <c r="CI2314" s="1229"/>
      <c r="CJ2314" s="1229"/>
      <c r="CK2314" s="1229"/>
      <c r="CL2314" s="1229"/>
      <c r="CM2314" s="1229"/>
      <c r="CN2314" s="1229"/>
      <c r="CO2314" s="1229"/>
      <c r="CP2314" s="1229"/>
      <c r="CQ2314" s="1229"/>
      <c r="CR2314" s="1229"/>
      <c r="CS2314" s="1229"/>
      <c r="CT2314" s="1229"/>
      <c r="CU2314" s="1229"/>
      <c r="CV2314" s="1229"/>
      <c r="CW2314" s="1229"/>
      <c r="CX2314" s="1229"/>
      <c r="CY2314" s="1229"/>
      <c r="CZ2314" s="1229"/>
      <c r="DA2314" s="1229"/>
      <c r="DB2314" s="1229"/>
      <c r="DC2314" s="1229"/>
      <c r="DD2314" s="1229"/>
      <c r="DE2314" s="1229"/>
      <c r="DF2314" s="1229"/>
      <c r="DG2314" s="1229"/>
      <c r="DH2314" s="1229"/>
      <c r="DI2314" s="1229"/>
      <c r="DJ2314" s="1229"/>
      <c r="DK2314" s="1229"/>
      <c r="DL2314" s="1229"/>
      <c r="DM2314" s="1229"/>
      <c r="DN2314" s="1229"/>
      <c r="DO2314" s="1229"/>
      <c r="DP2314" s="1229"/>
      <c r="DQ2314" s="1229"/>
      <c r="DR2314" s="1229"/>
    </row>
    <row r="2315" spans="1:122" s="49" customFormat="1" ht="15" customHeight="1">
      <c r="A2315" s="1224">
        <v>11707</v>
      </c>
      <c r="B2315" s="1222">
        <v>19</v>
      </c>
      <c r="C2315" s="1223">
        <v>10</v>
      </c>
      <c r="D2315" s="1224" t="s">
        <v>211</v>
      </c>
      <c r="E2315" s="1225" t="s">
        <v>3410</v>
      </c>
      <c r="F2315" s="1225" t="s">
        <v>3411</v>
      </c>
      <c r="G2315" s="1226">
        <v>2.2999999999999998</v>
      </c>
      <c r="H2315" s="1227">
        <f t="shared" si="29"/>
        <v>1.77</v>
      </c>
      <c r="I2315" s="1227">
        <f t="shared" si="30"/>
        <v>1.56</v>
      </c>
      <c r="J2315" s="1228">
        <v>116.8</v>
      </c>
      <c r="K2315" s="1229"/>
      <c r="L2315" s="1229"/>
      <c r="M2315" s="1229"/>
      <c r="N2315" s="1229"/>
      <c r="O2315" s="1229"/>
      <c r="P2315" s="1229"/>
      <c r="Q2315" s="1229"/>
      <c r="R2315" s="1229"/>
      <c r="S2315" s="1229"/>
      <c r="T2315" s="1229"/>
      <c r="U2315" s="1229"/>
      <c r="V2315" s="1229"/>
      <c r="W2315" s="1229"/>
      <c r="X2315" s="1229"/>
      <c r="Y2315" s="1229"/>
      <c r="Z2315" s="1229"/>
      <c r="AA2315" s="1229"/>
      <c r="AB2315" s="1229"/>
      <c r="AC2315" s="1229"/>
      <c r="AD2315" s="1229"/>
      <c r="AE2315" s="1229"/>
      <c r="AF2315" s="1229"/>
      <c r="AG2315" s="1229"/>
      <c r="AH2315" s="1229"/>
      <c r="AI2315" s="1229"/>
      <c r="AJ2315" s="1229"/>
      <c r="AK2315" s="1229"/>
      <c r="AL2315" s="1229"/>
      <c r="AM2315" s="1229"/>
      <c r="AN2315" s="1229"/>
      <c r="AO2315" s="1229"/>
      <c r="AP2315" s="1229"/>
      <c r="AQ2315" s="1229"/>
      <c r="AR2315" s="1229"/>
      <c r="AS2315" s="1229"/>
      <c r="AT2315" s="1229"/>
      <c r="AU2315" s="1229"/>
      <c r="AV2315" s="1229"/>
      <c r="AW2315" s="1229"/>
      <c r="AX2315" s="1229"/>
      <c r="AY2315" s="1229"/>
      <c r="AZ2315" s="1229"/>
      <c r="BA2315" s="1229"/>
      <c r="BB2315" s="1229"/>
      <c r="BC2315" s="1229"/>
      <c r="BD2315" s="1229"/>
      <c r="BE2315" s="1229"/>
      <c r="BF2315" s="1229"/>
      <c r="BG2315" s="1229"/>
      <c r="BH2315" s="1229"/>
      <c r="BI2315" s="1229"/>
      <c r="BJ2315" s="1229"/>
      <c r="BK2315" s="1229"/>
      <c r="BL2315" s="1229"/>
      <c r="BM2315" s="1229"/>
      <c r="BN2315" s="1229"/>
      <c r="BO2315" s="1229"/>
      <c r="BP2315" s="1229"/>
      <c r="BQ2315" s="1229"/>
      <c r="BR2315" s="1229"/>
      <c r="BS2315" s="1229"/>
      <c r="BT2315" s="1229"/>
      <c r="BU2315" s="1229"/>
      <c r="BV2315" s="1229"/>
      <c r="BW2315" s="1229"/>
      <c r="BX2315" s="1229"/>
      <c r="BY2315" s="1229"/>
      <c r="BZ2315" s="1229"/>
      <c r="CA2315" s="1229"/>
      <c r="CB2315" s="1229"/>
      <c r="CC2315" s="1229"/>
      <c r="CD2315" s="1229"/>
      <c r="CE2315" s="1229"/>
      <c r="CF2315" s="1229"/>
      <c r="CG2315" s="1229"/>
      <c r="CH2315" s="1229"/>
      <c r="CI2315" s="1229"/>
      <c r="CJ2315" s="1229"/>
      <c r="CK2315" s="1229"/>
      <c r="CL2315" s="1229"/>
      <c r="CM2315" s="1229"/>
      <c r="CN2315" s="1229"/>
      <c r="CO2315" s="1229"/>
      <c r="CP2315" s="1229"/>
      <c r="CQ2315" s="1229"/>
      <c r="CR2315" s="1229"/>
      <c r="CS2315" s="1229"/>
      <c r="CT2315" s="1229"/>
      <c r="CU2315" s="1229"/>
      <c r="CV2315" s="1229"/>
      <c r="CW2315" s="1229"/>
      <c r="CX2315" s="1229"/>
      <c r="CY2315" s="1229"/>
      <c r="CZ2315" s="1229"/>
      <c r="DA2315" s="1229"/>
      <c r="DB2315" s="1229"/>
      <c r="DC2315" s="1229"/>
      <c r="DD2315" s="1229"/>
      <c r="DE2315" s="1229"/>
      <c r="DF2315" s="1229"/>
      <c r="DG2315" s="1229"/>
      <c r="DH2315" s="1229"/>
      <c r="DI2315" s="1229"/>
      <c r="DJ2315" s="1229"/>
      <c r="DK2315" s="1229"/>
      <c r="DL2315" s="1229"/>
      <c r="DM2315" s="1229"/>
      <c r="DN2315" s="1229"/>
      <c r="DO2315" s="1229"/>
      <c r="DP2315" s="1229"/>
      <c r="DQ2315" s="1229"/>
      <c r="DR2315" s="1229"/>
    </row>
    <row r="2316" spans="1:122" s="49" customFormat="1" ht="15" customHeight="1">
      <c r="A2316" s="1224">
        <v>11707</v>
      </c>
      <c r="B2316" s="1222">
        <v>25</v>
      </c>
      <c r="C2316" s="1223">
        <v>10</v>
      </c>
      <c r="D2316" s="1224" t="s">
        <v>211</v>
      </c>
      <c r="E2316" s="1225" t="s">
        <v>3410</v>
      </c>
      <c r="F2316" s="1225" t="s">
        <v>3411</v>
      </c>
      <c r="G2316" s="1226">
        <v>2.86</v>
      </c>
      <c r="H2316" s="1227">
        <f t="shared" si="29"/>
        <v>2.19</v>
      </c>
      <c r="I2316" s="1227">
        <f t="shared" si="30"/>
        <v>1.93</v>
      </c>
      <c r="J2316" s="1228">
        <v>144.69999999999999</v>
      </c>
      <c r="K2316" s="1229"/>
      <c r="L2316" s="1229"/>
      <c r="M2316" s="1229"/>
      <c r="N2316" s="1229"/>
      <c r="O2316" s="1229"/>
      <c r="P2316" s="1229"/>
      <c r="Q2316" s="1229"/>
      <c r="R2316" s="1229"/>
      <c r="S2316" s="1229"/>
      <c r="T2316" s="1229"/>
      <c r="U2316" s="1229"/>
      <c r="V2316" s="1229"/>
      <c r="W2316" s="1229"/>
      <c r="X2316" s="1229"/>
      <c r="Y2316" s="1229"/>
      <c r="Z2316" s="1229"/>
      <c r="AA2316" s="1229"/>
      <c r="AB2316" s="1229"/>
      <c r="AC2316" s="1229"/>
      <c r="AD2316" s="1229"/>
      <c r="AE2316" s="1229"/>
      <c r="AF2316" s="1229"/>
      <c r="AG2316" s="1229"/>
      <c r="AH2316" s="1229"/>
      <c r="AI2316" s="1229"/>
      <c r="AJ2316" s="1229"/>
      <c r="AK2316" s="1229"/>
      <c r="AL2316" s="1229"/>
      <c r="AM2316" s="1229"/>
      <c r="AN2316" s="1229"/>
      <c r="AO2316" s="1229"/>
      <c r="AP2316" s="1229"/>
      <c r="AQ2316" s="1229"/>
      <c r="AR2316" s="1229"/>
      <c r="AS2316" s="1229"/>
      <c r="AT2316" s="1229"/>
      <c r="AU2316" s="1229"/>
      <c r="AV2316" s="1229"/>
      <c r="AW2316" s="1229"/>
      <c r="AX2316" s="1229"/>
      <c r="AY2316" s="1229"/>
      <c r="AZ2316" s="1229"/>
      <c r="BA2316" s="1229"/>
      <c r="BB2316" s="1229"/>
      <c r="BC2316" s="1229"/>
      <c r="BD2316" s="1229"/>
      <c r="BE2316" s="1229"/>
      <c r="BF2316" s="1229"/>
      <c r="BG2316" s="1229"/>
      <c r="BH2316" s="1229"/>
      <c r="BI2316" s="1229"/>
      <c r="BJ2316" s="1229"/>
      <c r="BK2316" s="1229"/>
      <c r="BL2316" s="1229"/>
      <c r="BM2316" s="1229"/>
      <c r="BN2316" s="1229"/>
      <c r="BO2316" s="1229"/>
      <c r="BP2316" s="1229"/>
      <c r="BQ2316" s="1229"/>
      <c r="BR2316" s="1229"/>
      <c r="BS2316" s="1229"/>
      <c r="BT2316" s="1229"/>
      <c r="BU2316" s="1229"/>
      <c r="BV2316" s="1229"/>
      <c r="BW2316" s="1229"/>
      <c r="BX2316" s="1229"/>
      <c r="BY2316" s="1229"/>
      <c r="BZ2316" s="1229"/>
      <c r="CA2316" s="1229"/>
      <c r="CB2316" s="1229"/>
      <c r="CC2316" s="1229"/>
      <c r="CD2316" s="1229"/>
      <c r="CE2316" s="1229"/>
      <c r="CF2316" s="1229"/>
      <c r="CG2316" s="1229"/>
      <c r="CH2316" s="1229"/>
      <c r="CI2316" s="1229"/>
      <c r="CJ2316" s="1229"/>
      <c r="CK2316" s="1229"/>
      <c r="CL2316" s="1229"/>
      <c r="CM2316" s="1229"/>
      <c r="CN2316" s="1229"/>
      <c r="CO2316" s="1229"/>
      <c r="CP2316" s="1229"/>
      <c r="CQ2316" s="1229"/>
      <c r="CR2316" s="1229"/>
      <c r="CS2316" s="1229"/>
      <c r="CT2316" s="1229"/>
      <c r="CU2316" s="1229"/>
      <c r="CV2316" s="1229"/>
      <c r="CW2316" s="1229"/>
      <c r="CX2316" s="1229"/>
      <c r="CY2316" s="1229"/>
      <c r="CZ2316" s="1229"/>
      <c r="DA2316" s="1229"/>
      <c r="DB2316" s="1229"/>
      <c r="DC2316" s="1229"/>
      <c r="DD2316" s="1229"/>
      <c r="DE2316" s="1229"/>
      <c r="DF2316" s="1229"/>
      <c r="DG2316" s="1229"/>
      <c r="DH2316" s="1229"/>
      <c r="DI2316" s="1229"/>
      <c r="DJ2316" s="1229"/>
      <c r="DK2316" s="1229"/>
      <c r="DL2316" s="1229"/>
      <c r="DM2316" s="1229"/>
      <c r="DN2316" s="1229"/>
      <c r="DO2316" s="1229"/>
      <c r="DP2316" s="1229"/>
      <c r="DQ2316" s="1229"/>
      <c r="DR2316" s="1229"/>
    </row>
    <row r="2317" spans="1:122" s="49" customFormat="1" ht="15" customHeight="1">
      <c r="A2317" s="1224">
        <v>11707</v>
      </c>
      <c r="B2317" s="1222">
        <v>38</v>
      </c>
      <c r="C2317" s="1223">
        <v>10</v>
      </c>
      <c r="D2317" s="1224" t="s">
        <v>211</v>
      </c>
      <c r="E2317" s="1225" t="s">
        <v>3410</v>
      </c>
      <c r="F2317" s="1225" t="s">
        <v>3411</v>
      </c>
      <c r="G2317" s="1226">
        <v>4.74</v>
      </c>
      <c r="H2317" s="1227">
        <f t="shared" si="29"/>
        <v>3.6399999999999997</v>
      </c>
      <c r="I2317" s="1227">
        <f t="shared" si="30"/>
        <v>3.2199999999999998</v>
      </c>
      <c r="J2317" s="1228">
        <v>240.8</v>
      </c>
      <c r="K2317" s="1229"/>
      <c r="L2317" s="1229"/>
      <c r="M2317" s="1229"/>
      <c r="N2317" s="1229"/>
      <c r="O2317" s="1229"/>
      <c r="P2317" s="1229"/>
      <c r="Q2317" s="1229"/>
      <c r="R2317" s="1229"/>
      <c r="S2317" s="1229"/>
      <c r="T2317" s="1229"/>
      <c r="U2317" s="1229"/>
      <c r="V2317" s="1229"/>
      <c r="W2317" s="1229"/>
      <c r="X2317" s="1229"/>
      <c r="Y2317" s="1229"/>
      <c r="Z2317" s="1229"/>
      <c r="AA2317" s="1229"/>
      <c r="AB2317" s="1229"/>
      <c r="AC2317" s="1229"/>
      <c r="AD2317" s="1229"/>
      <c r="AE2317" s="1229"/>
      <c r="AF2317" s="1229"/>
      <c r="AG2317" s="1229"/>
      <c r="AH2317" s="1229"/>
      <c r="AI2317" s="1229"/>
      <c r="AJ2317" s="1229"/>
      <c r="AK2317" s="1229"/>
      <c r="AL2317" s="1229"/>
      <c r="AM2317" s="1229"/>
      <c r="AN2317" s="1229"/>
      <c r="AO2317" s="1229"/>
      <c r="AP2317" s="1229"/>
      <c r="AQ2317" s="1229"/>
      <c r="AR2317" s="1229"/>
      <c r="AS2317" s="1229"/>
      <c r="AT2317" s="1229"/>
      <c r="AU2317" s="1229"/>
      <c r="AV2317" s="1229"/>
      <c r="AW2317" s="1229"/>
      <c r="AX2317" s="1229"/>
      <c r="AY2317" s="1229"/>
      <c r="AZ2317" s="1229"/>
      <c r="BA2317" s="1229"/>
      <c r="BB2317" s="1229"/>
      <c r="BC2317" s="1229"/>
      <c r="BD2317" s="1229"/>
      <c r="BE2317" s="1229"/>
      <c r="BF2317" s="1229"/>
      <c r="BG2317" s="1229"/>
      <c r="BH2317" s="1229"/>
      <c r="BI2317" s="1229"/>
      <c r="BJ2317" s="1229"/>
      <c r="BK2317" s="1229"/>
      <c r="BL2317" s="1229"/>
      <c r="BM2317" s="1229"/>
      <c r="BN2317" s="1229"/>
      <c r="BO2317" s="1229"/>
      <c r="BP2317" s="1229"/>
      <c r="BQ2317" s="1229"/>
      <c r="BR2317" s="1229"/>
      <c r="BS2317" s="1229"/>
      <c r="BT2317" s="1229"/>
      <c r="BU2317" s="1229"/>
      <c r="BV2317" s="1229"/>
      <c r="BW2317" s="1229"/>
      <c r="BX2317" s="1229"/>
      <c r="BY2317" s="1229"/>
      <c r="BZ2317" s="1229"/>
      <c r="CA2317" s="1229"/>
      <c r="CB2317" s="1229"/>
      <c r="CC2317" s="1229"/>
      <c r="CD2317" s="1229"/>
      <c r="CE2317" s="1229"/>
      <c r="CF2317" s="1229"/>
      <c r="CG2317" s="1229"/>
      <c r="CH2317" s="1229"/>
      <c r="CI2317" s="1229"/>
      <c r="CJ2317" s="1229"/>
      <c r="CK2317" s="1229"/>
      <c r="CL2317" s="1229"/>
      <c r="CM2317" s="1229"/>
      <c r="CN2317" s="1229"/>
      <c r="CO2317" s="1229"/>
      <c r="CP2317" s="1229"/>
      <c r="CQ2317" s="1229"/>
      <c r="CR2317" s="1229"/>
      <c r="CS2317" s="1229"/>
      <c r="CT2317" s="1229"/>
      <c r="CU2317" s="1229"/>
      <c r="CV2317" s="1229"/>
      <c r="CW2317" s="1229"/>
      <c r="CX2317" s="1229"/>
      <c r="CY2317" s="1229"/>
      <c r="CZ2317" s="1229"/>
      <c r="DA2317" s="1229"/>
      <c r="DB2317" s="1229"/>
      <c r="DC2317" s="1229"/>
      <c r="DD2317" s="1229"/>
      <c r="DE2317" s="1229"/>
      <c r="DF2317" s="1229"/>
      <c r="DG2317" s="1229"/>
      <c r="DH2317" s="1229"/>
      <c r="DI2317" s="1229"/>
      <c r="DJ2317" s="1229"/>
      <c r="DK2317" s="1229"/>
      <c r="DL2317" s="1229"/>
      <c r="DM2317" s="1229"/>
      <c r="DN2317" s="1229"/>
      <c r="DO2317" s="1229"/>
      <c r="DP2317" s="1229"/>
      <c r="DQ2317" s="1229"/>
      <c r="DR2317" s="1229"/>
    </row>
    <row r="2318" spans="1:122" s="49" customFormat="1" ht="15" customHeight="1">
      <c r="A2318" s="1224">
        <v>11707</v>
      </c>
      <c r="B2318" s="1222">
        <v>52</v>
      </c>
      <c r="C2318" s="1223">
        <v>10</v>
      </c>
      <c r="D2318" s="1224" t="s">
        <v>211</v>
      </c>
      <c r="E2318" s="1225" t="s">
        <v>3410</v>
      </c>
      <c r="F2318" s="1225" t="s">
        <v>3411</v>
      </c>
      <c r="G2318" s="1226">
        <v>6.9799999999999995</v>
      </c>
      <c r="H2318" s="1227">
        <f t="shared" si="29"/>
        <v>5.3599999999999994</v>
      </c>
      <c r="I2318" s="1227">
        <f t="shared" si="30"/>
        <v>4.7299999999999995</v>
      </c>
      <c r="J2318" s="1228">
        <v>354.5</v>
      </c>
      <c r="K2318" s="1229"/>
      <c r="L2318" s="1229"/>
      <c r="M2318" s="1229"/>
      <c r="N2318" s="1229"/>
      <c r="O2318" s="1229"/>
      <c r="P2318" s="1229"/>
      <c r="Q2318" s="1229"/>
      <c r="R2318" s="1229"/>
      <c r="S2318" s="1229"/>
      <c r="T2318" s="1229"/>
      <c r="U2318" s="1229"/>
      <c r="V2318" s="1229"/>
      <c r="W2318" s="1229"/>
      <c r="X2318" s="1229"/>
      <c r="Y2318" s="1229"/>
      <c r="Z2318" s="1229"/>
      <c r="AA2318" s="1229"/>
      <c r="AB2318" s="1229"/>
      <c r="AC2318" s="1229"/>
      <c r="AD2318" s="1229"/>
      <c r="AE2318" s="1229"/>
      <c r="AF2318" s="1229"/>
      <c r="AG2318" s="1229"/>
      <c r="AH2318" s="1229"/>
      <c r="AI2318" s="1229"/>
      <c r="AJ2318" s="1229"/>
      <c r="AK2318" s="1229"/>
      <c r="AL2318" s="1229"/>
      <c r="AM2318" s="1229"/>
      <c r="AN2318" s="1229"/>
      <c r="AO2318" s="1229"/>
      <c r="AP2318" s="1229"/>
      <c r="AQ2318" s="1229"/>
      <c r="AR2318" s="1229"/>
      <c r="AS2318" s="1229"/>
      <c r="AT2318" s="1229"/>
      <c r="AU2318" s="1229"/>
      <c r="AV2318" s="1229"/>
      <c r="AW2318" s="1229"/>
      <c r="AX2318" s="1229"/>
      <c r="AY2318" s="1229"/>
      <c r="AZ2318" s="1229"/>
      <c r="BA2318" s="1229"/>
      <c r="BB2318" s="1229"/>
      <c r="BC2318" s="1229"/>
      <c r="BD2318" s="1229"/>
      <c r="BE2318" s="1229"/>
      <c r="BF2318" s="1229"/>
      <c r="BG2318" s="1229"/>
      <c r="BH2318" s="1229"/>
      <c r="BI2318" s="1229"/>
      <c r="BJ2318" s="1229"/>
      <c r="BK2318" s="1229"/>
      <c r="BL2318" s="1229"/>
      <c r="BM2318" s="1229"/>
      <c r="BN2318" s="1229"/>
      <c r="BO2318" s="1229"/>
      <c r="BP2318" s="1229"/>
      <c r="BQ2318" s="1229"/>
      <c r="BR2318" s="1229"/>
      <c r="BS2318" s="1229"/>
      <c r="BT2318" s="1229"/>
      <c r="BU2318" s="1229"/>
      <c r="BV2318" s="1229"/>
      <c r="BW2318" s="1229"/>
      <c r="BX2318" s="1229"/>
      <c r="BY2318" s="1229"/>
      <c r="BZ2318" s="1229"/>
      <c r="CA2318" s="1229"/>
      <c r="CB2318" s="1229"/>
      <c r="CC2318" s="1229"/>
      <c r="CD2318" s="1229"/>
      <c r="CE2318" s="1229"/>
      <c r="CF2318" s="1229"/>
      <c r="CG2318" s="1229"/>
      <c r="CH2318" s="1229"/>
      <c r="CI2318" s="1229"/>
      <c r="CJ2318" s="1229"/>
      <c r="CK2318" s="1229"/>
      <c r="CL2318" s="1229"/>
      <c r="CM2318" s="1229"/>
      <c r="CN2318" s="1229"/>
      <c r="CO2318" s="1229"/>
      <c r="CP2318" s="1229"/>
      <c r="CQ2318" s="1229"/>
      <c r="CR2318" s="1229"/>
      <c r="CS2318" s="1229"/>
      <c r="CT2318" s="1229"/>
      <c r="CU2318" s="1229"/>
      <c r="CV2318" s="1229"/>
      <c r="CW2318" s="1229"/>
      <c r="CX2318" s="1229"/>
      <c r="CY2318" s="1229"/>
      <c r="CZ2318" s="1229"/>
      <c r="DA2318" s="1229"/>
      <c r="DB2318" s="1229"/>
      <c r="DC2318" s="1229"/>
      <c r="DD2318" s="1229"/>
      <c r="DE2318" s="1229"/>
      <c r="DF2318" s="1229"/>
      <c r="DG2318" s="1229"/>
      <c r="DH2318" s="1229"/>
      <c r="DI2318" s="1229"/>
      <c r="DJ2318" s="1229"/>
      <c r="DK2318" s="1229"/>
      <c r="DL2318" s="1229"/>
      <c r="DM2318" s="1229"/>
      <c r="DN2318" s="1229"/>
      <c r="DO2318" s="1229"/>
      <c r="DP2318" s="1229"/>
      <c r="DQ2318" s="1229"/>
      <c r="DR2318" s="1229"/>
    </row>
    <row r="2319" spans="1:122" s="49" customFormat="1" ht="15" customHeight="1">
      <c r="A2319" s="1224"/>
      <c r="B2319" s="1222"/>
      <c r="C2319" s="1223"/>
      <c r="D2319" s="1224"/>
      <c r="E2319" s="1225"/>
      <c r="F2319" s="1225"/>
      <c r="G2319" s="1226"/>
      <c r="H2319" s="1226"/>
      <c r="I2319" s="1226"/>
      <c r="J2319" s="1242"/>
      <c r="K2319" s="1229"/>
      <c r="L2319" s="1229"/>
      <c r="M2319" s="1229"/>
      <c r="N2319" s="1229"/>
      <c r="O2319" s="1229"/>
      <c r="P2319" s="1229"/>
      <c r="Q2319" s="1229"/>
      <c r="R2319" s="1229"/>
      <c r="S2319" s="1229"/>
      <c r="T2319" s="1229"/>
      <c r="U2319" s="1229"/>
      <c r="V2319" s="1229"/>
      <c r="W2319" s="1229"/>
      <c r="X2319" s="1229"/>
      <c r="Y2319" s="1229"/>
      <c r="Z2319" s="1229"/>
      <c r="AA2319" s="1229"/>
      <c r="AB2319" s="1229"/>
      <c r="AC2319" s="1229"/>
      <c r="AD2319" s="1229"/>
      <c r="AE2319" s="1229"/>
      <c r="AF2319" s="1229"/>
      <c r="AG2319" s="1229"/>
      <c r="AH2319" s="1229"/>
      <c r="AI2319" s="1229"/>
      <c r="AJ2319" s="1229"/>
      <c r="AK2319" s="1229"/>
      <c r="AL2319" s="1229"/>
      <c r="AM2319" s="1229"/>
      <c r="AN2319" s="1229"/>
      <c r="AO2319" s="1229"/>
      <c r="AP2319" s="1229"/>
      <c r="AQ2319" s="1229"/>
      <c r="AR2319" s="1229"/>
      <c r="AS2319" s="1229"/>
      <c r="AT2319" s="1229"/>
      <c r="AU2319" s="1229"/>
      <c r="AV2319" s="1229"/>
      <c r="AW2319" s="1229"/>
      <c r="AX2319" s="1229"/>
      <c r="AY2319" s="1229"/>
      <c r="AZ2319" s="1229"/>
      <c r="BA2319" s="1229"/>
      <c r="BB2319" s="1229"/>
      <c r="BC2319" s="1229"/>
      <c r="BD2319" s="1229"/>
      <c r="BE2319" s="1229"/>
      <c r="BF2319" s="1229"/>
      <c r="BG2319" s="1229"/>
      <c r="BH2319" s="1229"/>
      <c r="BI2319" s="1229"/>
      <c r="BJ2319" s="1229"/>
      <c r="BK2319" s="1229"/>
      <c r="BL2319" s="1229"/>
      <c r="BM2319" s="1229"/>
      <c r="BN2319" s="1229"/>
      <c r="BO2319" s="1229"/>
      <c r="BP2319" s="1229"/>
      <c r="BQ2319" s="1229"/>
      <c r="BR2319" s="1229"/>
      <c r="BS2319" s="1229"/>
      <c r="BT2319" s="1229"/>
      <c r="BU2319" s="1229"/>
      <c r="BV2319" s="1229"/>
      <c r="BW2319" s="1229"/>
      <c r="BX2319" s="1229"/>
      <c r="BY2319" s="1229"/>
      <c r="BZ2319" s="1229"/>
      <c r="CA2319" s="1229"/>
      <c r="CB2319" s="1229"/>
      <c r="CC2319" s="1229"/>
      <c r="CD2319" s="1229"/>
      <c r="CE2319" s="1229"/>
      <c r="CF2319" s="1229"/>
      <c r="CG2319" s="1229"/>
      <c r="CH2319" s="1229"/>
      <c r="CI2319" s="1229"/>
      <c r="CJ2319" s="1229"/>
      <c r="CK2319" s="1229"/>
      <c r="CL2319" s="1229"/>
      <c r="CM2319" s="1229"/>
      <c r="CN2319" s="1229"/>
      <c r="CO2319" s="1229"/>
      <c r="CP2319" s="1229"/>
      <c r="CQ2319" s="1229"/>
      <c r="CR2319" s="1229"/>
      <c r="CS2319" s="1229"/>
      <c r="CT2319" s="1229"/>
      <c r="CU2319" s="1229"/>
      <c r="CV2319" s="1229"/>
      <c r="CW2319" s="1229"/>
      <c r="CX2319" s="1229"/>
      <c r="CY2319" s="1229"/>
      <c r="CZ2319" s="1229"/>
      <c r="DA2319" s="1229"/>
      <c r="DB2319" s="1229"/>
      <c r="DC2319" s="1229"/>
      <c r="DD2319" s="1229"/>
      <c r="DE2319" s="1229"/>
      <c r="DF2319" s="1229"/>
      <c r="DG2319" s="1229"/>
      <c r="DH2319" s="1229"/>
      <c r="DI2319" s="1229"/>
      <c r="DJ2319" s="1229"/>
      <c r="DK2319" s="1229"/>
      <c r="DL2319" s="1229"/>
      <c r="DM2319" s="1229"/>
      <c r="DN2319" s="1229"/>
      <c r="DO2319" s="1229"/>
      <c r="DP2319" s="1229"/>
      <c r="DQ2319" s="1229"/>
      <c r="DR2319" s="1229"/>
    </row>
    <row r="2320" spans="1:122" s="354" customFormat="1" ht="15" customHeight="1">
      <c r="A2320" s="1243" t="s">
        <v>3412</v>
      </c>
      <c r="B2320" s="1244">
        <v>6</v>
      </c>
      <c r="C2320" s="1245">
        <v>10</v>
      </c>
      <c r="D2320" s="1224" t="s">
        <v>211</v>
      </c>
      <c r="E2320" s="1246" t="s">
        <v>3413</v>
      </c>
      <c r="F2320" s="1247" t="s">
        <v>3414</v>
      </c>
      <c r="G2320" s="1238">
        <v>2.1799999999999997</v>
      </c>
      <c r="H2320" s="1227">
        <f t="shared" ref="H2320:H2326" si="31">ROUNDUP(J2320/0.53/125,2)</f>
        <v>1.78</v>
      </c>
      <c r="I2320" s="1227">
        <f t="shared" ref="I2320:I2326" si="32">ROUNDUP(J2320/0.6/125,2)</f>
        <v>1.57</v>
      </c>
      <c r="J2320" s="1248">
        <v>117.5</v>
      </c>
      <c r="K2320" s="1249"/>
    </row>
    <row r="2321" spans="1:11" s="354" customFormat="1" ht="15" customHeight="1">
      <c r="A2321" s="1243" t="s">
        <v>3412</v>
      </c>
      <c r="B2321" s="1244">
        <v>9</v>
      </c>
      <c r="C2321" s="1245">
        <v>10</v>
      </c>
      <c r="D2321" s="1224" t="s">
        <v>211</v>
      </c>
      <c r="E2321" s="1246" t="s">
        <v>3413</v>
      </c>
      <c r="F2321" s="1247" t="s">
        <v>3415</v>
      </c>
      <c r="G2321" s="1238">
        <v>2.6399999999999997</v>
      </c>
      <c r="H2321" s="1227">
        <f t="shared" si="31"/>
        <v>2.1599999999999997</v>
      </c>
      <c r="I2321" s="1227">
        <f t="shared" si="32"/>
        <v>1.9</v>
      </c>
      <c r="J2321" s="1248">
        <v>142.5</v>
      </c>
      <c r="K2321" s="1249"/>
    </row>
    <row r="2322" spans="1:11" s="354" customFormat="1" ht="15" customHeight="1">
      <c r="A2322" s="1243" t="s">
        <v>3412</v>
      </c>
      <c r="B2322" s="1244">
        <v>12</v>
      </c>
      <c r="C2322" s="1245">
        <v>10</v>
      </c>
      <c r="D2322" s="1224" t="s">
        <v>211</v>
      </c>
      <c r="E2322" s="1246" t="s">
        <v>3413</v>
      </c>
      <c r="F2322" s="1247" t="s">
        <v>3414</v>
      </c>
      <c r="G2322" s="1238">
        <v>3.21</v>
      </c>
      <c r="H2322" s="1227">
        <f t="shared" si="31"/>
        <v>2.6199999999999997</v>
      </c>
      <c r="I2322" s="1227">
        <f t="shared" si="32"/>
        <v>2.3099999999999996</v>
      </c>
      <c r="J2322" s="1248">
        <v>173</v>
      </c>
      <c r="K2322" s="1249"/>
    </row>
    <row r="2323" spans="1:11" s="354" customFormat="1" ht="15" customHeight="1">
      <c r="A2323" s="1243" t="s">
        <v>3412</v>
      </c>
      <c r="B2323" s="1244">
        <v>18</v>
      </c>
      <c r="C2323" s="1245">
        <v>10</v>
      </c>
      <c r="D2323" s="1224" t="s">
        <v>211</v>
      </c>
      <c r="E2323" s="1246" t="s">
        <v>3413</v>
      </c>
      <c r="F2323" s="1247" t="s">
        <v>3416</v>
      </c>
      <c r="G2323" s="1238">
        <v>4.58</v>
      </c>
      <c r="H2323" s="1227">
        <f t="shared" si="31"/>
        <v>3.73</v>
      </c>
      <c r="I2323" s="1227">
        <f t="shared" si="32"/>
        <v>3.3</v>
      </c>
      <c r="J2323" s="1248">
        <v>247</v>
      </c>
      <c r="K2323" s="1249"/>
    </row>
    <row r="2324" spans="1:11" s="354" customFormat="1" ht="15" customHeight="1">
      <c r="A2324" s="1243" t="s">
        <v>3412</v>
      </c>
      <c r="B2324" s="1244">
        <v>24</v>
      </c>
      <c r="C2324" s="1245">
        <v>10</v>
      </c>
      <c r="D2324" s="1224" t="s">
        <v>211</v>
      </c>
      <c r="E2324" s="1246" t="s">
        <v>3413</v>
      </c>
      <c r="F2324" s="1247" t="s">
        <v>3416</v>
      </c>
      <c r="G2324" s="1238">
        <v>5.7299999999999995</v>
      </c>
      <c r="H2324" s="1227">
        <f t="shared" si="31"/>
        <v>4.67</v>
      </c>
      <c r="I2324" s="1227">
        <f t="shared" si="32"/>
        <v>4.12</v>
      </c>
      <c r="J2324" s="1248">
        <v>309</v>
      </c>
      <c r="K2324" s="1249"/>
    </row>
    <row r="2325" spans="1:11" s="354" customFormat="1" ht="15" customHeight="1">
      <c r="A2325" s="1243" t="s">
        <v>3412</v>
      </c>
      <c r="B2325" s="1250">
        <v>9</v>
      </c>
      <c r="C2325" s="1245">
        <v>10</v>
      </c>
      <c r="D2325" s="1224" t="s">
        <v>211</v>
      </c>
      <c r="E2325" s="1246" t="s">
        <v>3413</v>
      </c>
      <c r="F2325" s="1247" t="s">
        <v>3416</v>
      </c>
      <c r="G2325" s="1238">
        <v>4.58</v>
      </c>
      <c r="H2325" s="1227">
        <f t="shared" si="31"/>
        <v>3.73</v>
      </c>
      <c r="I2325" s="1227">
        <f t="shared" si="32"/>
        <v>3.3</v>
      </c>
      <c r="J2325" s="1248">
        <v>247</v>
      </c>
      <c r="K2325" s="1249"/>
    </row>
    <row r="2326" spans="1:11" s="354" customFormat="1" ht="15" customHeight="1">
      <c r="A2326" s="1243" t="s">
        <v>3412</v>
      </c>
      <c r="B2326" s="1250">
        <v>12</v>
      </c>
      <c r="C2326" s="1245">
        <v>10</v>
      </c>
      <c r="D2326" s="1224" t="s">
        <v>211</v>
      </c>
      <c r="E2326" s="1246" t="s">
        <v>3413</v>
      </c>
      <c r="F2326" s="1247" t="s">
        <v>3416</v>
      </c>
      <c r="G2326" s="1238">
        <v>5.7299999999999995</v>
      </c>
      <c r="H2326" s="1227">
        <f t="shared" si="31"/>
        <v>4.67</v>
      </c>
      <c r="I2326" s="1227">
        <f t="shared" si="32"/>
        <v>4.12</v>
      </c>
      <c r="J2326" s="1248">
        <v>309</v>
      </c>
      <c r="K2326" s="1249"/>
    </row>
    <row r="2328" spans="1:11">
      <c r="A2328" s="295" t="s">
        <v>40</v>
      </c>
      <c r="B2328" s="295" t="s">
        <v>90</v>
      </c>
      <c r="C2328" s="295" t="s">
        <v>203</v>
      </c>
      <c r="D2328" s="289" t="s">
        <v>163</v>
      </c>
      <c r="E2328" s="289" t="s">
        <v>197</v>
      </c>
      <c r="F2328" s="289" t="s">
        <v>198</v>
      </c>
      <c r="G2328" s="289" t="s">
        <v>212</v>
      </c>
    </row>
    <row r="2329" spans="1:11">
      <c r="A2329" s="1182" t="s">
        <v>2773</v>
      </c>
      <c r="B2329" s="42" t="s">
        <v>2491</v>
      </c>
      <c r="C2329" s="41" t="s">
        <v>2774</v>
      </c>
      <c r="D2329" s="296">
        <v>44</v>
      </c>
      <c r="E2329" s="297">
        <v>1</v>
      </c>
      <c r="F2329" s="298">
        <f>D2329*E2329</f>
        <v>44</v>
      </c>
      <c r="G2329" s="1184">
        <v>16.8</v>
      </c>
    </row>
    <row r="2330" spans="1:11">
      <c r="A2330" s="41"/>
      <c r="B2330" s="136"/>
      <c r="C2330" s="136" t="s">
        <v>218</v>
      </c>
      <c r="D2330" s="292"/>
      <c r="E2330" s="297"/>
      <c r="F2330" s="292">
        <v>1</v>
      </c>
      <c r="G2330" s="1181">
        <v>12</v>
      </c>
    </row>
    <row r="2332" spans="1:11">
      <c r="A2332" s="295" t="s">
        <v>40</v>
      </c>
      <c r="B2332" s="295" t="s">
        <v>90</v>
      </c>
      <c r="C2332" s="295" t="s">
        <v>203</v>
      </c>
      <c r="D2332" s="289" t="s">
        <v>163</v>
      </c>
      <c r="E2332" s="289" t="s">
        <v>197</v>
      </c>
      <c r="F2332" s="289" t="s">
        <v>198</v>
      </c>
      <c r="G2332" s="289" t="s">
        <v>212</v>
      </c>
    </row>
    <row r="2333" spans="1:11">
      <c r="A2333" s="1182" t="s">
        <v>2773</v>
      </c>
      <c r="B2333" s="42" t="s">
        <v>2491</v>
      </c>
      <c r="C2333" s="41" t="s">
        <v>3417</v>
      </c>
      <c r="D2333" s="296">
        <v>44</v>
      </c>
      <c r="E2333" s="297">
        <v>1</v>
      </c>
      <c r="F2333" s="298">
        <f>D2333*E2333</f>
        <v>44</v>
      </c>
      <c r="G2333" s="1184">
        <v>19.8</v>
      </c>
      <c r="H2333">
        <f>1680+300</f>
        <v>1980</v>
      </c>
    </row>
    <row r="2334" spans="1:11">
      <c r="A2334" s="1182" t="s">
        <v>2773</v>
      </c>
      <c r="B2334" s="42" t="s">
        <v>2491</v>
      </c>
      <c r="C2334" s="41" t="s">
        <v>3418</v>
      </c>
      <c r="D2334" s="296">
        <v>44</v>
      </c>
      <c r="E2334" s="297">
        <v>1</v>
      </c>
      <c r="F2334" s="298">
        <f>D2334*E2334</f>
        <v>44</v>
      </c>
      <c r="G2334" s="1184">
        <v>19.8</v>
      </c>
      <c r="H2334">
        <f>1680+300</f>
        <v>1980</v>
      </c>
    </row>
    <row r="2335" spans="1:11">
      <c r="A2335" s="1182" t="s">
        <v>2773</v>
      </c>
      <c r="B2335" s="42" t="s">
        <v>2491</v>
      </c>
      <c r="C2335" s="41" t="s">
        <v>3419</v>
      </c>
      <c r="D2335" s="296">
        <v>44</v>
      </c>
      <c r="E2335" s="297">
        <v>1</v>
      </c>
      <c r="F2335" s="298">
        <f>D2335*E2335</f>
        <v>44</v>
      </c>
      <c r="G2335" s="1184">
        <v>19.8</v>
      </c>
      <c r="H2335">
        <f>1680+300</f>
        <v>1980</v>
      </c>
    </row>
    <row r="2336" spans="1:11">
      <c r="A2336" s="1251"/>
      <c r="B2336" s="1252"/>
      <c r="C2336" s="1252" t="s">
        <v>218</v>
      </c>
      <c r="D2336" s="1253"/>
      <c r="E2336" s="1254"/>
      <c r="F2336" s="1253">
        <v>1</v>
      </c>
      <c r="G2336" s="1255">
        <v>12</v>
      </c>
    </row>
    <row r="2339" spans="1:10" s="369" customFormat="1" ht="12.75">
      <c r="A2339" s="295" t="s">
        <v>40</v>
      </c>
      <c r="B2339" s="312" t="s">
        <v>16</v>
      </c>
      <c r="C2339" s="366" t="s">
        <v>283</v>
      </c>
      <c r="D2339" s="366" t="s">
        <v>284</v>
      </c>
      <c r="E2339" s="367" t="s">
        <v>285</v>
      </c>
      <c r="F2339" s="368" t="s">
        <v>286</v>
      </c>
    </row>
    <row r="2340" spans="1:10" s="369" customFormat="1" ht="12.75">
      <c r="A2340" s="366" t="s">
        <v>287</v>
      </c>
      <c r="B2340" s="366" t="s">
        <v>288</v>
      </c>
      <c r="C2340" s="370">
        <v>16.8</v>
      </c>
      <c r="D2340" s="370">
        <v>16.5</v>
      </c>
      <c r="E2340" s="371">
        <v>1650</v>
      </c>
      <c r="F2340" s="367"/>
    </row>
    <row r="2341" spans="1:10" s="369" customFormat="1" ht="25.5">
      <c r="A2341" s="366" t="s">
        <v>289</v>
      </c>
      <c r="B2341" s="366" t="s">
        <v>288</v>
      </c>
      <c r="C2341" s="372" t="s">
        <v>290</v>
      </c>
      <c r="D2341" s="370">
        <v>16.5</v>
      </c>
      <c r="E2341" s="371">
        <v>1650</v>
      </c>
      <c r="F2341" s="367">
        <v>300</v>
      </c>
    </row>
    <row r="2344" spans="1:10" s="290" customFormat="1" ht="12.75">
      <c r="A2344" s="295" t="s">
        <v>3420</v>
      </c>
      <c r="B2344" s="295" t="s">
        <v>40</v>
      </c>
      <c r="C2344" s="295" t="s">
        <v>90</v>
      </c>
      <c r="D2344" s="295" t="s">
        <v>203</v>
      </c>
      <c r="E2344" s="289" t="s">
        <v>163</v>
      </c>
      <c r="F2344" s="289" t="s">
        <v>197</v>
      </c>
      <c r="G2344" s="289" t="s">
        <v>198</v>
      </c>
      <c r="H2344" s="289" t="s">
        <v>212</v>
      </c>
    </row>
    <row r="2345" spans="1:10" s="290" customFormat="1" ht="12.75">
      <c r="A2345" s="314" t="s">
        <v>2778</v>
      </c>
      <c r="B2345" s="1182" t="s">
        <v>2773</v>
      </c>
      <c r="C2345" s="42" t="s">
        <v>2491</v>
      </c>
      <c r="D2345" s="41" t="s">
        <v>3421</v>
      </c>
      <c r="E2345" s="1256">
        <v>44</v>
      </c>
      <c r="F2345" s="297">
        <v>1</v>
      </c>
      <c r="G2345" s="298">
        <f>E2345*F2345</f>
        <v>44</v>
      </c>
      <c r="H2345" s="1184">
        <v>19.8</v>
      </c>
    </row>
    <row r="2346" spans="1:10" s="290" customFormat="1" ht="12.75">
      <c r="A2346" s="314" t="s">
        <v>2778</v>
      </c>
      <c r="B2346" s="1182" t="s">
        <v>2773</v>
      </c>
      <c r="C2346" s="42" t="s">
        <v>2491</v>
      </c>
      <c r="D2346" s="41" t="s">
        <v>3422</v>
      </c>
      <c r="E2346" s="1256">
        <v>44</v>
      </c>
      <c r="F2346" s="297">
        <v>1</v>
      </c>
      <c r="G2346" s="298">
        <f>E2346*F2346</f>
        <v>44</v>
      </c>
      <c r="H2346" s="1184">
        <v>19.8</v>
      </c>
    </row>
    <row r="2347" spans="1:10" s="290" customFormat="1" ht="12.75">
      <c r="A2347" s="314" t="s">
        <v>2778</v>
      </c>
      <c r="B2347" s="1182" t="s">
        <v>2773</v>
      </c>
      <c r="C2347" s="42" t="s">
        <v>2491</v>
      </c>
      <c r="D2347" s="41" t="s">
        <v>3423</v>
      </c>
      <c r="E2347" s="1256">
        <v>44</v>
      </c>
      <c r="F2347" s="297">
        <v>1</v>
      </c>
      <c r="G2347" s="298">
        <f>E2347*F2347</f>
        <v>44</v>
      </c>
      <c r="H2347" s="1184">
        <v>19.8</v>
      </c>
    </row>
    <row r="2348" spans="1:10">
      <c r="A2348" s="161"/>
    </row>
    <row r="2350" spans="1:10">
      <c r="A2350" t="s">
        <v>3424</v>
      </c>
    </row>
    <row r="2351" spans="1:10" s="359" customFormat="1" ht="25.5">
      <c r="A2351" s="379" t="s">
        <v>171</v>
      </c>
      <c r="B2351" s="380" t="s">
        <v>90</v>
      </c>
      <c r="C2351" s="381" t="s">
        <v>2</v>
      </c>
      <c r="D2351" s="382" t="s">
        <v>204</v>
      </c>
      <c r="E2351" s="1158" t="s">
        <v>225</v>
      </c>
      <c r="F2351" s="1158" t="s">
        <v>161</v>
      </c>
      <c r="G2351" s="383" t="s">
        <v>3425</v>
      </c>
      <c r="H2351" s="383" t="s">
        <v>3426</v>
      </c>
      <c r="I2351" s="383" t="s">
        <v>3425</v>
      </c>
      <c r="J2351" s="383" t="s">
        <v>3426</v>
      </c>
    </row>
    <row r="2352" spans="1:10" s="376" customFormat="1" ht="12.75">
      <c r="A2352" s="302" t="s">
        <v>2787</v>
      </c>
      <c r="B2352" s="302" t="s">
        <v>2788</v>
      </c>
      <c r="C2352" s="302" t="s">
        <v>3427</v>
      </c>
      <c r="D2352" s="302" t="s">
        <v>165</v>
      </c>
      <c r="E2352" s="302" t="s">
        <v>3428</v>
      </c>
      <c r="F2352" s="302" t="s">
        <v>3429</v>
      </c>
      <c r="G2352" s="1181">
        <f>ROUNDUP(I2352/0.8/125,2)</f>
        <v>9.9</v>
      </c>
      <c r="H2352" s="1181">
        <f>ROUNDUP(J2352/0.8/125,2)</f>
        <v>9.4</v>
      </c>
      <c r="I2352" s="376">
        <f>970+20</f>
        <v>990</v>
      </c>
      <c r="J2352" s="376">
        <f>920+20</f>
        <v>940</v>
      </c>
    </row>
    <row r="2353" spans="1:121" s="337" customFormat="1" ht="12.75"/>
    <row r="2354" spans="1:121">
      <c r="A2354" t="s">
        <v>3430</v>
      </c>
    </row>
    <row r="2355" spans="1:121" s="362" customFormat="1" ht="25.5">
      <c r="A2355" s="288" t="s">
        <v>174</v>
      </c>
      <c r="B2355" s="316" t="s">
        <v>267</v>
      </c>
      <c r="C2355" s="315" t="s">
        <v>161</v>
      </c>
      <c r="D2355" s="1257" t="s">
        <v>3431</v>
      </c>
      <c r="E2355" s="1257" t="s">
        <v>3432</v>
      </c>
      <c r="F2355" s="315" t="s">
        <v>205</v>
      </c>
      <c r="G2355" s="315" t="s">
        <v>251</v>
      </c>
    </row>
    <row r="2356" spans="1:121" s="362" customFormat="1" ht="24" customHeight="1">
      <c r="A2356" s="317" t="s">
        <v>281</v>
      </c>
      <c r="B2356" s="317" t="s">
        <v>280</v>
      </c>
      <c r="C2356" s="317" t="s">
        <v>268</v>
      </c>
      <c r="D2356" s="318">
        <v>5.84</v>
      </c>
      <c r="E2356" s="318">
        <f>ROUNDUP(H2356/0.75/120,2)</f>
        <v>5</v>
      </c>
      <c r="F2356" s="317" t="s">
        <v>3433</v>
      </c>
      <c r="G2356" s="317"/>
      <c r="H2356" s="362">
        <v>450</v>
      </c>
    </row>
    <row r="2357" spans="1:121" s="362" customFormat="1" ht="24" customHeight="1">
      <c r="A2357" s="317" t="s">
        <v>254</v>
      </c>
      <c r="B2357" s="317" t="s">
        <v>245</v>
      </c>
      <c r="C2357" s="317" t="s">
        <v>268</v>
      </c>
      <c r="D2357" s="318">
        <v>22.23</v>
      </c>
      <c r="E2357" s="318">
        <f>ROUNDUP(H2357/0.75/120,2)</f>
        <v>20</v>
      </c>
      <c r="F2357" s="361" t="s">
        <v>3434</v>
      </c>
      <c r="G2357" s="361"/>
      <c r="H2357" s="362">
        <v>1800</v>
      </c>
    </row>
    <row r="2360" spans="1:121" s="290" customFormat="1" ht="12.75">
      <c r="A2360" s="295" t="s">
        <v>40</v>
      </c>
      <c r="B2360" s="295" t="s">
        <v>90</v>
      </c>
      <c r="C2360" s="295" t="s">
        <v>203</v>
      </c>
      <c r="D2360" s="289" t="s">
        <v>198</v>
      </c>
      <c r="E2360" s="289" t="s">
        <v>212</v>
      </c>
    </row>
    <row r="2361" spans="1:121" s="290" customFormat="1" ht="12.75">
      <c r="A2361" s="302" t="s">
        <v>2787</v>
      </c>
      <c r="B2361" s="302" t="s">
        <v>2788</v>
      </c>
      <c r="C2361" s="41" t="s">
        <v>2789</v>
      </c>
      <c r="D2361" s="298">
        <v>5</v>
      </c>
      <c r="E2361" s="1184">
        <v>9.9</v>
      </c>
    </row>
    <row r="2362" spans="1:121" s="290" customFormat="1" ht="12.75">
      <c r="A2362" s="41"/>
      <c r="B2362" s="136"/>
      <c r="C2362" s="136" t="s">
        <v>218</v>
      </c>
      <c r="D2362" s="292">
        <v>1</v>
      </c>
      <c r="E2362" s="1181">
        <v>15</v>
      </c>
    </row>
    <row r="2365" spans="1:121">
      <c r="A2365" t="s">
        <v>3435</v>
      </c>
    </row>
    <row r="2366" spans="1:121" s="353" customFormat="1" ht="25.5">
      <c r="A2366" s="379" t="s">
        <v>171</v>
      </c>
      <c r="B2366" s="380" t="s">
        <v>90</v>
      </c>
      <c r="C2366" s="381" t="s">
        <v>2</v>
      </c>
      <c r="D2366" s="382" t="s">
        <v>150</v>
      </c>
      <c r="E2366" s="1158" t="s">
        <v>225</v>
      </c>
      <c r="F2366" s="1158" t="s">
        <v>161</v>
      </c>
      <c r="G2366" s="383" t="s">
        <v>3401</v>
      </c>
      <c r="H2366" s="383" t="s">
        <v>3402</v>
      </c>
    </row>
    <row r="2367" spans="1:121" s="49" customFormat="1" ht="15" customHeight="1">
      <c r="A2367" s="355" t="s">
        <v>236</v>
      </c>
      <c r="B2367" s="360">
        <v>75</v>
      </c>
      <c r="C2367" s="356">
        <v>10</v>
      </c>
      <c r="D2367" s="357" t="s">
        <v>3436</v>
      </c>
      <c r="E2367" s="1258" t="s">
        <v>73</v>
      </c>
      <c r="F2367" s="1258" t="s">
        <v>237</v>
      </c>
      <c r="G2367" s="1259">
        <f>ROUNDUP(I2367/0.53/125,2)</f>
        <v>7.7299999999999995</v>
      </c>
      <c r="H2367" s="1259">
        <f>ROUNDUP(I2367/0.6/125,2)</f>
        <v>6.83</v>
      </c>
      <c r="I2367" s="1260">
        <v>512.1</v>
      </c>
      <c r="J2367" s="1229"/>
      <c r="K2367" s="1229"/>
      <c r="L2367" s="1229"/>
      <c r="M2367" s="1229"/>
      <c r="N2367" s="1229"/>
      <c r="O2367" s="1229"/>
      <c r="P2367" s="1229"/>
      <c r="Q2367" s="1229"/>
      <c r="R2367" s="1229"/>
      <c r="S2367" s="1229"/>
      <c r="T2367" s="1229"/>
      <c r="U2367" s="1229"/>
      <c r="V2367" s="1229"/>
      <c r="W2367" s="1229"/>
      <c r="X2367" s="1229"/>
      <c r="Y2367" s="1229"/>
      <c r="Z2367" s="1229"/>
      <c r="AA2367" s="1229"/>
      <c r="AB2367" s="1229"/>
      <c r="AC2367" s="1229"/>
      <c r="AD2367" s="1229"/>
      <c r="AE2367" s="1229"/>
      <c r="AF2367" s="1229"/>
      <c r="AG2367" s="1229"/>
      <c r="AH2367" s="1229"/>
      <c r="AI2367" s="1229"/>
      <c r="AJ2367" s="1229"/>
      <c r="AK2367" s="1229"/>
      <c r="AL2367" s="1229"/>
      <c r="AM2367" s="1229"/>
      <c r="AN2367" s="1229"/>
      <c r="AO2367" s="1229"/>
      <c r="AP2367" s="1229"/>
      <c r="AQ2367" s="1229"/>
      <c r="AR2367" s="1229"/>
      <c r="AS2367" s="1229"/>
      <c r="AT2367" s="1229"/>
      <c r="AU2367" s="1229"/>
      <c r="AV2367" s="1229"/>
      <c r="AW2367" s="1229"/>
      <c r="AX2367" s="1229"/>
      <c r="AY2367" s="1229"/>
      <c r="AZ2367" s="1229"/>
      <c r="BA2367" s="1229"/>
      <c r="BB2367" s="1229"/>
      <c r="BC2367" s="1229"/>
      <c r="BD2367" s="1229"/>
      <c r="BE2367" s="1229"/>
      <c r="BF2367" s="1229"/>
      <c r="BG2367" s="1229"/>
      <c r="BH2367" s="1229"/>
      <c r="BI2367" s="1229"/>
      <c r="BJ2367" s="1229"/>
      <c r="BK2367" s="1229"/>
      <c r="BL2367" s="1229"/>
      <c r="BM2367" s="1229"/>
      <c r="BN2367" s="1229"/>
      <c r="BO2367" s="1229"/>
      <c r="BP2367" s="1229"/>
      <c r="BQ2367" s="1229"/>
      <c r="BR2367" s="1229"/>
      <c r="BS2367" s="1229"/>
      <c r="BT2367" s="1229"/>
      <c r="BU2367" s="1229"/>
      <c r="BV2367" s="1229"/>
      <c r="BW2367" s="1229"/>
      <c r="BX2367" s="1229"/>
      <c r="BY2367" s="1229"/>
      <c r="BZ2367" s="1229"/>
      <c r="CA2367" s="1229"/>
      <c r="CB2367" s="1229"/>
      <c r="CC2367" s="1229"/>
      <c r="CD2367" s="1229"/>
      <c r="CE2367" s="1229"/>
      <c r="CF2367" s="1229"/>
      <c r="CG2367" s="1229"/>
      <c r="CH2367" s="1229"/>
      <c r="CI2367" s="1229"/>
      <c r="CJ2367" s="1229"/>
      <c r="CK2367" s="1229"/>
      <c r="CL2367" s="1229"/>
      <c r="CM2367" s="1229"/>
      <c r="CN2367" s="1229"/>
      <c r="CO2367" s="1229"/>
      <c r="CP2367" s="1229"/>
      <c r="CQ2367" s="1229"/>
      <c r="CR2367" s="1229"/>
      <c r="CS2367" s="1229"/>
      <c r="CT2367" s="1229"/>
      <c r="CU2367" s="1229"/>
      <c r="CV2367" s="1229"/>
      <c r="CW2367" s="1229"/>
      <c r="CX2367" s="1229"/>
      <c r="CY2367" s="1229"/>
      <c r="CZ2367" s="1229"/>
      <c r="DA2367" s="1229"/>
      <c r="DB2367" s="1229"/>
      <c r="DC2367" s="1229"/>
      <c r="DD2367" s="1229"/>
      <c r="DE2367" s="1229"/>
      <c r="DF2367" s="1229"/>
      <c r="DG2367" s="1229"/>
      <c r="DH2367" s="1229"/>
      <c r="DI2367" s="1229"/>
      <c r="DJ2367" s="1229"/>
      <c r="DK2367" s="1229"/>
      <c r="DL2367" s="1229"/>
      <c r="DM2367" s="1229"/>
      <c r="DN2367" s="1229"/>
      <c r="DO2367" s="1229"/>
      <c r="DP2367" s="1229"/>
      <c r="DQ2367" s="1229"/>
    </row>
    <row r="2369" spans="1:8" ht="33" customHeight="1">
      <c r="A2369" s="2066" t="s">
        <v>3437</v>
      </c>
      <c r="B2369" s="2066"/>
      <c r="C2369" s="2066"/>
      <c r="D2369" s="2066"/>
      <c r="E2369" s="2066"/>
      <c r="F2369" s="2066"/>
    </row>
    <row r="2370" spans="1:8" ht="18.75">
      <c r="A2370" s="1261"/>
    </row>
    <row r="2371" spans="1:8" ht="18.75">
      <c r="A2371" s="1261"/>
    </row>
    <row r="2372" spans="1:8" s="290" customFormat="1" ht="12.75">
      <c r="A2372" s="295" t="s">
        <v>3420</v>
      </c>
      <c r="B2372" s="295" t="s">
        <v>40</v>
      </c>
      <c r="C2372" s="295" t="s">
        <v>90</v>
      </c>
      <c r="D2372" s="295" t="s">
        <v>203</v>
      </c>
      <c r="E2372" s="289" t="s">
        <v>163</v>
      </c>
      <c r="F2372" s="289" t="s">
        <v>197</v>
      </c>
      <c r="G2372" s="289" t="s">
        <v>198</v>
      </c>
      <c r="H2372" s="289" t="s">
        <v>212</v>
      </c>
    </row>
    <row r="2373" spans="1:8" s="290" customFormat="1" ht="12.75">
      <c r="A2373" s="4" t="s">
        <v>2778</v>
      </c>
      <c r="B2373" s="1182" t="s">
        <v>2773</v>
      </c>
      <c r="C2373" s="42" t="s">
        <v>2491</v>
      </c>
      <c r="D2373" s="41" t="s">
        <v>2779</v>
      </c>
      <c r="E2373" s="1256">
        <v>44</v>
      </c>
      <c r="F2373" s="297">
        <v>1</v>
      </c>
      <c r="G2373" s="43">
        <f>E2373*F2373</f>
        <v>44</v>
      </c>
      <c r="H2373" s="1183">
        <v>19.8</v>
      </c>
    </row>
    <row r="2374" spans="1:8" s="290" customFormat="1" ht="12.75">
      <c r="A2374" s="4" t="s">
        <v>2778</v>
      </c>
      <c r="B2374" s="1182" t="s">
        <v>2773</v>
      </c>
      <c r="C2374" s="42" t="s">
        <v>2491</v>
      </c>
      <c r="D2374" s="41" t="s">
        <v>2780</v>
      </c>
      <c r="E2374" s="1256">
        <v>44</v>
      </c>
      <c r="F2374" s="297">
        <v>2</v>
      </c>
      <c r="G2374" s="43">
        <f>E2374*F2374</f>
        <v>88</v>
      </c>
      <c r="H2374" s="1183">
        <v>19.8</v>
      </c>
    </row>
    <row r="2379" spans="1:8">
      <c r="A2379" s="295" t="s">
        <v>3420</v>
      </c>
      <c r="B2379" s="295" t="s">
        <v>40</v>
      </c>
      <c r="C2379" s="295" t="s">
        <v>203</v>
      </c>
      <c r="D2379" s="289" t="s">
        <v>163</v>
      </c>
      <c r="E2379" s="289" t="s">
        <v>197</v>
      </c>
      <c r="F2379" s="289" t="s">
        <v>198</v>
      </c>
      <c r="G2379" s="289" t="s">
        <v>212</v>
      </c>
      <c r="H2379" s="289" t="s">
        <v>159</v>
      </c>
    </row>
    <row r="2380" spans="1:8">
      <c r="A2380" s="314" t="s">
        <v>3438</v>
      </c>
      <c r="B2380" s="1182" t="s">
        <v>2761</v>
      </c>
      <c r="C2380" s="41" t="s">
        <v>25</v>
      </c>
      <c r="D2380" s="296">
        <v>13.4</v>
      </c>
      <c r="E2380" s="297">
        <v>1</v>
      </c>
      <c r="F2380" s="1186">
        <f>D2380*E2380</f>
        <v>13.4</v>
      </c>
      <c r="G2380" s="1183">
        <v>9.82</v>
      </c>
      <c r="H2380" s="365" t="s">
        <v>3439</v>
      </c>
    </row>
    <row r="2381" spans="1:8">
      <c r="A2381" s="314" t="s">
        <v>3438</v>
      </c>
      <c r="B2381" s="1182" t="s">
        <v>2761</v>
      </c>
      <c r="C2381" s="41" t="s">
        <v>25</v>
      </c>
      <c r="D2381" s="296">
        <v>13.7</v>
      </c>
      <c r="E2381" s="297">
        <v>3</v>
      </c>
      <c r="F2381" s="1186">
        <f>D2381*E2381</f>
        <v>41.099999999999994</v>
      </c>
      <c r="G2381" s="1183">
        <v>9.82</v>
      </c>
      <c r="H2381" s="365" t="s">
        <v>3440</v>
      </c>
    </row>
    <row r="2382" spans="1:8">
      <c r="A2382" s="314" t="s">
        <v>3438</v>
      </c>
      <c r="B2382" s="41"/>
      <c r="C2382" s="136" t="s">
        <v>218</v>
      </c>
      <c r="D2382" s="292"/>
      <c r="E2382" s="297"/>
      <c r="F2382" s="292">
        <v>1</v>
      </c>
      <c r="G2382" s="1181">
        <v>12</v>
      </c>
      <c r="H2382" s="131"/>
    </row>
    <row r="2383" spans="1:8">
      <c r="A2383" s="161"/>
    </row>
    <row r="2386" spans="1:9">
      <c r="A2386" s="295" t="s">
        <v>40</v>
      </c>
      <c r="B2386" s="295" t="s">
        <v>203</v>
      </c>
      <c r="C2386" s="289" t="s">
        <v>163</v>
      </c>
      <c r="D2386" s="289" t="s">
        <v>197</v>
      </c>
      <c r="E2386" s="289" t="s">
        <v>198</v>
      </c>
      <c r="F2386" s="289" t="s">
        <v>212</v>
      </c>
    </row>
    <row r="2387" spans="1:9">
      <c r="A2387" s="1182" t="s">
        <v>2792</v>
      </c>
      <c r="B2387" s="41" t="s">
        <v>25</v>
      </c>
      <c r="C2387" s="296">
        <v>13.7</v>
      </c>
      <c r="D2387" s="297">
        <v>2</v>
      </c>
      <c r="E2387" s="1186">
        <f>C2387*D2387</f>
        <v>27.4</v>
      </c>
      <c r="F2387" s="1183">
        <v>7.19</v>
      </c>
    </row>
    <row r="2388" spans="1:9">
      <c r="A2388" s="1182" t="s">
        <v>2793</v>
      </c>
      <c r="B2388" s="41" t="s">
        <v>25</v>
      </c>
      <c r="C2388" s="296">
        <v>13.7</v>
      </c>
      <c r="D2388" s="297">
        <v>2</v>
      </c>
      <c r="E2388" s="1186">
        <f>C2388*D2388</f>
        <v>27.4</v>
      </c>
      <c r="F2388" s="1183">
        <v>3.78</v>
      </c>
    </row>
    <row r="2389" spans="1:9">
      <c r="A2389" s="41"/>
      <c r="B2389" s="136" t="s">
        <v>218</v>
      </c>
      <c r="C2389" s="292"/>
      <c r="D2389" s="297"/>
      <c r="E2389" s="292">
        <v>1</v>
      </c>
      <c r="F2389" s="1181">
        <v>12</v>
      </c>
    </row>
    <row r="2391" spans="1:9">
      <c r="A2391" s="295" t="s">
        <v>40</v>
      </c>
      <c r="B2391" s="295" t="s">
        <v>90</v>
      </c>
      <c r="C2391" s="295" t="s">
        <v>203</v>
      </c>
      <c r="D2391" s="289" t="s">
        <v>198</v>
      </c>
      <c r="E2391" s="289" t="s">
        <v>212</v>
      </c>
    </row>
    <row r="2392" spans="1:9">
      <c r="A2392" s="41" t="s">
        <v>2557</v>
      </c>
      <c r="B2392" s="300">
        <v>148</v>
      </c>
      <c r="C2392" s="41" t="s">
        <v>2612</v>
      </c>
      <c r="D2392" s="298">
        <v>30</v>
      </c>
      <c r="E2392" s="1262">
        <v>5.84</v>
      </c>
    </row>
    <row r="2393" spans="1:9">
      <c r="A2393" s="41"/>
      <c r="B2393" s="136"/>
      <c r="C2393" s="136" t="s">
        <v>2795</v>
      </c>
      <c r="D2393" s="292">
        <v>1</v>
      </c>
      <c r="E2393" s="1262">
        <v>12</v>
      </c>
    </row>
    <row r="2394" spans="1:9">
      <c r="A2394" s="41"/>
      <c r="B2394" s="136"/>
      <c r="C2394" s="136" t="s">
        <v>218</v>
      </c>
      <c r="D2394" s="292">
        <v>1</v>
      </c>
      <c r="E2394" s="1262">
        <v>20</v>
      </c>
    </row>
    <row r="2397" spans="1:9">
      <c r="A2397" s="295" t="s">
        <v>39</v>
      </c>
      <c r="B2397" s="295" t="s">
        <v>40</v>
      </c>
      <c r="C2397" s="295" t="s">
        <v>16</v>
      </c>
      <c r="D2397" s="295" t="s">
        <v>203</v>
      </c>
      <c r="E2397" s="289" t="s">
        <v>163</v>
      </c>
      <c r="F2397" s="289" t="s">
        <v>197</v>
      </c>
      <c r="G2397" s="289" t="s">
        <v>198</v>
      </c>
      <c r="H2397" s="289" t="s">
        <v>212</v>
      </c>
      <c r="I2397" s="289" t="s">
        <v>159</v>
      </c>
    </row>
    <row r="2398" spans="1:9">
      <c r="A2398" s="4" t="s">
        <v>2796</v>
      </c>
      <c r="B2398" s="1263" t="s">
        <v>79</v>
      </c>
      <c r="C2398" s="300"/>
      <c r="D2398" s="41"/>
      <c r="E2398" s="296"/>
      <c r="F2398" s="297"/>
      <c r="G2398" s="296"/>
      <c r="H2398" s="307" t="s">
        <v>8</v>
      </c>
      <c r="I2398" s="365"/>
    </row>
    <row r="2399" spans="1:9">
      <c r="A2399" s="4" t="s">
        <v>2796</v>
      </c>
      <c r="B2399" s="41">
        <v>4141</v>
      </c>
      <c r="C2399" s="1264">
        <v>9</v>
      </c>
      <c r="D2399" s="41" t="s">
        <v>2798</v>
      </c>
      <c r="E2399" s="296">
        <v>20</v>
      </c>
      <c r="F2399" s="297">
        <v>15</v>
      </c>
      <c r="G2399" s="43">
        <f t="shared" ref="G2399:G2405" si="33">E2399*F2399</f>
        <v>300</v>
      </c>
      <c r="H2399" s="1183">
        <v>1.33</v>
      </c>
      <c r="I2399" s="302" t="s">
        <v>3441</v>
      </c>
    </row>
    <row r="2400" spans="1:9">
      <c r="A2400" s="4" t="s">
        <v>2796</v>
      </c>
      <c r="B2400" s="41">
        <v>4141</v>
      </c>
      <c r="C2400" s="1264">
        <v>9</v>
      </c>
      <c r="D2400" s="41" t="s">
        <v>1817</v>
      </c>
      <c r="E2400" s="296">
        <v>20</v>
      </c>
      <c r="F2400" s="297">
        <v>25</v>
      </c>
      <c r="G2400" s="43">
        <f t="shared" si="33"/>
        <v>500</v>
      </c>
      <c r="H2400" s="1183">
        <v>1.33</v>
      </c>
      <c r="I2400" s="302" t="s">
        <v>3441</v>
      </c>
    </row>
    <row r="2401" spans="1:9">
      <c r="A2401" s="4" t="s">
        <v>2796</v>
      </c>
      <c r="B2401" s="41">
        <v>4141</v>
      </c>
      <c r="C2401" s="1264">
        <v>9</v>
      </c>
      <c r="D2401" s="41" t="s">
        <v>1816</v>
      </c>
      <c r="E2401" s="296">
        <v>20</v>
      </c>
      <c r="F2401" s="297">
        <v>10</v>
      </c>
      <c r="G2401" s="43">
        <f t="shared" si="33"/>
        <v>200</v>
      </c>
      <c r="H2401" s="1183">
        <v>1.33</v>
      </c>
      <c r="I2401" s="302" t="s">
        <v>3441</v>
      </c>
    </row>
    <row r="2402" spans="1:9">
      <c r="A2402" s="4" t="s">
        <v>2796</v>
      </c>
      <c r="B2402" s="41">
        <v>4141</v>
      </c>
      <c r="C2402" s="1264">
        <v>9</v>
      </c>
      <c r="D2402" s="41" t="s">
        <v>1819</v>
      </c>
      <c r="E2402" s="296">
        <v>20</v>
      </c>
      <c r="F2402" s="297">
        <v>5</v>
      </c>
      <c r="G2402" s="43">
        <f t="shared" si="33"/>
        <v>100</v>
      </c>
      <c r="H2402" s="1183">
        <v>1.33</v>
      </c>
      <c r="I2402" s="302" t="s">
        <v>3441</v>
      </c>
    </row>
    <row r="2403" spans="1:9">
      <c r="A2403" s="4" t="s">
        <v>2796</v>
      </c>
      <c r="B2403" s="41">
        <v>4141</v>
      </c>
      <c r="C2403" s="1264">
        <v>9</v>
      </c>
      <c r="D2403" s="41" t="s">
        <v>1814</v>
      </c>
      <c r="E2403" s="296">
        <v>20</v>
      </c>
      <c r="F2403" s="297">
        <v>30</v>
      </c>
      <c r="G2403" s="43">
        <f t="shared" si="33"/>
        <v>600</v>
      </c>
      <c r="H2403" s="1183">
        <v>1.33</v>
      </c>
      <c r="I2403" s="593" t="s">
        <v>3442</v>
      </c>
    </row>
    <row r="2404" spans="1:9">
      <c r="A2404" s="4" t="s">
        <v>2796</v>
      </c>
      <c r="B2404" s="41">
        <v>4141</v>
      </c>
      <c r="C2404" s="1264">
        <v>9</v>
      </c>
      <c r="D2404" s="41" t="s">
        <v>1821</v>
      </c>
      <c r="E2404" s="296">
        <v>20</v>
      </c>
      <c r="F2404" s="297">
        <v>3</v>
      </c>
      <c r="G2404" s="43">
        <f t="shared" si="33"/>
        <v>60</v>
      </c>
      <c r="H2404" s="1183">
        <v>1.33</v>
      </c>
      <c r="I2404" s="302" t="s">
        <v>3441</v>
      </c>
    </row>
    <row r="2405" spans="1:9">
      <c r="A2405" s="4" t="s">
        <v>2796</v>
      </c>
      <c r="B2405" s="41">
        <v>4141</v>
      </c>
      <c r="C2405" s="1264">
        <v>9</v>
      </c>
      <c r="D2405" s="41" t="s">
        <v>277</v>
      </c>
      <c r="E2405" s="296">
        <v>20</v>
      </c>
      <c r="F2405" s="297">
        <v>150</v>
      </c>
      <c r="G2405" s="43">
        <f t="shared" si="33"/>
        <v>3000</v>
      </c>
      <c r="H2405" s="1183">
        <v>1.33</v>
      </c>
      <c r="I2405" s="302" t="s">
        <v>3441</v>
      </c>
    </row>
    <row r="2406" spans="1:9">
      <c r="A2406" s="4" t="s">
        <v>2796</v>
      </c>
      <c r="B2406" s="1265" t="s">
        <v>84</v>
      </c>
      <c r="C2406" s="304"/>
      <c r="D2406" s="305"/>
      <c r="E2406" s="293" t="s">
        <v>265</v>
      </c>
      <c r="F2406" s="294"/>
      <c r="G2406" s="306"/>
      <c r="H2406" s="307" t="s">
        <v>47</v>
      </c>
      <c r="I2406" s="302" t="s">
        <v>3441</v>
      </c>
    </row>
    <row r="2407" spans="1:9">
      <c r="A2407" s="4" t="s">
        <v>2796</v>
      </c>
      <c r="B2407" s="41">
        <v>14552</v>
      </c>
      <c r="C2407" s="42">
        <v>25</v>
      </c>
      <c r="D2407" s="342" t="s">
        <v>3443</v>
      </c>
      <c r="E2407" s="296">
        <v>30</v>
      </c>
      <c r="F2407" s="297">
        <v>4</v>
      </c>
      <c r="G2407" s="298">
        <f>E2407*F2407</f>
        <v>120</v>
      </c>
      <c r="H2407" s="1183">
        <v>0.99</v>
      </c>
      <c r="I2407" s="302" t="s">
        <v>3444</v>
      </c>
    </row>
    <row r="2408" spans="1:9">
      <c r="A2408" s="4" t="s">
        <v>2796</v>
      </c>
      <c r="B2408" s="1263" t="s">
        <v>156</v>
      </c>
      <c r="C2408" s="42"/>
      <c r="D2408" s="41"/>
      <c r="E2408" s="292"/>
      <c r="F2408" s="303"/>
      <c r="G2408" s="43"/>
      <c r="H2408" s="45" t="s">
        <v>8</v>
      </c>
      <c r="I2408" s="302"/>
    </row>
    <row r="2409" spans="1:9">
      <c r="A2409" s="4" t="s">
        <v>2796</v>
      </c>
      <c r="B2409" s="41">
        <v>3717</v>
      </c>
      <c r="C2409" s="42">
        <v>25</v>
      </c>
      <c r="D2409" s="41" t="s">
        <v>2799</v>
      </c>
      <c r="E2409" s="296">
        <v>30</v>
      </c>
      <c r="F2409" s="297">
        <v>2</v>
      </c>
      <c r="G2409" s="43">
        <f>E2409*F2409</f>
        <v>60</v>
      </c>
      <c r="H2409" s="1183">
        <v>0.5</v>
      </c>
      <c r="I2409" s="302" t="s">
        <v>3441</v>
      </c>
    </row>
    <row r="2410" spans="1:9">
      <c r="A2410" s="4" t="s">
        <v>2796</v>
      </c>
      <c r="B2410" s="41">
        <v>3717</v>
      </c>
      <c r="C2410" s="42">
        <v>25</v>
      </c>
      <c r="D2410" s="41" t="s">
        <v>2798</v>
      </c>
      <c r="E2410" s="296">
        <v>30</v>
      </c>
      <c r="F2410" s="297">
        <v>2</v>
      </c>
      <c r="G2410" s="43">
        <f>E2410*F2410</f>
        <v>60</v>
      </c>
      <c r="H2410" s="1183">
        <v>0.5</v>
      </c>
      <c r="I2410" s="302" t="s">
        <v>3441</v>
      </c>
    </row>
    <row r="2413" spans="1:9" ht="19.5">
      <c r="A2413" s="375" t="s">
        <v>3445</v>
      </c>
    </row>
    <row r="2414" spans="1:9">
      <c r="A2414" s="2067" t="s">
        <v>3446</v>
      </c>
      <c r="B2414" s="2068"/>
    </row>
    <row r="2415" spans="1:9">
      <c r="A2415" s="1266" t="s">
        <v>298</v>
      </c>
      <c r="B2415" s="301" t="s">
        <v>3447</v>
      </c>
    </row>
    <row r="2416" spans="1:9">
      <c r="A2416" s="1266" t="s">
        <v>299</v>
      </c>
      <c r="B2416" s="301" t="s">
        <v>3448</v>
      </c>
    </row>
    <row r="2417" spans="1:4" ht="16.5">
      <c r="A2417" s="1267" t="s">
        <v>3449</v>
      </c>
      <c r="B2417" s="301" t="s">
        <v>3450</v>
      </c>
    </row>
    <row r="2418" spans="1:4" ht="16.5">
      <c r="A2418" s="1267" t="s">
        <v>3451</v>
      </c>
      <c r="B2418" s="301" t="s">
        <v>3452</v>
      </c>
    </row>
    <row r="2419" spans="1:4" ht="16.5">
      <c r="A2419" s="1267" t="s">
        <v>300</v>
      </c>
      <c r="B2419" s="301" t="s">
        <v>3453</v>
      </c>
    </row>
    <row r="2420" spans="1:4" ht="16.5">
      <c r="A2420" s="1267" t="s">
        <v>3454</v>
      </c>
      <c r="B2420" s="1268" t="s">
        <v>3455</v>
      </c>
      <c r="C2420">
        <f>5000+5000</f>
        <v>10000</v>
      </c>
    </row>
    <row r="2421" spans="1:4" ht="16.5">
      <c r="A2421" s="1267" t="s">
        <v>3456</v>
      </c>
      <c r="B2421" s="1269">
        <f>ROUNDUP(C2421/0.8/120,2)</f>
        <v>25.53</v>
      </c>
      <c r="C2421">
        <v>2450</v>
      </c>
    </row>
    <row r="2422" spans="1:4" ht="16.5">
      <c r="A2422" s="1267" t="s">
        <v>3457</v>
      </c>
      <c r="B2422" s="1268">
        <f>ROUNDUP(C2422/0.8/120,2)</f>
        <v>22.400000000000002</v>
      </c>
      <c r="C2422">
        <v>2150</v>
      </c>
    </row>
    <row r="2423" spans="1:4" ht="16.5">
      <c r="A2423" s="1267" t="s">
        <v>3458</v>
      </c>
      <c r="B2423" s="1268">
        <f>ROUNDUP(C2423/0.8/120,2)</f>
        <v>20.32</v>
      </c>
      <c r="C2423">
        <v>1950</v>
      </c>
    </row>
    <row r="2424" spans="1:4">
      <c r="A2424" s="1270" t="s">
        <v>3459</v>
      </c>
    </row>
    <row r="2425" spans="1:4">
      <c r="A2425" s="1270" t="s">
        <v>3460</v>
      </c>
    </row>
    <row r="2426" spans="1:4" ht="16.5">
      <c r="A2426" s="1271" t="s">
        <v>3461</v>
      </c>
    </row>
    <row r="2427" spans="1:4" ht="16.5">
      <c r="A2427" s="1272"/>
    </row>
    <row r="2428" spans="1:4">
      <c r="A2428" t="s">
        <v>3462</v>
      </c>
    </row>
    <row r="2429" spans="1:4" s="337" customFormat="1" ht="12.75">
      <c r="A2429" s="289" t="s">
        <v>3463</v>
      </c>
      <c r="B2429" s="289" t="s">
        <v>3464</v>
      </c>
      <c r="C2429" s="289" t="s">
        <v>18</v>
      </c>
      <c r="D2429" s="289" t="s">
        <v>3465</v>
      </c>
    </row>
    <row r="2430" spans="1:4" s="337" customFormat="1" ht="12.75">
      <c r="A2430" s="302" t="s">
        <v>2801</v>
      </c>
      <c r="B2430" s="302" t="s">
        <v>3466</v>
      </c>
      <c r="C2430" s="1273" t="s">
        <v>3467</v>
      </c>
      <c r="D2430" s="1274">
        <v>105</v>
      </c>
    </row>
    <row r="2431" spans="1:4" s="337" customFormat="1" ht="12.75">
      <c r="A2431" s="302" t="s">
        <v>2801</v>
      </c>
      <c r="B2431" s="302" t="s">
        <v>2803</v>
      </c>
      <c r="C2431" s="1273" t="s">
        <v>3467</v>
      </c>
      <c r="D2431" s="1274">
        <v>105</v>
      </c>
    </row>
    <row r="2432" spans="1:4" s="337" customFormat="1" ht="12.75">
      <c r="A2432" s="302"/>
      <c r="B2432" s="302" t="s">
        <v>3468</v>
      </c>
      <c r="C2432" s="1273" t="s">
        <v>28</v>
      </c>
      <c r="D2432" s="1274">
        <v>12</v>
      </c>
    </row>
    <row r="2435" spans="1:14">
      <c r="A2435" s="295" t="s">
        <v>40</v>
      </c>
      <c r="B2435" s="295" t="s">
        <v>90</v>
      </c>
      <c r="C2435" s="295" t="s">
        <v>203</v>
      </c>
      <c r="D2435" s="289" t="s">
        <v>18</v>
      </c>
      <c r="E2435" s="289" t="s">
        <v>212</v>
      </c>
    </row>
    <row r="2436" spans="1:14">
      <c r="A2436" s="1182" t="s">
        <v>2773</v>
      </c>
      <c r="B2436" s="42" t="s">
        <v>2491</v>
      </c>
      <c r="C2436" s="41" t="s">
        <v>2774</v>
      </c>
      <c r="D2436" s="298" t="s">
        <v>3469</v>
      </c>
      <c r="E2436" s="1184">
        <v>16.8</v>
      </c>
    </row>
    <row r="2437" spans="1:14">
      <c r="A2437" s="41"/>
      <c r="B2437" s="136"/>
      <c r="C2437" s="136" t="s">
        <v>218</v>
      </c>
      <c r="D2437" s="292">
        <v>1</v>
      </c>
      <c r="E2437" s="1181">
        <v>12</v>
      </c>
    </row>
    <row r="2439" spans="1:14">
      <c r="A2439" s="295" t="s">
        <v>3420</v>
      </c>
      <c r="B2439" s="295" t="s">
        <v>40</v>
      </c>
      <c r="C2439" s="295" t="s">
        <v>203</v>
      </c>
      <c r="D2439" s="289" t="s">
        <v>163</v>
      </c>
      <c r="E2439" s="289" t="s">
        <v>197</v>
      </c>
      <c r="F2439" s="289" t="s">
        <v>198</v>
      </c>
      <c r="G2439" s="289" t="s">
        <v>212</v>
      </c>
      <c r="H2439" s="289" t="s">
        <v>3470</v>
      </c>
    </row>
    <row r="2440" spans="1:14">
      <c r="A2440" s="314" t="s">
        <v>3471</v>
      </c>
      <c r="B2440" s="1190" t="s">
        <v>2765</v>
      </c>
      <c r="C2440" s="41" t="s">
        <v>25</v>
      </c>
      <c r="D2440" s="296">
        <v>13.7</v>
      </c>
      <c r="E2440" s="297">
        <v>30</v>
      </c>
      <c r="F2440" s="328">
        <f>D2440*E2440</f>
        <v>411</v>
      </c>
      <c r="G2440" s="1183">
        <v>2.4</v>
      </c>
      <c r="H2440" s="1275" t="s">
        <v>3472</v>
      </c>
    </row>
    <row r="2441" spans="1:14">
      <c r="A2441" s="314" t="s">
        <v>3471</v>
      </c>
      <c r="B2441" s="1182" t="s">
        <v>2280</v>
      </c>
      <c r="C2441" s="41" t="s">
        <v>25</v>
      </c>
      <c r="D2441" s="296">
        <v>13.7</v>
      </c>
      <c r="E2441" s="297">
        <v>22</v>
      </c>
      <c r="F2441" s="1186">
        <f>D2441*E2441</f>
        <v>301.39999999999998</v>
      </c>
      <c r="G2441" s="1183">
        <v>5.46</v>
      </c>
      <c r="H2441" s="1275" t="s">
        <v>3473</v>
      </c>
    </row>
    <row r="2444" spans="1:14" s="290" customFormat="1" ht="12.75">
      <c r="A2444" s="295" t="s">
        <v>40</v>
      </c>
      <c r="B2444" s="295" t="s">
        <v>90</v>
      </c>
      <c r="C2444" s="295" t="s">
        <v>203</v>
      </c>
      <c r="D2444" s="289" t="s">
        <v>163</v>
      </c>
      <c r="E2444" s="289" t="s">
        <v>197</v>
      </c>
      <c r="F2444" s="289" t="s">
        <v>198</v>
      </c>
      <c r="G2444" s="289" t="s">
        <v>3474</v>
      </c>
      <c r="H2444" s="44" t="s">
        <v>8</v>
      </c>
      <c r="I2444" s="33"/>
      <c r="J2444" s="33"/>
      <c r="K2444" s="33"/>
      <c r="L2444" s="350"/>
      <c r="M2444" s="364">
        <v>125</v>
      </c>
      <c r="N2444" s="364"/>
    </row>
    <row r="2445" spans="1:14" s="290" customFormat="1" ht="12.75">
      <c r="A2445" s="1182" t="s">
        <v>2813</v>
      </c>
      <c r="B2445" s="42" t="s">
        <v>2491</v>
      </c>
      <c r="C2445" s="41" t="s">
        <v>2774</v>
      </c>
      <c r="D2445" s="296">
        <v>44</v>
      </c>
      <c r="E2445" s="297">
        <v>26</v>
      </c>
      <c r="F2445" s="298">
        <f>D2445*E2445</f>
        <v>1144</v>
      </c>
      <c r="G2445" s="328" t="s">
        <v>3475</v>
      </c>
      <c r="H2445" s="1184">
        <v>16.5</v>
      </c>
      <c r="I2445" s="1276">
        <f>H2445*F2445</f>
        <v>18876</v>
      </c>
      <c r="J2445" s="363" t="s">
        <v>224</v>
      </c>
      <c r="K2445" s="33"/>
      <c r="L2445" s="350"/>
      <c r="M2445" s="364">
        <v>125</v>
      </c>
      <c r="N2445" s="364">
        <v>1650</v>
      </c>
    </row>
    <row r="2447" spans="1:14" s="290" customFormat="1" ht="12.75">
      <c r="A2447" s="295" t="s">
        <v>3420</v>
      </c>
      <c r="B2447" s="295" t="s">
        <v>40</v>
      </c>
      <c r="C2447" s="295" t="s">
        <v>90</v>
      </c>
      <c r="D2447" s="295" t="s">
        <v>203</v>
      </c>
      <c r="E2447" s="289" t="s">
        <v>163</v>
      </c>
      <c r="F2447" s="289" t="s">
        <v>197</v>
      </c>
      <c r="G2447" s="289" t="s">
        <v>278</v>
      </c>
      <c r="H2447" s="289" t="s">
        <v>3476</v>
      </c>
    </row>
    <row r="2448" spans="1:14" s="290" customFormat="1" ht="12.75">
      <c r="A2448" s="314" t="s">
        <v>2807</v>
      </c>
      <c r="B2448" s="1182" t="s">
        <v>2773</v>
      </c>
      <c r="C2448" s="42" t="s">
        <v>2491</v>
      </c>
      <c r="D2448" s="41" t="s">
        <v>2774</v>
      </c>
      <c r="E2448" s="296">
        <v>44</v>
      </c>
      <c r="F2448" s="297">
        <v>26</v>
      </c>
      <c r="G2448" s="43">
        <f>E2448*F2448</f>
        <v>1144</v>
      </c>
      <c r="H2448" s="1183">
        <v>16.5</v>
      </c>
    </row>
    <row r="2452" spans="1:7">
      <c r="A2452" s="295" t="s">
        <v>40</v>
      </c>
      <c r="B2452" s="295" t="s">
        <v>16</v>
      </c>
      <c r="C2452" s="295" t="s">
        <v>203</v>
      </c>
      <c r="D2452" s="289" t="s">
        <v>163</v>
      </c>
      <c r="E2452" s="289" t="s">
        <v>197</v>
      </c>
      <c r="F2452" s="289" t="s">
        <v>198</v>
      </c>
    </row>
    <row r="2453" spans="1:7">
      <c r="A2453" s="41">
        <v>4141</v>
      </c>
      <c r="B2453" s="1264">
        <v>9</v>
      </c>
      <c r="C2453" s="41" t="s">
        <v>2809</v>
      </c>
      <c r="D2453" s="296">
        <v>20</v>
      </c>
      <c r="E2453" s="297">
        <v>10</v>
      </c>
      <c r="F2453" s="298">
        <f>D2453*E2453</f>
        <v>200</v>
      </c>
    </row>
    <row r="2454" spans="1:7">
      <c r="A2454" s="41">
        <v>4141</v>
      </c>
      <c r="B2454" s="1264">
        <v>9</v>
      </c>
      <c r="C2454" s="41" t="s">
        <v>2811</v>
      </c>
      <c r="D2454" s="296">
        <v>20</v>
      </c>
      <c r="E2454" s="297">
        <v>10</v>
      </c>
      <c r="F2454" s="298">
        <f>D2454*E2454</f>
        <v>200</v>
      </c>
    </row>
    <row r="2455" spans="1:7">
      <c r="A2455" s="41">
        <v>4141</v>
      </c>
      <c r="B2455" s="1264">
        <v>9</v>
      </c>
      <c r="C2455" s="41" t="s">
        <v>277</v>
      </c>
      <c r="D2455" s="296">
        <v>20</v>
      </c>
      <c r="E2455" s="297">
        <v>30</v>
      </c>
      <c r="F2455" s="298">
        <f>D2455*E2455</f>
        <v>600</v>
      </c>
    </row>
    <row r="2456" spans="1:7">
      <c r="A2456" s="41">
        <v>4141</v>
      </c>
      <c r="B2456" s="1264">
        <v>9</v>
      </c>
      <c r="C2456" s="41" t="s">
        <v>1817</v>
      </c>
      <c r="D2456" s="296">
        <v>20</v>
      </c>
      <c r="E2456" s="297">
        <v>15</v>
      </c>
      <c r="F2456" s="298">
        <f>D2456*E2456</f>
        <v>300</v>
      </c>
    </row>
    <row r="2458" spans="1:7" ht="14.25" thickBot="1"/>
    <row r="2459" spans="1:7" s="290" customFormat="1" thickBot="1">
      <c r="A2459" s="1277" t="s">
        <v>40</v>
      </c>
      <c r="B2459" s="1277" t="s">
        <v>16</v>
      </c>
      <c r="C2459" s="1277" t="s">
        <v>203</v>
      </c>
      <c r="D2459" s="348" t="s">
        <v>163</v>
      </c>
      <c r="E2459" s="348" t="s">
        <v>197</v>
      </c>
      <c r="F2459" s="348" t="s">
        <v>198</v>
      </c>
      <c r="G2459" s="374" t="s">
        <v>8</v>
      </c>
    </row>
    <row r="2460" spans="1:7" s="290" customFormat="1" thickBot="1">
      <c r="A2460" s="351">
        <v>4141</v>
      </c>
      <c r="B2460" s="1278">
        <v>9</v>
      </c>
      <c r="C2460" s="351" t="s">
        <v>277</v>
      </c>
      <c r="D2460" s="1279">
        <v>20</v>
      </c>
      <c r="E2460" s="1280">
        <v>200</v>
      </c>
      <c r="F2460" s="1281">
        <f t="shared" ref="F2460:F2465" si="34">D2460*E2460</f>
        <v>4000</v>
      </c>
      <c r="G2460" s="1282">
        <v>1.33</v>
      </c>
    </row>
    <row r="2461" spans="1:7" s="290" customFormat="1" thickBot="1">
      <c r="A2461" s="351">
        <v>4141</v>
      </c>
      <c r="B2461" s="1278">
        <v>9</v>
      </c>
      <c r="C2461" s="351" t="s">
        <v>1814</v>
      </c>
      <c r="D2461" s="1279">
        <v>20</v>
      </c>
      <c r="E2461" s="1280">
        <v>30</v>
      </c>
      <c r="F2461" s="1281">
        <f t="shared" si="34"/>
        <v>600</v>
      </c>
      <c r="G2461" s="1282">
        <v>1.33</v>
      </c>
    </row>
    <row r="2462" spans="1:7" s="290" customFormat="1" thickBot="1">
      <c r="A2462" s="351">
        <v>4141</v>
      </c>
      <c r="B2462" s="1278">
        <v>9</v>
      </c>
      <c r="C2462" s="351" t="s">
        <v>1816</v>
      </c>
      <c r="D2462" s="1279">
        <v>20</v>
      </c>
      <c r="E2462" s="1280">
        <v>10</v>
      </c>
      <c r="F2462" s="1281">
        <f t="shared" si="34"/>
        <v>200</v>
      </c>
      <c r="G2462" s="1282">
        <v>1.33</v>
      </c>
    </row>
    <row r="2463" spans="1:7" s="290" customFormat="1" thickBot="1">
      <c r="A2463" s="351">
        <v>4141</v>
      </c>
      <c r="B2463" s="1278">
        <v>9</v>
      </c>
      <c r="C2463" s="351" t="s">
        <v>1817</v>
      </c>
      <c r="D2463" s="1279">
        <v>20</v>
      </c>
      <c r="E2463" s="1280">
        <v>5</v>
      </c>
      <c r="F2463" s="1281">
        <f t="shared" si="34"/>
        <v>100</v>
      </c>
      <c r="G2463" s="1282">
        <v>1.33</v>
      </c>
    </row>
    <row r="2464" spans="1:7" s="290" customFormat="1" thickBot="1">
      <c r="A2464" s="351">
        <v>4141</v>
      </c>
      <c r="B2464" s="1278">
        <v>9</v>
      </c>
      <c r="C2464" s="351" t="s">
        <v>1819</v>
      </c>
      <c r="D2464" s="1279">
        <v>20</v>
      </c>
      <c r="E2464" s="1280">
        <v>3</v>
      </c>
      <c r="F2464" s="1281">
        <f t="shared" si="34"/>
        <v>60</v>
      </c>
      <c r="G2464" s="1282">
        <v>1.33</v>
      </c>
    </row>
    <row r="2465" spans="1:13" s="290" customFormat="1" thickBot="1">
      <c r="A2465" s="351">
        <v>4141</v>
      </c>
      <c r="B2465" s="1278">
        <v>9</v>
      </c>
      <c r="C2465" s="351" t="s">
        <v>1821</v>
      </c>
      <c r="D2465" s="1279">
        <v>20</v>
      </c>
      <c r="E2465" s="1280">
        <v>3</v>
      </c>
      <c r="F2465" s="1281">
        <f t="shared" si="34"/>
        <v>60</v>
      </c>
      <c r="G2465" s="1282">
        <v>1.33</v>
      </c>
    </row>
    <row r="2466" spans="1:13" s="290" customFormat="1" ht="12"/>
    <row r="2468" spans="1:13">
      <c r="A2468" s="295" t="s">
        <v>3420</v>
      </c>
      <c r="B2468" s="295" t="s">
        <v>40</v>
      </c>
      <c r="C2468" s="295" t="s">
        <v>16</v>
      </c>
      <c r="D2468" s="295" t="s">
        <v>203</v>
      </c>
      <c r="E2468" s="289" t="s">
        <v>163</v>
      </c>
      <c r="F2468" s="289" t="s">
        <v>197</v>
      </c>
      <c r="G2468" s="289" t="s">
        <v>198</v>
      </c>
      <c r="H2468" s="289" t="s">
        <v>212</v>
      </c>
      <c r="I2468" s="289" t="s">
        <v>3477</v>
      </c>
      <c r="J2468" s="307" t="s">
        <v>8</v>
      </c>
      <c r="K2468" s="33"/>
      <c r="L2468" s="33"/>
      <c r="M2468" s="33"/>
    </row>
    <row r="2469" spans="1:13">
      <c r="A2469" s="314" t="s">
        <v>1811</v>
      </c>
      <c r="B2469" s="41">
        <v>4141</v>
      </c>
      <c r="C2469" s="1283">
        <v>9</v>
      </c>
      <c r="D2469" s="41" t="s">
        <v>277</v>
      </c>
      <c r="E2469" s="296">
        <v>20</v>
      </c>
      <c r="F2469" s="297">
        <v>200</v>
      </c>
      <c r="G2469" s="43">
        <f t="shared" ref="G2469:G2474" si="35">E2469*F2469</f>
        <v>4000</v>
      </c>
      <c r="H2469" s="1183">
        <v>1.33</v>
      </c>
      <c r="I2469" s="346" t="s">
        <v>3478</v>
      </c>
      <c r="J2469" s="1276">
        <f t="shared" ref="J2469:J2474" si="36">H2469*G2469</f>
        <v>5320</v>
      </c>
      <c r="K2469" s="363" t="s">
        <v>224</v>
      </c>
      <c r="L2469" s="599" t="s">
        <v>1813</v>
      </c>
    </row>
    <row r="2470" spans="1:13" ht="63.75">
      <c r="A2470" s="314" t="s">
        <v>1811</v>
      </c>
      <c r="B2470" s="41">
        <v>4141</v>
      </c>
      <c r="C2470" s="1283">
        <v>9</v>
      </c>
      <c r="D2470" s="41" t="s">
        <v>1814</v>
      </c>
      <c r="E2470" s="296">
        <v>20</v>
      </c>
      <c r="F2470" s="297">
        <v>30</v>
      </c>
      <c r="G2470" s="43">
        <f t="shared" si="35"/>
        <v>600</v>
      </c>
      <c r="H2470" s="1183">
        <v>1.33</v>
      </c>
      <c r="I2470" s="33" t="s">
        <v>3479</v>
      </c>
      <c r="J2470" s="1276">
        <f t="shared" si="36"/>
        <v>798</v>
      </c>
      <c r="K2470" s="363" t="s">
        <v>224</v>
      </c>
      <c r="L2470" s="599" t="s">
        <v>1815</v>
      </c>
    </row>
    <row r="2471" spans="1:13">
      <c r="A2471" s="314" t="s">
        <v>1811</v>
      </c>
      <c r="B2471" s="41">
        <v>4141</v>
      </c>
      <c r="C2471" s="1283">
        <v>9</v>
      </c>
      <c r="D2471" s="41" t="s">
        <v>1816</v>
      </c>
      <c r="E2471" s="296">
        <v>20</v>
      </c>
      <c r="F2471" s="297">
        <v>10</v>
      </c>
      <c r="G2471" s="43">
        <f t="shared" si="35"/>
        <v>200</v>
      </c>
      <c r="H2471" s="1183">
        <v>1.33</v>
      </c>
      <c r="I2471" s="346" t="s">
        <v>3478</v>
      </c>
      <c r="J2471" s="1276">
        <f t="shared" si="36"/>
        <v>266</v>
      </c>
      <c r="K2471" s="363" t="s">
        <v>224</v>
      </c>
      <c r="L2471" s="599" t="s">
        <v>1813</v>
      </c>
    </row>
    <row r="2472" spans="1:13">
      <c r="A2472" s="314" t="s">
        <v>1811</v>
      </c>
      <c r="B2472" s="41">
        <v>4141</v>
      </c>
      <c r="C2472" s="1283">
        <v>9</v>
      </c>
      <c r="D2472" s="41" t="s">
        <v>1817</v>
      </c>
      <c r="E2472" s="296">
        <v>20</v>
      </c>
      <c r="F2472" s="297">
        <v>5</v>
      </c>
      <c r="G2472" s="43">
        <f t="shared" si="35"/>
        <v>100</v>
      </c>
      <c r="H2472" s="1183">
        <v>1.33</v>
      </c>
      <c r="I2472" s="346" t="s">
        <v>1818</v>
      </c>
      <c r="J2472" s="1276">
        <f t="shared" si="36"/>
        <v>133</v>
      </c>
      <c r="K2472" s="363" t="s">
        <v>224</v>
      </c>
      <c r="L2472" s="599" t="s">
        <v>1818</v>
      </c>
    </row>
    <row r="2473" spans="1:13">
      <c r="A2473" s="314" t="s">
        <v>1811</v>
      </c>
      <c r="B2473" s="41">
        <v>4141</v>
      </c>
      <c r="C2473" s="1283">
        <v>9</v>
      </c>
      <c r="D2473" s="41" t="s">
        <v>1819</v>
      </c>
      <c r="E2473" s="296">
        <v>20</v>
      </c>
      <c r="F2473" s="297">
        <v>3</v>
      </c>
      <c r="G2473" s="43">
        <f t="shared" si="35"/>
        <v>60</v>
      </c>
      <c r="H2473" s="1183">
        <v>1.33</v>
      </c>
      <c r="I2473" s="33" t="s">
        <v>3480</v>
      </c>
      <c r="J2473" s="1276">
        <f t="shared" si="36"/>
        <v>79.800000000000011</v>
      </c>
      <c r="K2473" s="363" t="s">
        <v>224</v>
      </c>
      <c r="L2473" s="132" t="s">
        <v>1820</v>
      </c>
    </row>
    <row r="2474" spans="1:13">
      <c r="A2474" s="314" t="s">
        <v>1811</v>
      </c>
      <c r="B2474" s="41">
        <v>4141</v>
      </c>
      <c r="C2474" s="1283">
        <v>9</v>
      </c>
      <c r="D2474" s="41" t="s">
        <v>1821</v>
      </c>
      <c r="E2474" s="296">
        <v>20</v>
      </c>
      <c r="F2474" s="297">
        <v>3</v>
      </c>
      <c r="G2474" s="43">
        <f t="shared" si="35"/>
        <v>60</v>
      </c>
      <c r="H2474" s="1183">
        <v>1.33</v>
      </c>
      <c r="I2474" s="346" t="s">
        <v>3478</v>
      </c>
      <c r="J2474" s="1276">
        <f t="shared" si="36"/>
        <v>79.800000000000011</v>
      </c>
      <c r="K2474" s="363" t="s">
        <v>224</v>
      </c>
      <c r="L2474" s="599" t="s">
        <v>1813</v>
      </c>
    </row>
    <row r="2477" spans="1:13">
      <c r="A2477" s="295" t="s">
        <v>3420</v>
      </c>
      <c r="B2477" s="295" t="s">
        <v>40</v>
      </c>
      <c r="C2477" s="295" t="s">
        <v>16</v>
      </c>
      <c r="D2477" s="295" t="s">
        <v>203</v>
      </c>
      <c r="E2477" s="289" t="s">
        <v>163</v>
      </c>
      <c r="F2477" s="289" t="s">
        <v>197</v>
      </c>
      <c r="G2477" s="289" t="s">
        <v>198</v>
      </c>
      <c r="H2477" s="289" t="s">
        <v>212</v>
      </c>
      <c r="I2477" s="289" t="s">
        <v>3477</v>
      </c>
      <c r="J2477" s="33"/>
      <c r="K2477" s="33"/>
      <c r="L2477" s="33"/>
    </row>
    <row r="2478" spans="1:13">
      <c r="A2478" s="314" t="s">
        <v>2808</v>
      </c>
      <c r="B2478" s="41">
        <v>4141</v>
      </c>
      <c r="C2478" s="1283">
        <v>9</v>
      </c>
      <c r="D2478" s="41" t="s">
        <v>2809</v>
      </c>
      <c r="E2478" s="296">
        <v>20</v>
      </c>
      <c r="F2478" s="297">
        <v>10</v>
      </c>
      <c r="G2478" s="43">
        <f>E2478*F2478</f>
        <v>200</v>
      </c>
      <c r="H2478" s="1183">
        <v>1.33</v>
      </c>
      <c r="I2478" s="33" t="s">
        <v>3481</v>
      </c>
      <c r="J2478" s="1276">
        <f>H2478*G2478</f>
        <v>266</v>
      </c>
      <c r="K2478" s="363" t="s">
        <v>224</v>
      </c>
      <c r="L2478" s="132" t="s">
        <v>2810</v>
      </c>
    </row>
    <row r="2479" spans="1:13">
      <c r="A2479" s="314" t="s">
        <v>2808</v>
      </c>
      <c r="B2479" s="41">
        <v>4141</v>
      </c>
      <c r="C2479" s="1283">
        <v>9</v>
      </c>
      <c r="D2479" s="41" t="s">
        <v>2811</v>
      </c>
      <c r="E2479" s="296">
        <v>20</v>
      </c>
      <c r="F2479" s="297">
        <v>10</v>
      </c>
      <c r="G2479" s="43">
        <f>E2479*F2479</f>
        <v>200</v>
      </c>
      <c r="H2479" s="1183">
        <v>1.33</v>
      </c>
      <c r="I2479" s="33" t="s">
        <v>3481</v>
      </c>
      <c r="J2479" s="1276">
        <f>H2479*G2479</f>
        <v>266</v>
      </c>
      <c r="K2479" s="363" t="s">
        <v>224</v>
      </c>
      <c r="L2479" s="132" t="s">
        <v>2810</v>
      </c>
    </row>
    <row r="2480" spans="1:13">
      <c r="A2480" s="314" t="s">
        <v>2812</v>
      </c>
      <c r="B2480" s="41">
        <v>4141</v>
      </c>
      <c r="C2480" s="1283">
        <v>9</v>
      </c>
      <c r="D2480" s="41" t="s">
        <v>277</v>
      </c>
      <c r="E2480" s="296">
        <v>20</v>
      </c>
      <c r="F2480" s="297">
        <v>30</v>
      </c>
      <c r="G2480" s="43">
        <f>E2480*F2480</f>
        <v>600</v>
      </c>
      <c r="H2480" s="1183">
        <v>1.33</v>
      </c>
      <c r="I2480" s="346" t="s">
        <v>3478</v>
      </c>
      <c r="J2480" s="1276">
        <f>H2480*G2480</f>
        <v>798</v>
      </c>
      <c r="K2480" s="363" t="s">
        <v>224</v>
      </c>
      <c r="L2480" s="599" t="s">
        <v>1813</v>
      </c>
    </row>
    <row r="2481" spans="1:13">
      <c r="A2481" s="314" t="s">
        <v>2812</v>
      </c>
      <c r="B2481" s="41">
        <v>4141</v>
      </c>
      <c r="C2481" s="1283">
        <v>9</v>
      </c>
      <c r="D2481" s="41" t="s">
        <v>1817</v>
      </c>
      <c r="E2481" s="296">
        <v>20</v>
      </c>
      <c r="F2481" s="297">
        <v>15</v>
      </c>
      <c r="G2481" s="43">
        <f>E2481*F2481</f>
        <v>300</v>
      </c>
      <c r="H2481" s="1183">
        <v>1.33</v>
      </c>
      <c r="I2481" s="346" t="s">
        <v>1818</v>
      </c>
      <c r="J2481" s="1276">
        <f>H2481*G2481</f>
        <v>399</v>
      </c>
      <c r="K2481" s="363" t="s">
        <v>224</v>
      </c>
      <c r="L2481" s="599" t="s">
        <v>1818</v>
      </c>
    </row>
    <row r="2483" spans="1:13" ht="14.25" thickBot="1"/>
    <row r="2484" spans="1:13" ht="14.25" thickBot="1">
      <c r="D2484" s="1284" t="s">
        <v>22</v>
      </c>
      <c r="E2484" s="1284" t="s">
        <v>98</v>
      </c>
      <c r="F2484" s="1284" t="s">
        <v>3482</v>
      </c>
    </row>
    <row r="2485" spans="1:13" ht="14.25" thickBot="1">
      <c r="D2485" s="1285" t="s">
        <v>3483</v>
      </c>
      <c r="E2485" s="1286">
        <v>264</v>
      </c>
      <c r="F2485" s="1287"/>
    </row>
    <row r="2486" spans="1:13" ht="14.25" thickBot="1">
      <c r="D2486" s="1288" t="s">
        <v>3484</v>
      </c>
      <c r="E2486" s="1289">
        <v>264</v>
      </c>
      <c r="F2486" s="349"/>
    </row>
    <row r="2487" spans="1:13" ht="14.25" thickBot="1">
      <c r="D2487" s="1288" t="s">
        <v>3485</v>
      </c>
      <c r="E2487" s="1289">
        <v>215</v>
      </c>
      <c r="F2487" s="349"/>
    </row>
    <row r="2488" spans="1:13" ht="14.25" thickBot="1">
      <c r="D2488" s="1288" t="s">
        <v>3486</v>
      </c>
      <c r="E2488" s="1289">
        <v>240</v>
      </c>
      <c r="F2488" s="1290" t="s">
        <v>3487</v>
      </c>
    </row>
    <row r="2489" spans="1:13" ht="14.25" thickBot="1">
      <c r="D2489" s="1288" t="s">
        <v>3488</v>
      </c>
      <c r="E2489" s="1289">
        <v>230</v>
      </c>
      <c r="F2489" s="1290" t="s">
        <v>3487</v>
      </c>
    </row>
    <row r="2490" spans="1:13" ht="14.25" thickBot="1">
      <c r="D2490" s="1288" t="s">
        <v>3489</v>
      </c>
      <c r="E2490" s="1289">
        <v>119</v>
      </c>
      <c r="F2490" s="1290" t="s">
        <v>3487</v>
      </c>
    </row>
    <row r="2493" spans="1:13">
      <c r="A2493" s="1400" t="s">
        <v>2772</v>
      </c>
      <c r="B2493" s="42"/>
      <c r="C2493" s="41"/>
      <c r="D2493" s="292"/>
      <c r="E2493" s="303"/>
      <c r="F2493" s="43"/>
      <c r="G2493" s="45" t="s">
        <v>8</v>
      </c>
      <c r="H2493" s="33"/>
      <c r="I2493" s="33"/>
      <c r="J2493" s="33"/>
      <c r="K2493" s="350"/>
      <c r="L2493" s="364"/>
      <c r="M2493" s="364"/>
    </row>
    <row r="2494" spans="1:13">
      <c r="A2494" s="1401" t="s">
        <v>2773</v>
      </c>
      <c r="B2494" s="42" t="s">
        <v>2491</v>
      </c>
      <c r="C2494" s="41" t="s">
        <v>2774</v>
      </c>
      <c r="D2494" s="296">
        <v>44</v>
      </c>
      <c r="E2494" s="297">
        <v>26</v>
      </c>
      <c r="F2494" s="43">
        <f>D2494*E2494</f>
        <v>1144</v>
      </c>
      <c r="G2494" s="1183">
        <v>16.5</v>
      </c>
      <c r="H2494" s="1276">
        <f>G2494*F2494</f>
        <v>18876</v>
      </c>
      <c r="I2494" s="363" t="s">
        <v>224</v>
      </c>
      <c r="J2494" s="33"/>
      <c r="K2494" s="350"/>
      <c r="L2494" s="364">
        <v>1650</v>
      </c>
      <c r="M2494" s="364">
        <f>L2494*F2494</f>
        <v>1887600</v>
      </c>
    </row>
    <row r="2496" spans="1:13" ht="25.5">
      <c r="A2496" s="1406" t="s">
        <v>3543</v>
      </c>
      <c r="B2496" s="1406" t="s">
        <v>3537</v>
      </c>
      <c r="C2496" s="1407" t="s">
        <v>3544</v>
      </c>
      <c r="D2496" s="1408" t="s">
        <v>3546</v>
      </c>
      <c r="E2496" s="1409" t="s">
        <v>3545</v>
      </c>
      <c r="F2496" s="1407" t="s">
        <v>3538</v>
      </c>
      <c r="G2496" s="1407" t="s">
        <v>3539</v>
      </c>
      <c r="H2496" s="1407" t="s">
        <v>3536</v>
      </c>
      <c r="I2496" s="1407" t="s">
        <v>3548</v>
      </c>
    </row>
    <row r="2497" spans="1:9">
      <c r="A2497" s="1404" t="s">
        <v>3547</v>
      </c>
      <c r="B2497" s="302">
        <v>1144</v>
      </c>
      <c r="C2497" s="1276">
        <f>G2494*B2497</f>
        <v>18876</v>
      </c>
      <c r="D2497" s="1402">
        <f>C2497*125</f>
        <v>2359500</v>
      </c>
      <c r="E2497" s="1402">
        <f>L2494*B2497</f>
        <v>1887600</v>
      </c>
      <c r="F2497" s="1402">
        <f>(D2497-E2497)</f>
        <v>471900</v>
      </c>
      <c r="G2497" s="1405">
        <f>C2497*0.05</f>
        <v>943.80000000000007</v>
      </c>
      <c r="H2497" s="1403">
        <f>(F2497-(G2497*125))</f>
        <v>353925</v>
      </c>
      <c r="I2497" s="1410">
        <f>H2497/D2497</f>
        <v>0.15</v>
      </c>
    </row>
    <row r="2498" spans="1:9">
      <c r="A2498" s="1404" t="s">
        <v>3540</v>
      </c>
      <c r="B2498" s="302">
        <v>1056</v>
      </c>
      <c r="C2498" s="1276">
        <f>G2494*B2498</f>
        <v>17424</v>
      </c>
      <c r="D2498" s="1402">
        <f>C2498*125</f>
        <v>2178000</v>
      </c>
      <c r="E2498" s="1402">
        <f>L2494*B2497</f>
        <v>1887600</v>
      </c>
      <c r="F2498" s="1402">
        <f>(D2498-E2498)</f>
        <v>290400</v>
      </c>
      <c r="G2498" s="1405">
        <f>C2498*0.05</f>
        <v>871.2</v>
      </c>
      <c r="H2498" s="1403">
        <f>(F2498-(G2498*125))</f>
        <v>181500</v>
      </c>
      <c r="I2498" s="1410">
        <f>H2498/D2498</f>
        <v>8.3333333333333329E-2</v>
      </c>
    </row>
    <row r="2499" spans="1:9">
      <c r="A2499" s="1404" t="s">
        <v>3542</v>
      </c>
      <c r="B2499" s="302">
        <v>1012</v>
      </c>
      <c r="C2499" s="1276">
        <f>G2494*B2499</f>
        <v>16698</v>
      </c>
      <c r="D2499" s="1402">
        <f>C2499*125</f>
        <v>2087250</v>
      </c>
      <c r="E2499" s="1402">
        <f>L2494*B2497</f>
        <v>1887600</v>
      </c>
      <c r="F2499" s="1402">
        <f>(D2499-E2499)</f>
        <v>199650</v>
      </c>
      <c r="G2499" s="1405">
        <f>C2499*0.05</f>
        <v>834.90000000000009</v>
      </c>
      <c r="H2499" s="1403">
        <f>(F2499-(G2499*125))</f>
        <v>95287.499999999985</v>
      </c>
      <c r="I2499" s="1410">
        <f>H2499/D2499</f>
        <v>4.5652173913043471E-2</v>
      </c>
    </row>
    <row r="2500" spans="1:9">
      <c r="A2500" s="1404" t="s">
        <v>3541</v>
      </c>
      <c r="B2500" s="302">
        <v>968</v>
      </c>
      <c r="C2500" s="1276">
        <f>G2494*B2500</f>
        <v>15972</v>
      </c>
      <c r="D2500" s="1402">
        <f>C2500*125</f>
        <v>1996500</v>
      </c>
      <c r="E2500" s="1402">
        <f>L2494*B2497</f>
        <v>1887600</v>
      </c>
      <c r="F2500" s="1402">
        <f>(D2500-E2500)</f>
        <v>108900</v>
      </c>
      <c r="G2500" s="1405">
        <f>C2500*0.05</f>
        <v>798.6</v>
      </c>
      <c r="H2500" s="1403">
        <f>(F2500-(G2500*125))</f>
        <v>9075</v>
      </c>
      <c r="I2500" s="1410">
        <f>H2500/D2500</f>
        <v>4.5454545454545452E-3</v>
      </c>
    </row>
    <row r="2503" spans="1:9">
      <c r="A2503" s="295" t="s">
        <v>40</v>
      </c>
      <c r="B2503" s="295" t="s">
        <v>203</v>
      </c>
      <c r="C2503" s="289" t="s">
        <v>198</v>
      </c>
      <c r="D2503" s="289" t="s">
        <v>212</v>
      </c>
      <c r="E2503" s="298"/>
      <c r="F2503" s="44" t="s">
        <v>8</v>
      </c>
    </row>
    <row r="2504" spans="1:9">
      <c r="A2504" s="1190" t="s">
        <v>3551</v>
      </c>
      <c r="B2504" s="41" t="s">
        <v>25</v>
      </c>
      <c r="C2504" s="298">
        <v>200</v>
      </c>
      <c r="D2504" s="1184">
        <v>0.82</v>
      </c>
    </row>
    <row r="2505" spans="1:9">
      <c r="A2505" s="41"/>
      <c r="B2505" s="136" t="s">
        <v>218</v>
      </c>
      <c r="C2505" s="292">
        <v>1</v>
      </c>
      <c r="D2505" s="1181">
        <v>12</v>
      </c>
    </row>
    <row r="2508" spans="1:9">
      <c r="A2508" t="s">
        <v>3575</v>
      </c>
    </row>
    <row r="2509" spans="1:9">
      <c r="A2509" s="295" t="s">
        <v>40</v>
      </c>
      <c r="B2509" s="295" t="s">
        <v>16</v>
      </c>
      <c r="C2509" s="295" t="s">
        <v>203</v>
      </c>
      <c r="D2509" s="289" t="s">
        <v>163</v>
      </c>
      <c r="E2509" s="289" t="s">
        <v>197</v>
      </c>
      <c r="F2509" s="289" t="s">
        <v>198</v>
      </c>
      <c r="G2509" s="289" t="s">
        <v>212</v>
      </c>
      <c r="H2509" s="289" t="s">
        <v>301</v>
      </c>
      <c r="I2509" s="289" t="s">
        <v>3577</v>
      </c>
    </row>
    <row r="2510" spans="1:9">
      <c r="A2510" s="41">
        <v>11700</v>
      </c>
      <c r="B2510" s="42">
        <v>24</v>
      </c>
      <c r="C2510" s="41" t="s">
        <v>2511</v>
      </c>
      <c r="D2510" s="296">
        <v>10</v>
      </c>
      <c r="E2510" s="297">
        <v>3</v>
      </c>
      <c r="F2510" s="298">
        <f t="shared" ref="F2510:F2520" si="37">D2510*E2510</f>
        <v>30</v>
      </c>
      <c r="G2510" s="1184">
        <v>2.11</v>
      </c>
      <c r="H2510" s="1276">
        <f t="shared" ref="H2510:H2520" si="38">G2510*F2510</f>
        <v>63.3</v>
      </c>
      <c r="I2510" s="33" t="s">
        <v>3576</v>
      </c>
    </row>
    <row r="2511" spans="1:9">
      <c r="A2511" s="41">
        <v>11700</v>
      </c>
      <c r="B2511" s="42">
        <v>36</v>
      </c>
      <c r="C2511" s="41" t="s">
        <v>2511</v>
      </c>
      <c r="D2511" s="296">
        <v>10</v>
      </c>
      <c r="E2511" s="297">
        <v>2</v>
      </c>
      <c r="F2511" s="298">
        <f t="shared" si="37"/>
        <v>20</v>
      </c>
      <c r="G2511" s="1184">
        <v>3.51</v>
      </c>
      <c r="H2511" s="1276">
        <f t="shared" si="38"/>
        <v>70.199999999999989</v>
      </c>
      <c r="I2511" s="33" t="s">
        <v>3576</v>
      </c>
    </row>
    <row r="2512" spans="1:9">
      <c r="A2512" s="41">
        <v>11700</v>
      </c>
      <c r="B2512" s="42">
        <v>48</v>
      </c>
      <c r="C2512" s="41" t="s">
        <v>2511</v>
      </c>
      <c r="D2512" s="296">
        <v>10</v>
      </c>
      <c r="E2512" s="297">
        <v>1</v>
      </c>
      <c r="F2512" s="298">
        <f t="shared" si="37"/>
        <v>10</v>
      </c>
      <c r="G2512" s="1184">
        <v>5.16</v>
      </c>
      <c r="H2512" s="1276">
        <f t="shared" si="38"/>
        <v>51.6</v>
      </c>
      <c r="I2512" s="33" t="s">
        <v>3576</v>
      </c>
    </row>
    <row r="2513" spans="1:9">
      <c r="A2513" s="41">
        <v>11700</v>
      </c>
      <c r="B2513" s="42">
        <v>24</v>
      </c>
      <c r="C2513" s="41" t="s">
        <v>3560</v>
      </c>
      <c r="D2513" s="296">
        <v>10</v>
      </c>
      <c r="E2513" s="297">
        <v>2</v>
      </c>
      <c r="F2513" s="298">
        <f t="shared" si="37"/>
        <v>20</v>
      </c>
      <c r="G2513" s="1184">
        <v>2.11</v>
      </c>
      <c r="H2513" s="1276">
        <f t="shared" si="38"/>
        <v>42.199999999999996</v>
      </c>
      <c r="I2513" s="33" t="s">
        <v>3576</v>
      </c>
    </row>
    <row r="2514" spans="1:9">
      <c r="A2514" s="41">
        <v>11700</v>
      </c>
      <c r="B2514" s="42">
        <v>36</v>
      </c>
      <c r="C2514" s="41" t="s">
        <v>3560</v>
      </c>
      <c r="D2514" s="296">
        <v>10</v>
      </c>
      <c r="E2514" s="297">
        <v>1</v>
      </c>
      <c r="F2514" s="298">
        <f t="shared" si="37"/>
        <v>10</v>
      </c>
      <c r="G2514" s="1184">
        <v>3.51</v>
      </c>
      <c r="H2514" s="1276">
        <f t="shared" si="38"/>
        <v>35.099999999999994</v>
      </c>
      <c r="I2514" s="33" t="s">
        <v>3576</v>
      </c>
    </row>
    <row r="2515" spans="1:9">
      <c r="A2515" s="41">
        <v>11700</v>
      </c>
      <c r="B2515" s="42">
        <v>24</v>
      </c>
      <c r="C2515" s="41" t="s">
        <v>3561</v>
      </c>
      <c r="D2515" s="296">
        <v>10</v>
      </c>
      <c r="E2515" s="297">
        <v>2</v>
      </c>
      <c r="F2515" s="298">
        <f t="shared" si="37"/>
        <v>20</v>
      </c>
      <c r="G2515" s="1184">
        <v>2.11</v>
      </c>
      <c r="H2515" s="1276">
        <f t="shared" si="38"/>
        <v>42.199999999999996</v>
      </c>
      <c r="I2515" s="33" t="s">
        <v>3576</v>
      </c>
    </row>
    <row r="2516" spans="1:9">
      <c r="A2516" s="41">
        <v>11700</v>
      </c>
      <c r="B2516" s="42">
        <v>36</v>
      </c>
      <c r="C2516" s="41" t="s">
        <v>3561</v>
      </c>
      <c r="D2516" s="296">
        <v>10</v>
      </c>
      <c r="E2516" s="297">
        <v>1</v>
      </c>
      <c r="F2516" s="298">
        <f t="shared" si="37"/>
        <v>10</v>
      </c>
      <c r="G2516" s="1184">
        <v>3.51</v>
      </c>
      <c r="H2516" s="1276">
        <f t="shared" si="38"/>
        <v>35.099999999999994</v>
      </c>
      <c r="I2516" s="33" t="s">
        <v>3576</v>
      </c>
    </row>
    <row r="2517" spans="1:9">
      <c r="A2517" s="41">
        <v>11700</v>
      </c>
      <c r="B2517" s="42">
        <v>24</v>
      </c>
      <c r="C2517" s="41" t="s">
        <v>3562</v>
      </c>
      <c r="D2517" s="296">
        <v>10</v>
      </c>
      <c r="E2517" s="297">
        <v>2</v>
      </c>
      <c r="F2517" s="298">
        <f t="shared" si="37"/>
        <v>20</v>
      </c>
      <c r="G2517" s="1184">
        <v>2.11</v>
      </c>
      <c r="H2517" s="1276">
        <f t="shared" si="38"/>
        <v>42.199999999999996</v>
      </c>
      <c r="I2517" s="33" t="s">
        <v>3576</v>
      </c>
    </row>
    <row r="2518" spans="1:9">
      <c r="A2518" s="41">
        <v>11700</v>
      </c>
      <c r="B2518" s="42">
        <v>36</v>
      </c>
      <c r="C2518" s="41" t="s">
        <v>3562</v>
      </c>
      <c r="D2518" s="296">
        <v>10</v>
      </c>
      <c r="E2518" s="297">
        <v>1</v>
      </c>
      <c r="F2518" s="298">
        <f t="shared" si="37"/>
        <v>10</v>
      </c>
      <c r="G2518" s="1184">
        <v>3.51</v>
      </c>
      <c r="H2518" s="1276">
        <f t="shared" si="38"/>
        <v>35.099999999999994</v>
      </c>
      <c r="I2518" s="33" t="s">
        <v>3576</v>
      </c>
    </row>
    <row r="2519" spans="1:9">
      <c r="A2519" s="41">
        <v>11700</v>
      </c>
      <c r="B2519" s="42">
        <v>24</v>
      </c>
      <c r="C2519" s="41" t="s">
        <v>3563</v>
      </c>
      <c r="D2519" s="296">
        <v>10</v>
      </c>
      <c r="E2519" s="297">
        <v>2</v>
      </c>
      <c r="F2519" s="298">
        <f t="shared" si="37"/>
        <v>20</v>
      </c>
      <c r="G2519" s="1184">
        <v>2.11</v>
      </c>
      <c r="H2519" s="1276">
        <f t="shared" si="38"/>
        <v>42.199999999999996</v>
      </c>
      <c r="I2519" s="33" t="s">
        <v>3576</v>
      </c>
    </row>
    <row r="2520" spans="1:9">
      <c r="A2520" s="41">
        <v>11700</v>
      </c>
      <c r="B2520" s="42">
        <v>36</v>
      </c>
      <c r="C2520" s="41" t="s">
        <v>3563</v>
      </c>
      <c r="D2520" s="296">
        <v>10</v>
      </c>
      <c r="E2520" s="297">
        <v>1</v>
      </c>
      <c r="F2520" s="298">
        <f t="shared" si="37"/>
        <v>10</v>
      </c>
      <c r="G2520" s="1184">
        <v>3.51</v>
      </c>
      <c r="H2520" s="1276">
        <f t="shared" si="38"/>
        <v>35.099999999999994</v>
      </c>
      <c r="I2520" s="346" t="s">
        <v>3578</v>
      </c>
    </row>
    <row r="2521" spans="1:9">
      <c r="A2521" s="1400"/>
      <c r="B2521" s="42"/>
      <c r="C2521" s="41"/>
      <c r="D2521" s="298"/>
      <c r="E2521" s="299"/>
      <c r="F2521" s="298"/>
      <c r="G2521" s="44"/>
      <c r="H2521" s="688"/>
      <c r="I2521" s="131"/>
    </row>
    <row r="2522" spans="1:9">
      <c r="A2522" s="41">
        <v>11706</v>
      </c>
      <c r="B2522" s="42">
        <v>25</v>
      </c>
      <c r="C2522" s="41" t="s">
        <v>3565</v>
      </c>
      <c r="D2522" s="296">
        <v>10</v>
      </c>
      <c r="E2522" s="297">
        <v>2</v>
      </c>
      <c r="F2522" s="298">
        <f t="shared" ref="F2522:F2530" si="39">D2522*E2522</f>
        <v>20</v>
      </c>
      <c r="G2522" s="1184">
        <v>2.67</v>
      </c>
      <c r="H2522" s="1276">
        <f t="shared" ref="H2522:H2531" si="40">G2522*F2522</f>
        <v>53.4</v>
      </c>
      <c r="I2522" s="33" t="s">
        <v>3576</v>
      </c>
    </row>
    <row r="2523" spans="1:9">
      <c r="A2523" s="41">
        <v>11706</v>
      </c>
      <c r="B2523" s="42">
        <v>25</v>
      </c>
      <c r="C2523" s="41" t="s">
        <v>3566</v>
      </c>
      <c r="D2523" s="296">
        <v>10</v>
      </c>
      <c r="E2523" s="297">
        <v>2</v>
      </c>
      <c r="F2523" s="298">
        <f t="shared" si="39"/>
        <v>20</v>
      </c>
      <c r="G2523" s="1184">
        <v>2.67</v>
      </c>
      <c r="H2523" s="1276">
        <f t="shared" si="40"/>
        <v>53.4</v>
      </c>
      <c r="I2523" s="33" t="s">
        <v>3576</v>
      </c>
    </row>
    <row r="2524" spans="1:9">
      <c r="A2524" s="41">
        <v>11706</v>
      </c>
      <c r="B2524" s="42">
        <v>25</v>
      </c>
      <c r="C2524" s="41" t="s">
        <v>3567</v>
      </c>
      <c r="D2524" s="296">
        <v>10</v>
      </c>
      <c r="E2524" s="297">
        <v>2</v>
      </c>
      <c r="F2524" s="298">
        <f t="shared" si="39"/>
        <v>20</v>
      </c>
      <c r="G2524" s="1184">
        <v>2.67</v>
      </c>
      <c r="H2524" s="1276">
        <f t="shared" si="40"/>
        <v>53.4</v>
      </c>
      <c r="I2524" s="33" t="s">
        <v>3576</v>
      </c>
    </row>
    <row r="2525" spans="1:9">
      <c r="A2525" s="41">
        <v>11706</v>
      </c>
      <c r="B2525" s="42">
        <v>25</v>
      </c>
      <c r="C2525" s="41" t="s">
        <v>3568</v>
      </c>
      <c r="D2525" s="296">
        <v>10</v>
      </c>
      <c r="E2525" s="297">
        <v>2</v>
      </c>
      <c r="F2525" s="298">
        <f t="shared" si="39"/>
        <v>20</v>
      </c>
      <c r="G2525" s="1184">
        <v>2.67</v>
      </c>
      <c r="H2525" s="1276">
        <f t="shared" si="40"/>
        <v>53.4</v>
      </c>
      <c r="I2525" s="346" t="s">
        <v>3579</v>
      </c>
    </row>
    <row r="2526" spans="1:9">
      <c r="A2526" s="41">
        <v>11706</v>
      </c>
      <c r="B2526" s="42">
        <v>25</v>
      </c>
      <c r="C2526" s="41" t="s">
        <v>3569</v>
      </c>
      <c r="D2526" s="296">
        <v>10</v>
      </c>
      <c r="E2526" s="297">
        <v>2</v>
      </c>
      <c r="F2526" s="298">
        <f t="shared" si="39"/>
        <v>20</v>
      </c>
      <c r="G2526" s="1184">
        <v>2.67</v>
      </c>
      <c r="H2526" s="1276">
        <f t="shared" si="40"/>
        <v>53.4</v>
      </c>
      <c r="I2526" s="33" t="s">
        <v>3576</v>
      </c>
    </row>
    <row r="2527" spans="1:9">
      <c r="A2527" s="41">
        <v>11706</v>
      </c>
      <c r="B2527" s="42">
        <v>25</v>
      </c>
      <c r="C2527" s="41" t="s">
        <v>3570</v>
      </c>
      <c r="D2527" s="296">
        <v>10</v>
      </c>
      <c r="E2527" s="297">
        <v>2</v>
      </c>
      <c r="F2527" s="298">
        <f t="shared" si="39"/>
        <v>20</v>
      </c>
      <c r="G2527" s="1184">
        <v>2.67</v>
      </c>
      <c r="H2527" s="1276">
        <f t="shared" si="40"/>
        <v>53.4</v>
      </c>
      <c r="I2527" s="33" t="s">
        <v>3576</v>
      </c>
    </row>
    <row r="2528" spans="1:9">
      <c r="A2528" s="41">
        <v>11706</v>
      </c>
      <c r="B2528" s="42">
        <v>25</v>
      </c>
      <c r="C2528" s="41" t="s">
        <v>3571</v>
      </c>
      <c r="D2528" s="296">
        <v>10</v>
      </c>
      <c r="E2528" s="297">
        <v>2</v>
      </c>
      <c r="F2528" s="298">
        <f t="shared" si="39"/>
        <v>20</v>
      </c>
      <c r="G2528" s="1184">
        <v>2.67</v>
      </c>
      <c r="H2528" s="1276">
        <f t="shared" si="40"/>
        <v>53.4</v>
      </c>
      <c r="I2528" s="33" t="s">
        <v>3576</v>
      </c>
    </row>
    <row r="2529" spans="1:9">
      <c r="A2529" s="41">
        <v>11706</v>
      </c>
      <c r="B2529" s="42">
        <v>25</v>
      </c>
      <c r="C2529" s="41" t="s">
        <v>3572</v>
      </c>
      <c r="D2529" s="296">
        <v>10</v>
      </c>
      <c r="E2529" s="297">
        <v>1</v>
      </c>
      <c r="F2529" s="298">
        <f t="shared" si="39"/>
        <v>10</v>
      </c>
      <c r="G2529" s="1184">
        <v>2.67</v>
      </c>
      <c r="H2529" s="1276">
        <f t="shared" si="40"/>
        <v>26.7</v>
      </c>
      <c r="I2529" s="33" t="s">
        <v>3576</v>
      </c>
    </row>
    <row r="2530" spans="1:9">
      <c r="A2530" s="41">
        <v>11706</v>
      </c>
      <c r="B2530" s="42">
        <v>25</v>
      </c>
      <c r="C2530" s="41" t="s">
        <v>3573</v>
      </c>
      <c r="D2530" s="296">
        <v>10</v>
      </c>
      <c r="E2530" s="297">
        <v>1</v>
      </c>
      <c r="F2530" s="298">
        <f t="shared" si="39"/>
        <v>10</v>
      </c>
      <c r="G2530" s="1184">
        <v>2.67</v>
      </c>
      <c r="H2530" s="1276">
        <f t="shared" si="40"/>
        <v>26.7</v>
      </c>
      <c r="I2530" s="33" t="s">
        <v>3576</v>
      </c>
    </row>
    <row r="2531" spans="1:9">
      <c r="A2531" s="41"/>
      <c r="B2531" s="136"/>
      <c r="C2531" s="136" t="s">
        <v>218</v>
      </c>
      <c r="D2531" s="292"/>
      <c r="E2531" s="297"/>
      <c r="F2531" s="292">
        <v>1</v>
      </c>
      <c r="G2531" s="1181">
        <v>12</v>
      </c>
      <c r="H2531" s="1276">
        <f t="shared" si="40"/>
        <v>12</v>
      </c>
      <c r="I2531" s="131"/>
    </row>
    <row r="2533" spans="1:9">
      <c r="A2533" s="295" t="s">
        <v>40</v>
      </c>
      <c r="B2533" s="295" t="s">
        <v>203</v>
      </c>
      <c r="C2533" s="289" t="s">
        <v>198</v>
      </c>
      <c r="D2533" s="289" t="s">
        <v>212</v>
      </c>
    </row>
    <row r="2534" spans="1:9">
      <c r="A2534" s="1190" t="s">
        <v>2426</v>
      </c>
      <c r="B2534" s="41" t="s">
        <v>25</v>
      </c>
      <c r="C2534" s="298">
        <v>200</v>
      </c>
      <c r="D2534" s="1184">
        <v>1.17</v>
      </c>
    </row>
    <row r="2535" spans="1:9">
      <c r="A2535" s="41"/>
      <c r="B2535" s="136" t="s">
        <v>218</v>
      </c>
      <c r="C2535" s="292">
        <v>1</v>
      </c>
      <c r="D2535" s="1181">
        <v>12</v>
      </c>
    </row>
    <row r="2537" spans="1:9">
      <c r="A2537" s="295" t="s">
        <v>39</v>
      </c>
      <c r="B2537" s="295" t="s">
        <v>40</v>
      </c>
      <c r="C2537" s="295" t="s">
        <v>203</v>
      </c>
      <c r="D2537" s="289" t="s">
        <v>163</v>
      </c>
      <c r="E2537" s="289" t="s">
        <v>197</v>
      </c>
      <c r="F2537" s="289" t="s">
        <v>198</v>
      </c>
      <c r="G2537" s="289" t="s">
        <v>212</v>
      </c>
      <c r="H2537" s="289" t="s">
        <v>159</v>
      </c>
    </row>
    <row r="2538" spans="1:9">
      <c r="A2538" s="4" t="s">
        <v>3584</v>
      </c>
      <c r="B2538" s="1182" t="s">
        <v>2722</v>
      </c>
      <c r="C2538" s="41" t="s">
        <v>25</v>
      </c>
      <c r="D2538" s="296">
        <v>13.7</v>
      </c>
      <c r="E2538" s="297">
        <v>2</v>
      </c>
      <c r="F2538" s="1186">
        <f>D2538*E2538</f>
        <v>27.4</v>
      </c>
      <c r="G2538" s="1184">
        <v>3.87</v>
      </c>
      <c r="H2538" s="1184" t="s">
        <v>3585</v>
      </c>
    </row>
    <row r="2539" spans="1:9">
      <c r="A2539" s="4" t="s">
        <v>3584</v>
      </c>
      <c r="B2539" s="41"/>
      <c r="C2539" s="136" t="s">
        <v>218</v>
      </c>
      <c r="D2539" s="292"/>
      <c r="E2539" s="297"/>
      <c r="F2539" s="292">
        <v>1</v>
      </c>
      <c r="G2539" s="1181">
        <v>12</v>
      </c>
      <c r="H2539" s="1184"/>
    </row>
    <row r="2541" spans="1:9">
      <c r="A2541" s="295" t="s">
        <v>40</v>
      </c>
      <c r="B2541" s="295" t="s">
        <v>203</v>
      </c>
      <c r="C2541" s="289" t="s">
        <v>163</v>
      </c>
      <c r="D2541" s="289" t="s">
        <v>197</v>
      </c>
      <c r="E2541" s="289" t="s">
        <v>198</v>
      </c>
      <c r="F2541" s="1406" t="s">
        <v>3586</v>
      </c>
    </row>
    <row r="2542" spans="1:9">
      <c r="A2542" s="1182" t="s">
        <v>2722</v>
      </c>
      <c r="B2542" s="41" t="s">
        <v>25</v>
      </c>
      <c r="C2542" s="296">
        <v>13.7</v>
      </c>
      <c r="D2542" s="297">
        <v>2</v>
      </c>
      <c r="E2542" s="1186">
        <f>C2542*D2542</f>
        <v>27.4</v>
      </c>
      <c r="F2542" s="1412" t="s">
        <v>3587</v>
      </c>
    </row>
    <row r="2545" spans="1:10" s="290" customFormat="1" ht="12.75">
      <c r="A2545" s="295" t="s">
        <v>3420</v>
      </c>
      <c r="B2545" s="295" t="s">
        <v>40</v>
      </c>
      <c r="C2545" s="295" t="s">
        <v>90</v>
      </c>
      <c r="D2545" s="295" t="s">
        <v>203</v>
      </c>
      <c r="E2545" s="289" t="s">
        <v>163</v>
      </c>
      <c r="F2545" s="289" t="s">
        <v>197</v>
      </c>
      <c r="G2545" s="289" t="s">
        <v>278</v>
      </c>
      <c r="H2545" s="289" t="s">
        <v>3476</v>
      </c>
      <c r="I2545" s="289" t="s">
        <v>3589</v>
      </c>
      <c r="J2545" s="289" t="s">
        <v>3592</v>
      </c>
    </row>
    <row r="2546" spans="1:10">
      <c r="A2546" s="1413" t="s">
        <v>3590</v>
      </c>
      <c r="B2546" s="1417" t="s">
        <v>3529</v>
      </c>
      <c r="C2546" s="360" t="s">
        <v>2491</v>
      </c>
      <c r="D2546" s="302" t="s">
        <v>2774</v>
      </c>
      <c r="E2546" s="1415">
        <v>44</v>
      </c>
      <c r="F2546" s="1416">
        <v>26</v>
      </c>
      <c r="G2546" s="1414">
        <f>E2546*F2546</f>
        <v>1144</v>
      </c>
      <c r="H2546" s="1183">
        <v>16.5</v>
      </c>
      <c r="I2546" s="1214">
        <f>H2546*G2546</f>
        <v>18876</v>
      </c>
      <c r="J2546" s="1184" t="s">
        <v>3593</v>
      </c>
    </row>
    <row r="2547" spans="1:10">
      <c r="A2547" s="1413" t="s">
        <v>3591</v>
      </c>
      <c r="B2547" s="1417" t="s">
        <v>3529</v>
      </c>
      <c r="C2547" s="360" t="s">
        <v>2491</v>
      </c>
      <c r="D2547" s="302" t="s">
        <v>2774</v>
      </c>
      <c r="E2547" s="1415">
        <v>44</v>
      </c>
      <c r="F2547" s="1416">
        <v>15</v>
      </c>
      <c r="G2547" s="1414">
        <f>E2547*F2547</f>
        <v>660</v>
      </c>
      <c r="H2547" s="1183">
        <v>16.5</v>
      </c>
      <c r="I2547" s="1214">
        <f>H2547*G2547</f>
        <v>10890</v>
      </c>
      <c r="J2547" s="1184" t="s">
        <v>3594</v>
      </c>
    </row>
    <row r="2550" spans="1:10" s="290" customFormat="1" ht="12.75">
      <c r="A2550" s="295" t="s">
        <v>3420</v>
      </c>
      <c r="B2550" s="295" t="s">
        <v>40</v>
      </c>
      <c r="C2550" s="295" t="s">
        <v>90</v>
      </c>
      <c r="D2550" s="295" t="s">
        <v>203</v>
      </c>
      <c r="E2550" s="289" t="s">
        <v>163</v>
      </c>
      <c r="F2550" s="289" t="s">
        <v>197</v>
      </c>
      <c r="G2550" s="289" t="s">
        <v>278</v>
      </c>
      <c r="H2550" s="289" t="s">
        <v>3476</v>
      </c>
    </row>
    <row r="2551" spans="1:10" s="290" customFormat="1" ht="12.75">
      <c r="A2551" s="314" t="s">
        <v>2807</v>
      </c>
      <c r="B2551" s="1182" t="s">
        <v>2773</v>
      </c>
      <c r="C2551" s="42" t="s">
        <v>2491</v>
      </c>
      <c r="D2551" s="41" t="s">
        <v>2774</v>
      </c>
      <c r="E2551" s="296">
        <v>44</v>
      </c>
      <c r="F2551" s="297">
        <v>26</v>
      </c>
      <c r="G2551" s="43">
        <f>E2551*F2551</f>
        <v>1144</v>
      </c>
      <c r="H2551" s="1183">
        <v>16.5</v>
      </c>
    </row>
    <row r="2553" spans="1:10">
      <c r="A2553" t="s">
        <v>3601</v>
      </c>
    </row>
    <row r="2554" spans="1:10" s="1423" customFormat="1" ht="25.5">
      <c r="A2554" s="1419" t="s">
        <v>174</v>
      </c>
      <c r="B2554" s="1420" t="s">
        <v>3595</v>
      </c>
      <c r="C2554" s="1421" t="s">
        <v>3608</v>
      </c>
      <c r="D2554" s="1420" t="s">
        <v>161</v>
      </c>
      <c r="E2554" s="1421" t="s">
        <v>3609</v>
      </c>
      <c r="F2554" s="1422" t="s">
        <v>242</v>
      </c>
      <c r="G2554" s="1421" t="s">
        <v>3605</v>
      </c>
    </row>
    <row r="2555" spans="1:10" s="1423" customFormat="1" ht="24" customHeight="1">
      <c r="A2555" s="361" t="s">
        <v>254</v>
      </c>
      <c r="B2555" s="361" t="s">
        <v>3596</v>
      </c>
      <c r="C2555" s="1424" t="s">
        <v>245</v>
      </c>
      <c r="D2555" s="1425" t="s">
        <v>3606</v>
      </c>
      <c r="E2555" s="1426">
        <v>1900</v>
      </c>
      <c r="F2555" s="1427">
        <f>ROUNDUP(E2555/0.6/125,2)</f>
        <v>25.34</v>
      </c>
      <c r="G2555" s="361" t="s">
        <v>3597</v>
      </c>
    </row>
    <row r="2556" spans="1:10" s="1423" customFormat="1" ht="24" customHeight="1">
      <c r="A2556" s="361" t="s">
        <v>2557</v>
      </c>
      <c r="B2556" s="361" t="s">
        <v>3598</v>
      </c>
      <c r="C2556" s="1424" t="s">
        <v>280</v>
      </c>
      <c r="D2556" s="1425" t="s">
        <v>3606</v>
      </c>
      <c r="E2556" s="1426">
        <v>470</v>
      </c>
      <c r="F2556" s="1427">
        <f>ROUNDUP(E2556/0.6/125,2)</f>
        <v>6.27</v>
      </c>
      <c r="G2556" s="361"/>
    </row>
    <row r="2557" spans="1:10" s="1423" customFormat="1" ht="24" customHeight="1">
      <c r="A2557" s="361" t="s">
        <v>130</v>
      </c>
      <c r="B2557" s="361" t="s">
        <v>3599</v>
      </c>
      <c r="C2557" s="1424" t="s">
        <v>247</v>
      </c>
      <c r="D2557" s="1425" t="s">
        <v>3607</v>
      </c>
      <c r="E2557" s="1426">
        <f>360+20</f>
        <v>380</v>
      </c>
      <c r="F2557" s="1427">
        <f>ROUNDUP(E2557/0.6/125,2)</f>
        <v>5.0699999999999994</v>
      </c>
      <c r="G2557" s="361" t="s">
        <v>3600</v>
      </c>
      <c r="H2557" s="1428" t="s">
        <v>3610</v>
      </c>
    </row>
    <row r="2558" spans="1:10" s="1423" customFormat="1" ht="24" customHeight="1">
      <c r="A2558" s="1429"/>
      <c r="B2558" s="1429"/>
      <c r="C2558" s="1430"/>
      <c r="D2558" s="1431"/>
      <c r="E2558" s="1432"/>
      <c r="F2558" s="1433"/>
      <c r="G2558" s="1429"/>
      <c r="H2558" s="1434"/>
    </row>
    <row r="2559" spans="1:10" s="1423" customFormat="1" ht="24" customHeight="1">
      <c r="A2559" s="1429"/>
      <c r="B2559" s="1429"/>
      <c r="C2559" s="1430"/>
      <c r="D2559" s="1431"/>
      <c r="E2559" s="1432"/>
      <c r="F2559" s="1433"/>
      <c r="G2559" s="1429"/>
      <c r="H2559" s="1434"/>
    </row>
    <row r="2560" spans="1:10" s="337" customFormat="1" ht="12.75">
      <c r="A2560" s="337" t="s">
        <v>3611</v>
      </c>
    </row>
    <row r="2561" spans="1:8" s="1423" customFormat="1" ht="38.25">
      <c r="A2561" s="1435" t="s">
        <v>174</v>
      </c>
      <c r="B2561" s="1421" t="s">
        <v>3608</v>
      </c>
      <c r="C2561" s="1421" t="s">
        <v>3609</v>
      </c>
      <c r="D2561" s="1418" t="s">
        <v>3604</v>
      </c>
      <c r="E2561" s="1421" t="s">
        <v>3612</v>
      </c>
    </row>
    <row r="2562" spans="1:8" s="1423" customFormat="1" ht="24" customHeight="1">
      <c r="A2562" s="361" t="s">
        <v>3602</v>
      </c>
      <c r="B2562" s="361" t="s">
        <v>3603</v>
      </c>
      <c r="C2562" s="1436">
        <v>1310</v>
      </c>
      <c r="D2562" s="1427">
        <f>ROUNDUP(C2562/0.75/125,2)</f>
        <v>13.98</v>
      </c>
      <c r="E2562" s="1427">
        <f>ROUNDUP((C2562+300)/0.75/125,2)</f>
        <v>17.180000000000003</v>
      </c>
    </row>
    <row r="2564" spans="1:8" s="290" customFormat="1" ht="12.75">
      <c r="A2564" s="295" t="s">
        <v>3420</v>
      </c>
      <c r="B2564" s="295" t="s">
        <v>40</v>
      </c>
      <c r="C2564" s="295" t="s">
        <v>16</v>
      </c>
      <c r="D2564" s="295" t="s">
        <v>203</v>
      </c>
      <c r="E2564" s="289" t="s">
        <v>163</v>
      </c>
      <c r="F2564" s="289" t="s">
        <v>197</v>
      </c>
      <c r="G2564" s="289" t="s">
        <v>198</v>
      </c>
      <c r="H2564" s="289" t="s">
        <v>212</v>
      </c>
    </row>
    <row r="2565" spans="1:8" s="290" customFormat="1" ht="12.75">
      <c r="A2565" s="4" t="s">
        <v>3627</v>
      </c>
      <c r="B2565" s="41">
        <v>4141</v>
      </c>
      <c r="C2565" s="1264">
        <v>9</v>
      </c>
      <c r="D2565" s="41" t="s">
        <v>3628</v>
      </c>
      <c r="E2565" s="296">
        <v>20</v>
      </c>
      <c r="F2565" s="297">
        <v>10</v>
      </c>
      <c r="G2565" s="298">
        <f>E2565*F2565</f>
        <v>200</v>
      </c>
      <c r="H2565" s="1184">
        <v>1.33</v>
      </c>
    </row>
    <row r="2566" spans="1:8" s="290" customFormat="1" ht="12.75">
      <c r="A2566" s="4" t="s">
        <v>3627</v>
      </c>
      <c r="B2566" s="41">
        <v>4141</v>
      </c>
      <c r="C2566" s="1264">
        <v>9</v>
      </c>
      <c r="D2566" s="41" t="s">
        <v>3629</v>
      </c>
      <c r="E2566" s="296">
        <v>20</v>
      </c>
      <c r="F2566" s="297">
        <v>13</v>
      </c>
      <c r="G2566" s="1453">
        <f>E2566*F2566</f>
        <v>260</v>
      </c>
      <c r="H2566" s="1184">
        <v>1.33</v>
      </c>
    </row>
    <row r="2567" spans="1:8" s="290" customFormat="1" ht="12.75">
      <c r="A2567" s="4" t="s">
        <v>3627</v>
      </c>
      <c r="B2567" s="41">
        <v>4141</v>
      </c>
      <c r="C2567" s="1264">
        <v>9</v>
      </c>
      <c r="D2567" s="41" t="s">
        <v>3630</v>
      </c>
      <c r="E2567" s="296">
        <v>20</v>
      </c>
      <c r="F2567" s="297">
        <v>8</v>
      </c>
      <c r="G2567" s="1453">
        <f>E2567*F2567</f>
        <v>160</v>
      </c>
      <c r="H2567" s="1184">
        <v>1.33</v>
      </c>
    </row>
    <row r="2568" spans="1:8" s="290" customFormat="1" ht="12.75">
      <c r="A2568" s="4" t="s">
        <v>3627</v>
      </c>
      <c r="B2568" s="41">
        <v>4141</v>
      </c>
      <c r="C2568" s="1264">
        <v>9</v>
      </c>
      <c r="D2568" s="41" t="s">
        <v>3631</v>
      </c>
      <c r="E2568" s="296">
        <v>20</v>
      </c>
      <c r="F2568" s="297">
        <v>5</v>
      </c>
      <c r="G2568" s="298">
        <f>E2568*F2568</f>
        <v>100</v>
      </c>
      <c r="H2568" s="1184">
        <v>1.33</v>
      </c>
    </row>
    <row r="2569" spans="1:8" s="290" customFormat="1" ht="12.75">
      <c r="A2569" s="4" t="s">
        <v>3627</v>
      </c>
      <c r="B2569" s="41">
        <v>4141</v>
      </c>
      <c r="C2569" s="1264">
        <v>9</v>
      </c>
      <c r="D2569" s="41" t="s">
        <v>3632</v>
      </c>
      <c r="E2569" s="296">
        <v>20</v>
      </c>
      <c r="F2569" s="297">
        <v>5</v>
      </c>
      <c r="G2569" s="298">
        <f>E2569*F2569</f>
        <v>100</v>
      </c>
      <c r="H2569" s="1184">
        <v>1.33</v>
      </c>
    </row>
    <row r="2570" spans="1:8" s="290" customFormat="1" ht="12.75">
      <c r="A2570" s="4" t="s">
        <v>3627</v>
      </c>
      <c r="B2570" s="41"/>
      <c r="C2570" s="136"/>
      <c r="D2570" s="136" t="s">
        <v>218</v>
      </c>
      <c r="E2570" s="292"/>
      <c r="F2570" s="297"/>
      <c r="G2570" s="292">
        <v>1</v>
      </c>
      <c r="H2570" s="1181">
        <v>12</v>
      </c>
    </row>
    <row r="2572" spans="1:8">
      <c r="A2572" s="295" t="s">
        <v>40</v>
      </c>
      <c r="B2572" s="295" t="s">
        <v>16</v>
      </c>
      <c r="C2572" s="295" t="s">
        <v>203</v>
      </c>
      <c r="D2572" s="289" t="s">
        <v>163</v>
      </c>
      <c r="E2572" s="289" t="s">
        <v>197</v>
      </c>
      <c r="F2572" s="289" t="s">
        <v>198</v>
      </c>
    </row>
    <row r="2573" spans="1:8">
      <c r="A2573" s="41">
        <v>4141</v>
      </c>
      <c r="B2573" s="1264">
        <v>9</v>
      </c>
      <c r="C2573" s="41" t="s">
        <v>3637</v>
      </c>
      <c r="D2573" s="296">
        <v>20</v>
      </c>
      <c r="E2573" s="297">
        <v>12</v>
      </c>
      <c r="F2573" s="298">
        <f>D2573*E2573</f>
        <v>240</v>
      </c>
    </row>
    <row r="2574" spans="1:8">
      <c r="A2574" s="41">
        <v>4141</v>
      </c>
      <c r="B2574" s="1264">
        <v>9</v>
      </c>
      <c r="C2574" s="1454" t="s">
        <v>3634</v>
      </c>
      <c r="D2574" s="296">
        <v>20</v>
      </c>
      <c r="E2574" s="297">
        <v>17</v>
      </c>
      <c r="F2574" s="298">
        <f>D2574*E2574</f>
        <v>340</v>
      </c>
    </row>
    <row r="2575" spans="1:8">
      <c r="A2575" s="41">
        <v>4141</v>
      </c>
      <c r="B2575" s="1264">
        <v>9</v>
      </c>
      <c r="C2575" s="1454" t="s">
        <v>3635</v>
      </c>
      <c r="D2575" s="296">
        <v>20</v>
      </c>
      <c r="E2575" s="297">
        <v>24</v>
      </c>
      <c r="F2575" s="298">
        <f>D2575*E2575</f>
        <v>480</v>
      </c>
    </row>
    <row r="2576" spans="1:8">
      <c r="A2576" s="41">
        <v>4141</v>
      </c>
      <c r="B2576" s="1264">
        <v>9</v>
      </c>
      <c r="C2576" s="1454" t="s">
        <v>3636</v>
      </c>
      <c r="D2576" s="296">
        <v>20</v>
      </c>
      <c r="E2576" s="297">
        <v>13</v>
      </c>
      <c r="F2576" s="298">
        <f>D2576*E2576</f>
        <v>260</v>
      </c>
    </row>
    <row r="2577" spans="1:8">
      <c r="A2577" s="41">
        <v>4141</v>
      </c>
      <c r="B2577" s="1264">
        <v>9</v>
      </c>
      <c r="C2577" s="41" t="s">
        <v>277</v>
      </c>
      <c r="D2577" s="296">
        <v>20</v>
      </c>
      <c r="E2577" s="297">
        <v>64</v>
      </c>
      <c r="F2577" s="298">
        <f>D2577*E2577</f>
        <v>1280</v>
      </c>
    </row>
    <row r="2579" spans="1:8">
      <c r="A2579" s="295" t="s">
        <v>40</v>
      </c>
      <c r="B2579" s="295" t="s">
        <v>16</v>
      </c>
      <c r="C2579" s="295" t="s">
        <v>203</v>
      </c>
      <c r="D2579" s="289" t="s">
        <v>163</v>
      </c>
      <c r="E2579" s="289" t="s">
        <v>197</v>
      </c>
      <c r="F2579" s="289" t="s">
        <v>198</v>
      </c>
      <c r="G2579" s="1406" t="s">
        <v>3646</v>
      </c>
    </row>
    <row r="2580" spans="1:8">
      <c r="A2580" s="41">
        <v>4141</v>
      </c>
      <c r="B2580" s="1264">
        <v>9</v>
      </c>
      <c r="C2580" s="41" t="s">
        <v>2798</v>
      </c>
      <c r="D2580" s="296">
        <v>20</v>
      </c>
      <c r="E2580" s="297">
        <v>12</v>
      </c>
      <c r="F2580" s="298">
        <f>D2580*E2580</f>
        <v>240</v>
      </c>
      <c r="G2580" s="1457" t="s">
        <v>3649</v>
      </c>
    </row>
    <row r="2581" spans="1:8">
      <c r="A2581" s="41">
        <v>4141</v>
      </c>
      <c r="B2581" s="1264">
        <v>9</v>
      </c>
      <c r="C2581" s="41" t="s">
        <v>3641</v>
      </c>
      <c r="D2581" s="296">
        <v>20</v>
      </c>
      <c r="E2581" s="297">
        <v>18</v>
      </c>
      <c r="F2581" s="298">
        <f>D2581*E2581</f>
        <v>360</v>
      </c>
      <c r="G2581" s="1457" t="s">
        <v>3647</v>
      </c>
    </row>
    <row r="2582" spans="1:8">
      <c r="A2582" s="41">
        <v>4141</v>
      </c>
      <c r="B2582" s="1264">
        <v>9</v>
      </c>
      <c r="C2582" s="41" t="s">
        <v>3632</v>
      </c>
      <c r="D2582" s="296">
        <v>20</v>
      </c>
      <c r="E2582" s="297">
        <v>24</v>
      </c>
      <c r="F2582" s="298">
        <f>D2582*E2582</f>
        <v>480</v>
      </c>
      <c r="G2582" s="1457" t="s">
        <v>3648</v>
      </c>
    </row>
    <row r="2583" spans="1:8">
      <c r="A2583" s="41">
        <v>4141</v>
      </c>
      <c r="B2583" s="1264">
        <v>9</v>
      </c>
      <c r="C2583" s="41" t="s">
        <v>3644</v>
      </c>
      <c r="D2583" s="296">
        <v>20</v>
      </c>
      <c r="E2583" s="297">
        <v>13</v>
      </c>
      <c r="F2583" s="298">
        <f>D2583*E2583</f>
        <v>260</v>
      </c>
      <c r="G2583" s="1457" t="s">
        <v>3648</v>
      </c>
    </row>
    <row r="2584" spans="1:8">
      <c r="A2584" s="41">
        <v>4141</v>
      </c>
      <c r="B2584" s="1264">
        <v>9</v>
      </c>
      <c r="C2584" s="41" t="s">
        <v>277</v>
      </c>
      <c r="D2584" s="296">
        <v>20</v>
      </c>
      <c r="E2584" s="297">
        <v>64</v>
      </c>
      <c r="F2584" s="298">
        <f>D2584*E2584</f>
        <v>1280</v>
      </c>
      <c r="G2584" s="1457" t="s">
        <v>3649</v>
      </c>
    </row>
    <row r="2586" spans="1:8">
      <c r="A2586" s="295" t="s">
        <v>40</v>
      </c>
      <c r="B2586" s="295" t="s">
        <v>16</v>
      </c>
      <c r="C2586" s="295" t="s">
        <v>203</v>
      </c>
      <c r="D2586" s="289" t="s">
        <v>163</v>
      </c>
      <c r="E2586" s="289" t="s">
        <v>197</v>
      </c>
      <c r="F2586" s="289" t="s">
        <v>198</v>
      </c>
      <c r="G2586" s="1422" t="s">
        <v>242</v>
      </c>
      <c r="H2586" s="1422" t="s">
        <v>3477</v>
      </c>
    </row>
    <row r="2587" spans="1:8">
      <c r="A2587" s="41">
        <v>4141</v>
      </c>
      <c r="B2587" s="1264">
        <v>9</v>
      </c>
      <c r="C2587" s="41" t="s">
        <v>2798</v>
      </c>
      <c r="D2587" s="296">
        <v>20</v>
      </c>
      <c r="E2587" s="297">
        <v>12</v>
      </c>
      <c r="F2587" s="298">
        <f>D2587*E2587</f>
        <v>240</v>
      </c>
      <c r="G2587" s="1184">
        <v>1.33</v>
      </c>
      <c r="H2587" s="33" t="s">
        <v>3651</v>
      </c>
    </row>
    <row r="2588" spans="1:8">
      <c r="A2588" s="41">
        <v>4141</v>
      </c>
      <c r="B2588" s="1264">
        <v>9</v>
      </c>
      <c r="C2588" s="41" t="s">
        <v>3641</v>
      </c>
      <c r="D2588" s="296">
        <v>20</v>
      </c>
      <c r="E2588" s="297">
        <v>18</v>
      </c>
      <c r="F2588" s="298">
        <f>D2588*E2588</f>
        <v>360</v>
      </c>
      <c r="G2588" s="1184">
        <v>1.33</v>
      </c>
      <c r="H2588" s="33" t="s">
        <v>3650</v>
      </c>
    </row>
    <row r="2589" spans="1:8">
      <c r="A2589" s="41">
        <v>4141</v>
      </c>
      <c r="B2589" s="1264">
        <v>9</v>
      </c>
      <c r="C2589" s="41" t="s">
        <v>3632</v>
      </c>
      <c r="D2589" s="296">
        <v>20</v>
      </c>
      <c r="E2589" s="297">
        <v>24</v>
      </c>
      <c r="F2589" s="298">
        <f>D2589*E2589</f>
        <v>480</v>
      </c>
      <c r="G2589" s="1184">
        <v>1.33</v>
      </c>
      <c r="H2589" s="1458" t="s">
        <v>3653</v>
      </c>
    </row>
    <row r="2590" spans="1:8">
      <c r="A2590" s="41">
        <v>4141</v>
      </c>
      <c r="B2590" s="1264">
        <v>9</v>
      </c>
      <c r="C2590" s="41" t="s">
        <v>3644</v>
      </c>
      <c r="D2590" s="296">
        <v>20</v>
      </c>
      <c r="E2590" s="297">
        <v>13</v>
      </c>
      <c r="F2590" s="298">
        <f>D2590*E2590</f>
        <v>260</v>
      </c>
      <c r="G2590" s="1184">
        <v>1.33</v>
      </c>
      <c r="H2590" s="33" t="s">
        <v>3650</v>
      </c>
    </row>
    <row r="2591" spans="1:8">
      <c r="A2591" s="41">
        <v>4141</v>
      </c>
      <c r="B2591" s="1264">
        <v>9</v>
      </c>
      <c r="C2591" s="41" t="s">
        <v>277</v>
      </c>
      <c r="D2591" s="296">
        <v>20</v>
      </c>
      <c r="E2591" s="297">
        <v>64</v>
      </c>
      <c r="F2591" s="298">
        <f>D2591*E2591</f>
        <v>1280</v>
      </c>
      <c r="G2591" s="1184">
        <v>1.33</v>
      </c>
      <c r="H2591" s="33" t="s">
        <v>3651</v>
      </c>
    </row>
    <row r="2593" spans="1:120" ht="15">
      <c r="A2593" s="1459"/>
    </row>
    <row r="2594" spans="1:120">
      <c r="A2594" s="289" t="s">
        <v>99</v>
      </c>
      <c r="B2594" s="289" t="s">
        <v>3654</v>
      </c>
      <c r="C2594" s="289" t="s">
        <v>203</v>
      </c>
      <c r="D2594" s="289" t="s">
        <v>163</v>
      </c>
      <c r="E2594" s="289" t="s">
        <v>197</v>
      </c>
      <c r="F2594" s="289" t="s">
        <v>198</v>
      </c>
      <c r="G2594" s="1422" t="s">
        <v>242</v>
      </c>
      <c r="H2594" s="1461" t="s">
        <v>3652</v>
      </c>
    </row>
    <row r="2595" spans="1:120">
      <c r="A2595" s="41">
        <v>4141</v>
      </c>
      <c r="B2595" s="1462" t="s">
        <v>3655</v>
      </c>
      <c r="C2595" s="41" t="s">
        <v>3639</v>
      </c>
      <c r="D2595" s="1462" t="s">
        <v>3656</v>
      </c>
      <c r="E2595" s="1462" t="s">
        <v>3657</v>
      </c>
      <c r="F2595" s="1462" t="s">
        <v>3658</v>
      </c>
      <c r="G2595" s="1184">
        <v>1.33</v>
      </c>
      <c r="H2595" s="1463" t="s">
        <v>3659</v>
      </c>
    </row>
    <row r="2596" spans="1:120">
      <c r="A2596" s="41">
        <v>4141</v>
      </c>
      <c r="B2596" s="1462" t="s">
        <v>3655</v>
      </c>
      <c r="C2596" s="41" t="s">
        <v>3640</v>
      </c>
      <c r="D2596" s="1462" t="s">
        <v>3656</v>
      </c>
      <c r="E2596" s="1462" t="s">
        <v>3660</v>
      </c>
      <c r="F2596" s="1462" t="s">
        <v>3661</v>
      </c>
      <c r="G2596" s="1184">
        <v>1.33</v>
      </c>
      <c r="H2596" s="1463" t="s">
        <v>3659</v>
      </c>
    </row>
    <row r="2597" spans="1:120">
      <c r="A2597" s="41">
        <v>4141</v>
      </c>
      <c r="B2597" s="1462" t="s">
        <v>3655</v>
      </c>
      <c r="C2597" s="41" t="s">
        <v>3642</v>
      </c>
      <c r="D2597" s="1462" t="s">
        <v>3656</v>
      </c>
      <c r="E2597" s="1462" t="s">
        <v>3662</v>
      </c>
      <c r="F2597" s="1462" t="s">
        <v>3663</v>
      </c>
      <c r="G2597" s="1184">
        <v>1.33</v>
      </c>
      <c r="H2597" s="41" t="s">
        <v>3664</v>
      </c>
    </row>
    <row r="2598" spans="1:120">
      <c r="A2598" s="41">
        <v>4141</v>
      </c>
      <c r="B2598" s="1462" t="s">
        <v>3655</v>
      </c>
      <c r="C2598" s="41" t="s">
        <v>3643</v>
      </c>
      <c r="D2598" s="1462" t="s">
        <v>3656</v>
      </c>
      <c r="E2598" s="1462" t="s">
        <v>3665</v>
      </c>
      <c r="F2598" s="1462" t="s">
        <v>3666</v>
      </c>
      <c r="G2598" s="1184">
        <v>1.33</v>
      </c>
      <c r="H2598" s="1463" t="s">
        <v>3659</v>
      </c>
    </row>
    <row r="2599" spans="1:120">
      <c r="A2599" s="41">
        <v>4141</v>
      </c>
      <c r="B2599" s="1462" t="s">
        <v>3655</v>
      </c>
      <c r="C2599" s="41" t="s">
        <v>3645</v>
      </c>
      <c r="D2599" s="1462" t="s">
        <v>3656</v>
      </c>
      <c r="E2599" s="1462" t="s">
        <v>3667</v>
      </c>
      <c r="F2599" s="1462" t="s">
        <v>3668</v>
      </c>
      <c r="G2599" s="1184">
        <v>1.33</v>
      </c>
      <c r="H2599" s="1463" t="s">
        <v>3659</v>
      </c>
    </row>
    <row r="2600" spans="1:120">
      <c r="A2600" s="1460"/>
    </row>
    <row r="2602" spans="1:120">
      <c r="A2602" t="s">
        <v>3674</v>
      </c>
    </row>
    <row r="2603" spans="1:120" s="353" customFormat="1" ht="15.75">
      <c r="A2603" s="927" t="s">
        <v>171</v>
      </c>
      <c r="B2603" s="1465" t="s">
        <v>90</v>
      </c>
      <c r="C2603" s="1466" t="s">
        <v>2</v>
      </c>
      <c r="D2603" s="1467" t="s">
        <v>204</v>
      </c>
      <c r="E2603" s="201" t="s">
        <v>225</v>
      </c>
      <c r="F2603" s="201" t="s">
        <v>161</v>
      </c>
      <c r="G2603" s="1422" t="s">
        <v>242</v>
      </c>
      <c r="H2603" s="352"/>
    </row>
    <row r="2604" spans="1:120" s="49" customFormat="1" ht="15" customHeight="1">
      <c r="A2604" s="1221" t="s">
        <v>3675</v>
      </c>
      <c r="B2604" s="1222">
        <v>15</v>
      </c>
      <c r="C2604" s="1223">
        <v>30</v>
      </c>
      <c r="D2604" s="1224" t="s">
        <v>3676</v>
      </c>
      <c r="E2604" s="1224" t="s">
        <v>3677</v>
      </c>
      <c r="F2604" s="1224" t="s">
        <v>3678</v>
      </c>
      <c r="G2604" s="1468">
        <f>ROUNDUP(H2604/0.6/125,2)</f>
        <v>0.67</v>
      </c>
      <c r="H2604" s="1228">
        <v>50</v>
      </c>
      <c r="I2604" s="1229"/>
      <c r="J2604" s="1229"/>
      <c r="K2604" s="1229"/>
      <c r="L2604" s="1229"/>
      <c r="M2604" s="1229"/>
      <c r="N2604" s="1229"/>
      <c r="O2604" s="1229"/>
      <c r="P2604" s="1229"/>
      <c r="Q2604" s="1229"/>
      <c r="R2604" s="1229"/>
      <c r="S2604" s="1229"/>
      <c r="T2604" s="1229"/>
      <c r="U2604" s="1229"/>
      <c r="V2604" s="1229"/>
      <c r="W2604" s="1229"/>
      <c r="X2604" s="1229"/>
      <c r="Y2604" s="1229"/>
      <c r="Z2604" s="1229"/>
      <c r="AA2604" s="1229"/>
      <c r="AB2604" s="1229"/>
      <c r="AC2604" s="1229"/>
      <c r="AD2604" s="1229"/>
      <c r="AE2604" s="1229"/>
      <c r="AF2604" s="1229"/>
      <c r="AG2604" s="1229"/>
      <c r="AH2604" s="1229"/>
      <c r="AI2604" s="1229"/>
      <c r="AJ2604" s="1229"/>
      <c r="AK2604" s="1229"/>
      <c r="AL2604" s="1229"/>
      <c r="AM2604" s="1229"/>
      <c r="AN2604" s="1229"/>
      <c r="AO2604" s="1229"/>
      <c r="AP2604" s="1229"/>
      <c r="AQ2604" s="1229"/>
      <c r="AR2604" s="1229"/>
      <c r="AS2604" s="1229"/>
      <c r="AT2604" s="1229"/>
      <c r="AU2604" s="1229"/>
      <c r="AV2604" s="1229"/>
      <c r="AW2604" s="1229"/>
      <c r="AX2604" s="1229"/>
      <c r="AY2604" s="1229"/>
      <c r="AZ2604" s="1229"/>
      <c r="BA2604" s="1229"/>
      <c r="BB2604" s="1229"/>
      <c r="BC2604" s="1229"/>
      <c r="BD2604" s="1229"/>
      <c r="BE2604" s="1229"/>
      <c r="BF2604" s="1229"/>
      <c r="BG2604" s="1229"/>
      <c r="BH2604" s="1229"/>
      <c r="BI2604" s="1229"/>
      <c r="BJ2604" s="1229"/>
      <c r="BK2604" s="1229"/>
      <c r="BL2604" s="1229"/>
      <c r="BM2604" s="1229"/>
      <c r="BN2604" s="1229"/>
      <c r="BO2604" s="1229"/>
      <c r="BP2604" s="1229"/>
      <c r="BQ2604" s="1229"/>
      <c r="BR2604" s="1229"/>
      <c r="BS2604" s="1229"/>
      <c r="BT2604" s="1229"/>
      <c r="BU2604" s="1229"/>
      <c r="BV2604" s="1229"/>
      <c r="BW2604" s="1229"/>
      <c r="BX2604" s="1229"/>
      <c r="BY2604" s="1229"/>
      <c r="BZ2604" s="1229"/>
      <c r="CA2604" s="1229"/>
      <c r="CB2604" s="1229"/>
      <c r="CC2604" s="1229"/>
      <c r="CD2604" s="1229"/>
      <c r="CE2604" s="1229"/>
      <c r="CF2604" s="1229"/>
      <c r="CG2604" s="1229"/>
      <c r="CH2604" s="1229"/>
      <c r="CI2604" s="1229"/>
      <c r="CJ2604" s="1229"/>
      <c r="CK2604" s="1229"/>
      <c r="CL2604" s="1229"/>
      <c r="CM2604" s="1229"/>
      <c r="CN2604" s="1229"/>
      <c r="CO2604" s="1229"/>
      <c r="CP2604" s="1229"/>
      <c r="CQ2604" s="1229"/>
      <c r="CR2604" s="1229"/>
      <c r="CS2604" s="1229"/>
      <c r="CT2604" s="1229"/>
      <c r="CU2604" s="1229"/>
      <c r="CV2604" s="1229"/>
      <c r="CW2604" s="1229"/>
      <c r="CX2604" s="1229"/>
      <c r="CY2604" s="1229"/>
      <c r="CZ2604" s="1229"/>
      <c r="DA2604" s="1229"/>
      <c r="DB2604" s="1229"/>
      <c r="DC2604" s="1229"/>
      <c r="DD2604" s="1229"/>
      <c r="DE2604" s="1229"/>
      <c r="DF2604" s="1229"/>
      <c r="DG2604" s="1229"/>
      <c r="DH2604" s="1229"/>
      <c r="DI2604" s="1229"/>
      <c r="DJ2604" s="1229"/>
      <c r="DK2604" s="1229"/>
      <c r="DL2604" s="1229"/>
      <c r="DM2604" s="1229"/>
      <c r="DN2604" s="1229"/>
      <c r="DO2604" s="1229"/>
      <c r="DP2604" s="1229"/>
    </row>
    <row r="2606" spans="1:120" ht="14.25" customHeight="1"/>
    <row r="2607" spans="1:120">
      <c r="A2607" t="s">
        <v>3680</v>
      </c>
    </row>
    <row r="2608" spans="1:120" s="353" customFormat="1" ht="25.5">
      <c r="A2608" s="1407" t="s">
        <v>171</v>
      </c>
      <c r="B2608" s="1469" t="s">
        <v>90</v>
      </c>
      <c r="C2608" s="1470" t="s">
        <v>2</v>
      </c>
      <c r="D2608" s="1471" t="s">
        <v>3686</v>
      </c>
      <c r="E2608" s="295" t="s">
        <v>225</v>
      </c>
      <c r="F2608" s="295" t="s">
        <v>161</v>
      </c>
      <c r="G2608" s="1422" t="s">
        <v>242</v>
      </c>
      <c r="H2608" s="352"/>
    </row>
    <row r="2609" spans="1:120" s="49" customFormat="1" ht="15" customHeight="1">
      <c r="A2609" s="355" t="s">
        <v>3681</v>
      </c>
      <c r="B2609" s="360">
        <v>38</v>
      </c>
      <c r="C2609" s="356">
        <v>30</v>
      </c>
      <c r="D2609" s="357" t="s">
        <v>3676</v>
      </c>
      <c r="E2609" s="357" t="s">
        <v>3682</v>
      </c>
      <c r="F2609" s="357" t="s">
        <v>4</v>
      </c>
      <c r="G2609" s="1468">
        <f>ROUNDUP(H2609/0.53/125,2)</f>
        <v>0.64</v>
      </c>
      <c r="H2609" s="1228">
        <v>42.4</v>
      </c>
      <c r="I2609" s="1229"/>
      <c r="J2609" s="1229"/>
      <c r="K2609" s="1229"/>
      <c r="L2609" s="1229"/>
      <c r="M2609" s="1229"/>
      <c r="N2609" s="1229"/>
      <c r="O2609" s="1229"/>
      <c r="P2609" s="1229"/>
      <c r="Q2609" s="1229"/>
      <c r="R2609" s="1229"/>
      <c r="S2609" s="1229"/>
      <c r="T2609" s="1229"/>
      <c r="U2609" s="1229"/>
      <c r="V2609" s="1229"/>
      <c r="W2609" s="1229"/>
      <c r="X2609" s="1229"/>
      <c r="Y2609" s="1229"/>
      <c r="Z2609" s="1229"/>
      <c r="AA2609" s="1229"/>
      <c r="AB2609" s="1229"/>
      <c r="AC2609" s="1229"/>
      <c r="AD2609" s="1229"/>
      <c r="AE2609" s="1229"/>
      <c r="AF2609" s="1229"/>
      <c r="AG2609" s="1229"/>
      <c r="AH2609" s="1229"/>
      <c r="AI2609" s="1229"/>
      <c r="AJ2609" s="1229"/>
      <c r="AK2609" s="1229"/>
      <c r="AL2609" s="1229"/>
      <c r="AM2609" s="1229"/>
      <c r="AN2609" s="1229"/>
      <c r="AO2609" s="1229"/>
      <c r="AP2609" s="1229"/>
      <c r="AQ2609" s="1229"/>
      <c r="AR2609" s="1229"/>
      <c r="AS2609" s="1229"/>
      <c r="AT2609" s="1229"/>
      <c r="AU2609" s="1229"/>
      <c r="AV2609" s="1229"/>
      <c r="AW2609" s="1229"/>
      <c r="AX2609" s="1229"/>
      <c r="AY2609" s="1229"/>
      <c r="AZ2609" s="1229"/>
      <c r="BA2609" s="1229"/>
      <c r="BB2609" s="1229"/>
      <c r="BC2609" s="1229"/>
      <c r="BD2609" s="1229"/>
      <c r="BE2609" s="1229"/>
      <c r="BF2609" s="1229"/>
      <c r="BG2609" s="1229"/>
      <c r="BH2609" s="1229"/>
      <c r="BI2609" s="1229"/>
      <c r="BJ2609" s="1229"/>
      <c r="BK2609" s="1229"/>
      <c r="BL2609" s="1229"/>
      <c r="BM2609" s="1229"/>
      <c r="BN2609" s="1229"/>
      <c r="BO2609" s="1229"/>
      <c r="BP2609" s="1229"/>
      <c r="BQ2609" s="1229"/>
      <c r="BR2609" s="1229"/>
      <c r="BS2609" s="1229"/>
      <c r="BT2609" s="1229"/>
      <c r="BU2609" s="1229"/>
      <c r="BV2609" s="1229"/>
      <c r="BW2609" s="1229"/>
      <c r="BX2609" s="1229"/>
      <c r="BY2609" s="1229"/>
      <c r="BZ2609" s="1229"/>
      <c r="CA2609" s="1229"/>
      <c r="CB2609" s="1229"/>
      <c r="CC2609" s="1229"/>
      <c r="CD2609" s="1229"/>
      <c r="CE2609" s="1229"/>
      <c r="CF2609" s="1229"/>
      <c r="CG2609" s="1229"/>
      <c r="CH2609" s="1229"/>
      <c r="CI2609" s="1229"/>
      <c r="CJ2609" s="1229"/>
      <c r="CK2609" s="1229"/>
      <c r="CL2609" s="1229"/>
      <c r="CM2609" s="1229"/>
      <c r="CN2609" s="1229"/>
      <c r="CO2609" s="1229"/>
      <c r="CP2609" s="1229"/>
      <c r="CQ2609" s="1229"/>
      <c r="CR2609" s="1229"/>
      <c r="CS2609" s="1229"/>
      <c r="CT2609" s="1229"/>
      <c r="CU2609" s="1229"/>
      <c r="CV2609" s="1229"/>
      <c r="CW2609" s="1229"/>
      <c r="CX2609" s="1229"/>
      <c r="CY2609" s="1229"/>
      <c r="CZ2609" s="1229"/>
      <c r="DA2609" s="1229"/>
      <c r="DB2609" s="1229"/>
      <c r="DC2609" s="1229"/>
      <c r="DD2609" s="1229"/>
      <c r="DE2609" s="1229"/>
      <c r="DF2609" s="1229"/>
      <c r="DG2609" s="1229"/>
      <c r="DH2609" s="1229"/>
      <c r="DI2609" s="1229"/>
      <c r="DJ2609" s="1229"/>
      <c r="DK2609" s="1229"/>
      <c r="DL2609" s="1229"/>
      <c r="DM2609" s="1229"/>
      <c r="DN2609" s="1229"/>
      <c r="DO2609" s="1229"/>
      <c r="DP2609" s="1229"/>
    </row>
    <row r="2610" spans="1:120">
      <c r="A2610" s="290"/>
      <c r="B2610" s="290"/>
      <c r="C2610" s="290"/>
      <c r="D2610" s="290"/>
      <c r="E2610" s="290"/>
      <c r="F2610" s="290"/>
      <c r="G2610" s="290"/>
    </row>
    <row r="2611" spans="1:120">
      <c r="A2611" s="1472" t="s">
        <v>3685</v>
      </c>
      <c r="B2611" s="290"/>
      <c r="C2611" s="290"/>
      <c r="D2611" s="290"/>
      <c r="E2611" s="290"/>
      <c r="F2611" s="290"/>
      <c r="G2611" s="290"/>
    </row>
    <row r="2612" spans="1:120" s="49" customFormat="1" ht="15" customHeight="1">
      <c r="A2612" s="355" t="s">
        <v>3683</v>
      </c>
      <c r="B2612" s="360">
        <v>38</v>
      </c>
      <c r="C2612" s="356">
        <v>30</v>
      </c>
      <c r="D2612" s="357" t="s">
        <v>3676</v>
      </c>
      <c r="E2612" s="357" t="s">
        <v>3684</v>
      </c>
      <c r="F2612" s="357" t="s">
        <v>3687</v>
      </c>
      <c r="G2612" s="1468">
        <f>ROUNDUP(H2612/0.6/125,2)</f>
        <v>1.1599999999999999</v>
      </c>
      <c r="H2612" s="1228">
        <v>87</v>
      </c>
      <c r="I2612" s="1229"/>
      <c r="J2612" s="1229"/>
      <c r="K2612" s="1229"/>
      <c r="L2612" s="1229"/>
      <c r="M2612" s="1229"/>
      <c r="N2612" s="1229"/>
      <c r="O2612" s="1229"/>
      <c r="P2612" s="1229"/>
      <c r="Q2612" s="1229"/>
      <c r="R2612" s="1229"/>
      <c r="S2612" s="1229"/>
      <c r="T2612" s="1229"/>
      <c r="U2612" s="1229"/>
      <c r="V2612" s="1229"/>
      <c r="W2612" s="1229"/>
      <c r="X2612" s="1229"/>
      <c r="Y2612" s="1229"/>
      <c r="Z2612" s="1229"/>
      <c r="AA2612" s="1229"/>
      <c r="AB2612" s="1229"/>
      <c r="AC2612" s="1229"/>
      <c r="AD2612" s="1229"/>
      <c r="AE2612" s="1229"/>
      <c r="AF2612" s="1229"/>
      <c r="AG2612" s="1229"/>
      <c r="AH2612" s="1229"/>
      <c r="AI2612" s="1229"/>
      <c r="AJ2612" s="1229"/>
      <c r="AK2612" s="1229"/>
      <c r="AL2612" s="1229"/>
      <c r="AM2612" s="1229"/>
      <c r="AN2612" s="1229"/>
      <c r="AO2612" s="1229"/>
      <c r="AP2612" s="1229"/>
      <c r="AQ2612" s="1229"/>
      <c r="AR2612" s="1229"/>
      <c r="AS2612" s="1229"/>
      <c r="AT2612" s="1229"/>
      <c r="AU2612" s="1229"/>
      <c r="AV2612" s="1229"/>
      <c r="AW2612" s="1229"/>
      <c r="AX2612" s="1229"/>
      <c r="AY2612" s="1229"/>
      <c r="AZ2612" s="1229"/>
      <c r="BA2612" s="1229"/>
      <c r="BB2612" s="1229"/>
      <c r="BC2612" s="1229"/>
      <c r="BD2612" s="1229"/>
      <c r="BE2612" s="1229"/>
      <c r="BF2612" s="1229"/>
      <c r="BG2612" s="1229"/>
      <c r="BH2612" s="1229"/>
      <c r="BI2612" s="1229"/>
      <c r="BJ2612" s="1229"/>
      <c r="BK2612" s="1229"/>
      <c r="BL2612" s="1229"/>
      <c r="BM2612" s="1229"/>
      <c r="BN2612" s="1229"/>
      <c r="BO2612" s="1229"/>
      <c r="BP2612" s="1229"/>
      <c r="BQ2612" s="1229"/>
      <c r="BR2612" s="1229"/>
      <c r="BS2612" s="1229"/>
      <c r="BT2612" s="1229"/>
      <c r="BU2612" s="1229"/>
      <c r="BV2612" s="1229"/>
      <c r="BW2612" s="1229"/>
      <c r="BX2612" s="1229"/>
      <c r="BY2612" s="1229"/>
      <c r="BZ2612" s="1229"/>
      <c r="CA2612" s="1229"/>
      <c r="CB2612" s="1229"/>
      <c r="CC2612" s="1229"/>
      <c r="CD2612" s="1229"/>
      <c r="CE2612" s="1229"/>
      <c r="CF2612" s="1229"/>
      <c r="CG2612" s="1229"/>
      <c r="CH2612" s="1229"/>
      <c r="CI2612" s="1229"/>
      <c r="CJ2612" s="1229"/>
      <c r="CK2612" s="1229"/>
      <c r="CL2612" s="1229"/>
      <c r="CM2612" s="1229"/>
      <c r="CN2612" s="1229"/>
      <c r="CO2612" s="1229"/>
      <c r="CP2612" s="1229"/>
      <c r="CQ2612" s="1229"/>
      <c r="CR2612" s="1229"/>
      <c r="CS2612" s="1229"/>
      <c r="CT2612" s="1229"/>
      <c r="CU2612" s="1229"/>
      <c r="CV2612" s="1229"/>
      <c r="CW2612" s="1229"/>
      <c r="CX2612" s="1229"/>
      <c r="CY2612" s="1229"/>
      <c r="CZ2612" s="1229"/>
      <c r="DA2612" s="1229"/>
      <c r="DB2612" s="1229"/>
      <c r="DC2612" s="1229"/>
      <c r="DD2612" s="1229"/>
      <c r="DE2612" s="1229"/>
      <c r="DF2612" s="1229"/>
      <c r="DG2612" s="1229"/>
      <c r="DH2612" s="1229"/>
      <c r="DI2612" s="1229"/>
      <c r="DJ2612" s="1229"/>
      <c r="DK2612" s="1229"/>
      <c r="DL2612" s="1229"/>
      <c r="DM2612" s="1229"/>
      <c r="DN2612" s="1229"/>
      <c r="DO2612" s="1229"/>
      <c r="DP2612" s="1229"/>
    </row>
    <row r="2614" spans="1:120">
      <c r="A2614" s="289" t="s">
        <v>99</v>
      </c>
      <c r="B2614" s="289" t="s">
        <v>3654</v>
      </c>
      <c r="C2614" s="289" t="s">
        <v>203</v>
      </c>
      <c r="D2614" s="289" t="s">
        <v>163</v>
      </c>
      <c r="E2614" s="289" t="s">
        <v>197</v>
      </c>
      <c r="F2614" s="289" t="s">
        <v>198</v>
      </c>
      <c r="G2614" s="1422" t="s">
        <v>242</v>
      </c>
    </row>
    <row r="2615" spans="1:120">
      <c r="A2615" s="41">
        <v>5636</v>
      </c>
      <c r="B2615" s="42" t="s">
        <v>1808</v>
      </c>
      <c r="C2615" s="41" t="s">
        <v>3691</v>
      </c>
      <c r="D2615" s="296">
        <v>50</v>
      </c>
      <c r="E2615" s="297">
        <v>4</v>
      </c>
      <c r="F2615" s="298">
        <f>D2615*E2615</f>
        <v>200</v>
      </c>
      <c r="G2615" s="1184">
        <v>0.53</v>
      </c>
    </row>
    <row r="2616" spans="1:120">
      <c r="A2616" s="41">
        <v>5636</v>
      </c>
      <c r="B2616" s="42" t="s">
        <v>1808</v>
      </c>
      <c r="C2616" s="41" t="s">
        <v>3692</v>
      </c>
      <c r="D2616" s="296">
        <v>50</v>
      </c>
      <c r="E2616" s="297">
        <v>4</v>
      </c>
      <c r="F2616" s="298">
        <f>D2616*E2616</f>
        <v>200</v>
      </c>
      <c r="G2616" s="1184">
        <v>0.53</v>
      </c>
    </row>
    <row r="2617" spans="1:120">
      <c r="A2617" s="41">
        <v>5636</v>
      </c>
      <c r="B2617" s="42" t="s">
        <v>1808</v>
      </c>
      <c r="C2617" s="41" t="s">
        <v>3690</v>
      </c>
      <c r="D2617" s="296">
        <v>50</v>
      </c>
      <c r="E2617" s="297">
        <v>32</v>
      </c>
      <c r="F2617" s="298">
        <f>D2617*E2617</f>
        <v>1600</v>
      </c>
      <c r="G2617" s="1184">
        <v>0.46</v>
      </c>
    </row>
    <row r="2618" spans="1:120">
      <c r="A2618" s="41"/>
      <c r="B2618" s="136"/>
      <c r="C2618" s="136" t="s">
        <v>218</v>
      </c>
      <c r="D2618" s="292"/>
      <c r="E2618" s="297"/>
      <c r="F2618" s="292">
        <v>1</v>
      </c>
      <c r="G2618" s="1181">
        <v>12</v>
      </c>
    </row>
    <row r="2621" spans="1:120">
      <c r="A2621" t="s">
        <v>3696</v>
      </c>
    </row>
    <row r="2622" spans="1:120" s="250" customFormat="1" ht="25.5">
      <c r="A2622" s="592" t="s">
        <v>171</v>
      </c>
      <c r="B2622" s="322" t="s">
        <v>90</v>
      </c>
      <c r="C2622" s="323" t="s">
        <v>2</v>
      </c>
      <c r="D2622" s="324" t="s">
        <v>204</v>
      </c>
      <c r="E2622" s="325" t="s">
        <v>225</v>
      </c>
      <c r="F2622" s="325" t="s">
        <v>161</v>
      </c>
      <c r="G2622" s="326" t="s">
        <v>3357</v>
      </c>
      <c r="H2622" s="244" t="s">
        <v>176</v>
      </c>
    </row>
    <row r="2623" spans="1:120" s="252" customFormat="1" ht="15" customHeight="1">
      <c r="A2623" s="310" t="s">
        <v>3693</v>
      </c>
      <c r="B2623" s="42">
        <v>15</v>
      </c>
      <c r="C2623" s="327">
        <v>30</v>
      </c>
      <c r="D2623" s="44" t="s">
        <v>211</v>
      </c>
      <c r="E2623" s="44" t="s">
        <v>3694</v>
      </c>
      <c r="F2623" s="336" t="s">
        <v>3695</v>
      </c>
      <c r="G2623" s="1184">
        <f>ROUNDUP(H2623/0.53/125,2)</f>
        <v>1.04</v>
      </c>
      <c r="H2623" s="1228">
        <v>68.400000000000006</v>
      </c>
      <c r="I2623" s="16"/>
      <c r="J2623" s="16"/>
      <c r="K2623" s="16"/>
      <c r="L2623" s="16"/>
      <c r="M2623" s="16"/>
      <c r="N2623" s="16"/>
      <c r="O2623" s="16"/>
      <c r="P2623" s="16"/>
      <c r="Q2623" s="16"/>
      <c r="R2623" s="16"/>
      <c r="S2623" s="16"/>
      <c r="T2623" s="16"/>
      <c r="U2623" s="16"/>
      <c r="V2623" s="16"/>
      <c r="W2623" s="16"/>
      <c r="X2623" s="16"/>
      <c r="Y2623" s="16"/>
      <c r="Z2623" s="16"/>
      <c r="AA2623" s="16"/>
      <c r="AB2623" s="16"/>
      <c r="AC2623" s="16"/>
      <c r="AD2623" s="16"/>
      <c r="AE2623" s="16"/>
      <c r="AF2623" s="16"/>
      <c r="AG2623" s="16"/>
      <c r="AH2623" s="16"/>
      <c r="AI2623" s="16"/>
      <c r="AJ2623" s="16"/>
      <c r="AK2623" s="16"/>
      <c r="AL2623" s="16"/>
      <c r="AM2623" s="16"/>
      <c r="AN2623" s="16"/>
      <c r="AO2623" s="16"/>
      <c r="AP2623" s="16"/>
      <c r="AQ2623" s="16"/>
      <c r="AR2623" s="16"/>
      <c r="AS2623" s="16"/>
      <c r="AT2623" s="16"/>
      <c r="AU2623" s="16"/>
      <c r="AV2623" s="16"/>
      <c r="AW2623" s="16"/>
      <c r="AX2623" s="16"/>
      <c r="AY2623" s="16"/>
      <c r="AZ2623" s="16"/>
      <c r="BA2623" s="16"/>
      <c r="BB2623" s="16"/>
      <c r="BC2623" s="16"/>
      <c r="BD2623" s="16"/>
      <c r="BE2623" s="16"/>
      <c r="BF2623" s="16"/>
      <c r="BG2623" s="16"/>
      <c r="BH2623" s="16"/>
      <c r="BI2623" s="16"/>
      <c r="BJ2623" s="16"/>
      <c r="BK2623" s="16"/>
      <c r="BL2623" s="16"/>
      <c r="BM2623" s="16"/>
      <c r="BN2623" s="16"/>
      <c r="BO2623" s="16"/>
      <c r="BP2623" s="16"/>
      <c r="BQ2623" s="16"/>
      <c r="BR2623" s="16"/>
      <c r="BS2623" s="16"/>
      <c r="BT2623" s="16"/>
      <c r="BU2623" s="16"/>
      <c r="BV2623" s="16"/>
      <c r="BW2623" s="16"/>
      <c r="BX2623" s="16"/>
      <c r="BY2623" s="16"/>
      <c r="BZ2623" s="16"/>
      <c r="CA2623" s="16"/>
      <c r="CB2623" s="16"/>
      <c r="CC2623" s="16"/>
      <c r="CD2623" s="16"/>
      <c r="CE2623" s="16"/>
      <c r="CF2623" s="16"/>
      <c r="CG2623" s="16"/>
      <c r="CH2623" s="16"/>
      <c r="CI2623" s="16"/>
      <c r="CJ2623" s="16"/>
      <c r="CK2623" s="16"/>
      <c r="CL2623" s="16"/>
      <c r="CM2623" s="16"/>
      <c r="CN2623" s="16"/>
      <c r="CO2623" s="16"/>
      <c r="CP2623" s="16"/>
      <c r="CQ2623" s="16"/>
      <c r="CR2623" s="16"/>
      <c r="CS2623" s="16"/>
      <c r="CT2623" s="16"/>
      <c r="CU2623" s="16"/>
      <c r="CV2623" s="16"/>
      <c r="CW2623" s="16"/>
      <c r="CX2623" s="16"/>
      <c r="CY2623" s="16"/>
      <c r="CZ2623" s="16"/>
      <c r="DA2623" s="16"/>
      <c r="DB2623" s="16"/>
      <c r="DC2623" s="16"/>
      <c r="DD2623" s="16"/>
      <c r="DE2623" s="16"/>
      <c r="DF2623" s="16"/>
      <c r="DG2623" s="16"/>
      <c r="DH2623" s="16"/>
      <c r="DI2623" s="16"/>
      <c r="DJ2623" s="16"/>
      <c r="DK2623" s="16"/>
      <c r="DL2623" s="16"/>
      <c r="DM2623" s="16"/>
      <c r="DN2623" s="16"/>
      <c r="DO2623" s="16"/>
      <c r="DP2623" s="16"/>
    </row>
    <row r="2625" spans="1:120">
      <c r="A2625" t="s">
        <v>3698</v>
      </c>
    </row>
    <row r="2626" spans="1:120" s="250" customFormat="1" ht="25.5">
      <c r="A2626" s="592" t="s">
        <v>171</v>
      </c>
      <c r="B2626" s="322" t="s">
        <v>90</v>
      </c>
      <c r="C2626" s="323" t="s">
        <v>2</v>
      </c>
      <c r="D2626" s="324" t="s">
        <v>204</v>
      </c>
      <c r="E2626" s="325" t="s">
        <v>225</v>
      </c>
      <c r="F2626" s="325" t="s">
        <v>161</v>
      </c>
      <c r="G2626" s="326" t="s">
        <v>3357</v>
      </c>
      <c r="H2626" s="244" t="s">
        <v>176</v>
      </c>
    </row>
    <row r="2627" spans="1:120" s="252" customFormat="1" ht="15" customHeight="1">
      <c r="A2627" s="310" t="s">
        <v>3693</v>
      </c>
      <c r="B2627" s="42">
        <v>20</v>
      </c>
      <c r="C2627" s="327">
        <v>30</v>
      </c>
      <c r="D2627" s="44" t="s">
        <v>211</v>
      </c>
      <c r="E2627" s="44" t="s">
        <v>3694</v>
      </c>
      <c r="F2627" s="336" t="s">
        <v>3699</v>
      </c>
      <c r="G2627" s="1184">
        <f>ROUNDUP(H2627/0.53/125,2)</f>
        <v>1.18</v>
      </c>
      <c r="H2627" s="1228">
        <v>78</v>
      </c>
      <c r="I2627" s="16"/>
      <c r="J2627" s="16"/>
      <c r="K2627" s="16"/>
      <c r="L2627" s="16"/>
      <c r="M2627" s="16"/>
      <c r="N2627" s="16"/>
      <c r="O2627" s="16"/>
      <c r="P2627" s="16"/>
      <c r="Q2627" s="16"/>
      <c r="R2627" s="16"/>
      <c r="S2627" s="16"/>
      <c r="T2627" s="16"/>
      <c r="U2627" s="16"/>
      <c r="V2627" s="16"/>
      <c r="W2627" s="16"/>
      <c r="X2627" s="16"/>
      <c r="Y2627" s="16"/>
      <c r="Z2627" s="16"/>
      <c r="AA2627" s="16"/>
      <c r="AB2627" s="16"/>
      <c r="AC2627" s="16"/>
      <c r="AD2627" s="16"/>
      <c r="AE2627" s="16"/>
      <c r="AF2627" s="16"/>
      <c r="AG2627" s="16"/>
      <c r="AH2627" s="16"/>
      <c r="AI2627" s="16"/>
      <c r="AJ2627" s="16"/>
      <c r="AK2627" s="16"/>
      <c r="AL2627" s="16"/>
      <c r="AM2627" s="16"/>
      <c r="AN2627" s="16"/>
      <c r="AO2627" s="16"/>
      <c r="AP2627" s="16"/>
      <c r="AQ2627" s="16"/>
      <c r="AR2627" s="16"/>
      <c r="AS2627" s="16"/>
      <c r="AT2627" s="16"/>
      <c r="AU2627" s="16"/>
      <c r="AV2627" s="16"/>
      <c r="AW2627" s="16"/>
      <c r="AX2627" s="16"/>
      <c r="AY2627" s="16"/>
      <c r="AZ2627" s="16"/>
      <c r="BA2627" s="16"/>
      <c r="BB2627" s="16"/>
      <c r="BC2627" s="16"/>
      <c r="BD2627" s="16"/>
      <c r="BE2627" s="16"/>
      <c r="BF2627" s="16"/>
      <c r="BG2627" s="16"/>
      <c r="BH2627" s="16"/>
      <c r="BI2627" s="16"/>
      <c r="BJ2627" s="16"/>
      <c r="BK2627" s="16"/>
      <c r="BL2627" s="16"/>
      <c r="BM2627" s="16"/>
      <c r="BN2627" s="16"/>
      <c r="BO2627" s="16"/>
      <c r="BP2627" s="16"/>
      <c r="BQ2627" s="16"/>
      <c r="BR2627" s="16"/>
      <c r="BS2627" s="16"/>
      <c r="BT2627" s="16"/>
      <c r="BU2627" s="16"/>
      <c r="BV2627" s="16"/>
      <c r="BW2627" s="16"/>
      <c r="BX2627" s="16"/>
      <c r="BY2627" s="16"/>
      <c r="BZ2627" s="16"/>
      <c r="CA2627" s="16"/>
      <c r="CB2627" s="16"/>
      <c r="CC2627" s="16"/>
      <c r="CD2627" s="16"/>
      <c r="CE2627" s="16"/>
      <c r="CF2627" s="16"/>
      <c r="CG2627" s="16"/>
      <c r="CH2627" s="16"/>
      <c r="CI2627" s="16"/>
      <c r="CJ2627" s="16"/>
      <c r="CK2627" s="16"/>
      <c r="CL2627" s="16"/>
      <c r="CM2627" s="16"/>
      <c r="CN2627" s="16"/>
      <c r="CO2627" s="16"/>
      <c r="CP2627" s="16"/>
      <c r="CQ2627" s="16"/>
      <c r="CR2627" s="16"/>
      <c r="CS2627" s="16"/>
      <c r="CT2627" s="16"/>
      <c r="CU2627" s="16"/>
      <c r="CV2627" s="16"/>
      <c r="CW2627" s="16"/>
      <c r="CX2627" s="16"/>
      <c r="CY2627" s="16"/>
      <c r="CZ2627" s="16"/>
      <c r="DA2627" s="16"/>
      <c r="DB2627" s="16"/>
      <c r="DC2627" s="16"/>
      <c r="DD2627" s="16"/>
      <c r="DE2627" s="16"/>
      <c r="DF2627" s="16"/>
      <c r="DG2627" s="16"/>
      <c r="DH2627" s="16"/>
      <c r="DI2627" s="16"/>
      <c r="DJ2627" s="16"/>
      <c r="DK2627" s="16"/>
      <c r="DL2627" s="16"/>
      <c r="DM2627" s="16"/>
      <c r="DN2627" s="16"/>
      <c r="DO2627" s="16"/>
      <c r="DP2627" s="16"/>
    </row>
    <row r="2628" spans="1:120">
      <c r="A2628" s="1474" t="s">
        <v>3701</v>
      </c>
    </row>
    <row r="2629" spans="1:120">
      <c r="A2629" s="1475" t="s">
        <v>3700</v>
      </c>
    </row>
    <row r="2630" spans="1:120">
      <c r="A2630" s="1476" t="s">
        <v>3702</v>
      </c>
    </row>
    <row r="2631" spans="1:120">
      <c r="A2631" s="1476" t="s">
        <v>3706</v>
      </c>
    </row>
    <row r="2633" spans="1:120" s="250" customFormat="1" ht="25.5">
      <c r="A2633" s="592" t="s">
        <v>171</v>
      </c>
      <c r="B2633" s="322" t="s">
        <v>90</v>
      </c>
      <c r="C2633" s="323" t="s">
        <v>2</v>
      </c>
      <c r="D2633" s="324" t="s">
        <v>204</v>
      </c>
      <c r="E2633" s="325" t="s">
        <v>225</v>
      </c>
      <c r="F2633" s="325" t="s">
        <v>161</v>
      </c>
      <c r="G2633" s="326" t="s">
        <v>3357</v>
      </c>
      <c r="H2633" s="244" t="s">
        <v>176</v>
      </c>
    </row>
    <row r="2634" spans="1:120" s="252" customFormat="1" ht="15" customHeight="1">
      <c r="A2634" s="310" t="s">
        <v>3703</v>
      </c>
      <c r="B2634" s="42">
        <v>20</v>
      </c>
      <c r="C2634" s="327">
        <v>30</v>
      </c>
      <c r="D2634" s="44" t="s">
        <v>211</v>
      </c>
      <c r="E2634" s="44" t="s">
        <v>3705</v>
      </c>
      <c r="F2634" s="44" t="s">
        <v>3704</v>
      </c>
      <c r="G2634" s="1184">
        <f>ROUNDUP(H2634/0.53/125,2)</f>
        <v>1.67</v>
      </c>
      <c r="H2634" s="1228">
        <v>110.5</v>
      </c>
      <c r="I2634" s="16"/>
      <c r="J2634" s="16"/>
      <c r="K2634" s="16"/>
      <c r="L2634" s="16"/>
      <c r="M2634" s="16"/>
      <c r="N2634" s="16"/>
      <c r="O2634" s="16"/>
      <c r="P2634" s="16"/>
      <c r="Q2634" s="16"/>
      <c r="R2634" s="16"/>
      <c r="S2634" s="16"/>
      <c r="T2634" s="16"/>
      <c r="U2634" s="16"/>
      <c r="V2634" s="16"/>
      <c r="W2634" s="16"/>
      <c r="X2634" s="16"/>
      <c r="Y2634" s="16"/>
      <c r="Z2634" s="16"/>
      <c r="AA2634" s="16"/>
      <c r="AB2634" s="16"/>
      <c r="AC2634" s="16"/>
      <c r="AD2634" s="16"/>
      <c r="AE2634" s="16"/>
      <c r="AF2634" s="16"/>
      <c r="AG2634" s="16"/>
      <c r="AH2634" s="16"/>
      <c r="AI2634" s="16"/>
      <c r="AJ2634" s="16"/>
      <c r="AK2634" s="16"/>
      <c r="AL2634" s="16"/>
      <c r="AM2634" s="16"/>
      <c r="AN2634" s="16"/>
      <c r="AO2634" s="16"/>
      <c r="AP2634" s="16"/>
      <c r="AQ2634" s="16"/>
      <c r="AR2634" s="16"/>
      <c r="AS2634" s="16"/>
      <c r="AT2634" s="16"/>
      <c r="AU2634" s="16"/>
      <c r="AV2634" s="16"/>
      <c r="AW2634" s="16"/>
      <c r="AX2634" s="16"/>
      <c r="AY2634" s="16"/>
      <c r="AZ2634" s="16"/>
      <c r="BA2634" s="16"/>
      <c r="BB2634" s="16"/>
      <c r="BC2634" s="16"/>
      <c r="BD2634" s="16"/>
      <c r="BE2634" s="16"/>
      <c r="BF2634" s="16"/>
      <c r="BG2634" s="16"/>
      <c r="BH2634" s="16"/>
      <c r="BI2634" s="16"/>
      <c r="BJ2634" s="16"/>
      <c r="BK2634" s="16"/>
      <c r="BL2634" s="16"/>
      <c r="BM2634" s="16"/>
      <c r="BN2634" s="16"/>
      <c r="BO2634" s="16"/>
      <c r="BP2634" s="16"/>
      <c r="BQ2634" s="16"/>
      <c r="BR2634" s="16"/>
      <c r="BS2634" s="16"/>
      <c r="BT2634" s="16"/>
      <c r="BU2634" s="16"/>
      <c r="BV2634" s="16"/>
      <c r="BW2634" s="16"/>
      <c r="BX2634" s="16"/>
      <c r="BY2634" s="16"/>
      <c r="BZ2634" s="16"/>
      <c r="CA2634" s="16"/>
      <c r="CB2634" s="16"/>
      <c r="CC2634" s="16"/>
      <c r="CD2634" s="16"/>
      <c r="CE2634" s="16"/>
      <c r="CF2634" s="16"/>
      <c r="CG2634" s="16"/>
      <c r="CH2634" s="16"/>
      <c r="CI2634" s="16"/>
      <c r="CJ2634" s="16"/>
      <c r="CK2634" s="16"/>
      <c r="CL2634" s="16"/>
      <c r="CM2634" s="16"/>
      <c r="CN2634" s="16"/>
      <c r="CO2634" s="16"/>
      <c r="CP2634" s="16"/>
      <c r="CQ2634" s="16"/>
      <c r="CR2634" s="16"/>
      <c r="CS2634" s="16"/>
      <c r="CT2634" s="16"/>
      <c r="CU2634" s="16"/>
      <c r="CV2634" s="16"/>
      <c r="CW2634" s="16"/>
      <c r="CX2634" s="16"/>
      <c r="CY2634" s="16"/>
      <c r="CZ2634" s="16"/>
      <c r="DA2634" s="16"/>
      <c r="DB2634" s="16"/>
      <c r="DC2634" s="16"/>
      <c r="DD2634" s="16"/>
      <c r="DE2634" s="16"/>
      <c r="DF2634" s="16"/>
      <c r="DG2634" s="16"/>
      <c r="DH2634" s="16"/>
      <c r="DI2634" s="16"/>
      <c r="DJ2634" s="16"/>
      <c r="DK2634" s="16"/>
      <c r="DL2634" s="16"/>
      <c r="DM2634" s="16"/>
      <c r="DN2634" s="16"/>
      <c r="DO2634" s="16"/>
      <c r="DP2634" s="16"/>
    </row>
    <row r="2635" spans="1:120">
      <c r="A2635" s="1474" t="s">
        <v>3707</v>
      </c>
    </row>
    <row r="2637" spans="1:120">
      <c r="A2637" s="289" t="s">
        <v>99</v>
      </c>
      <c r="B2637" s="289" t="s">
        <v>3654</v>
      </c>
      <c r="C2637" s="289" t="s">
        <v>203</v>
      </c>
      <c r="D2637" s="289" t="s">
        <v>163</v>
      </c>
      <c r="E2637" s="289" t="s">
        <v>197</v>
      </c>
      <c r="F2637" s="289" t="s">
        <v>198</v>
      </c>
      <c r="G2637" s="1422" t="s">
        <v>242</v>
      </c>
    </row>
    <row r="2638" spans="1:120">
      <c r="A2638" s="41">
        <v>3533</v>
      </c>
      <c r="B2638" s="1264">
        <v>20</v>
      </c>
      <c r="C2638" s="41" t="s">
        <v>3710</v>
      </c>
      <c r="D2638" s="296">
        <v>30</v>
      </c>
      <c r="E2638" s="297">
        <v>1</v>
      </c>
      <c r="F2638" s="298">
        <f>D2638*E2638</f>
        <v>30</v>
      </c>
      <c r="G2638" s="1184">
        <v>1.18</v>
      </c>
    </row>
    <row r="2639" spans="1:120">
      <c r="A2639" s="41">
        <v>3533</v>
      </c>
      <c r="B2639" s="1264">
        <v>20</v>
      </c>
      <c r="C2639" s="41" t="s">
        <v>37</v>
      </c>
      <c r="D2639" s="296">
        <v>30</v>
      </c>
      <c r="E2639" s="297">
        <v>1</v>
      </c>
      <c r="F2639" s="298">
        <f>D2639*E2639</f>
        <v>30</v>
      </c>
      <c r="G2639" s="1184">
        <v>1.18</v>
      </c>
    </row>
    <row r="2640" spans="1:120">
      <c r="A2640" s="1400"/>
      <c r="B2640" s="300"/>
      <c r="C2640" s="41"/>
      <c r="D2640" s="296"/>
      <c r="E2640" s="297"/>
      <c r="F2640" s="296"/>
      <c r="G2640" s="307"/>
    </row>
    <row r="2641" spans="1:7">
      <c r="A2641" s="41">
        <v>3540</v>
      </c>
      <c r="B2641" s="1264">
        <v>20</v>
      </c>
      <c r="C2641" s="41" t="s">
        <v>37</v>
      </c>
      <c r="D2641" s="296">
        <v>30</v>
      </c>
      <c r="E2641" s="297">
        <v>1</v>
      </c>
      <c r="F2641" s="298">
        <f>D2641*E2641</f>
        <v>30</v>
      </c>
      <c r="G2641" s="1184">
        <v>1.67</v>
      </c>
    </row>
    <row r="2642" spans="1:7">
      <c r="A2642" s="41">
        <v>3540</v>
      </c>
      <c r="B2642" s="1264">
        <v>20</v>
      </c>
      <c r="C2642" s="41" t="s">
        <v>65</v>
      </c>
      <c r="D2642" s="296">
        <v>30</v>
      </c>
      <c r="E2642" s="297">
        <v>1</v>
      </c>
      <c r="F2642" s="298">
        <f>D2642*E2642</f>
        <v>30</v>
      </c>
      <c r="G2642" s="1184">
        <v>1.67</v>
      </c>
    </row>
    <row r="2643" spans="1:7">
      <c r="A2643" s="41"/>
      <c r="B2643" s="136"/>
      <c r="C2643" s="136" t="s">
        <v>218</v>
      </c>
      <c r="D2643" s="292"/>
      <c r="E2643" s="297"/>
      <c r="F2643" s="292">
        <v>1</v>
      </c>
      <c r="G2643" s="1181">
        <v>12</v>
      </c>
    </row>
    <row r="2645" spans="1:7">
      <c r="A2645" s="295" t="s">
        <v>40</v>
      </c>
      <c r="B2645" s="295" t="s">
        <v>90</v>
      </c>
      <c r="C2645" s="295" t="s">
        <v>203</v>
      </c>
      <c r="D2645" s="289" t="s">
        <v>18</v>
      </c>
      <c r="E2645" s="289" t="s">
        <v>3715</v>
      </c>
    </row>
    <row r="2646" spans="1:7">
      <c r="A2646" s="1417" t="s">
        <v>3529</v>
      </c>
      <c r="B2646" s="42" t="s">
        <v>2491</v>
      </c>
      <c r="C2646" s="41" t="s">
        <v>2774</v>
      </c>
      <c r="D2646" s="298" t="s">
        <v>3714</v>
      </c>
      <c r="E2646" s="1184">
        <v>23.35</v>
      </c>
    </row>
    <row r="2647" spans="1:7">
      <c r="A2647" s="41"/>
      <c r="B2647" s="136"/>
      <c r="C2647" s="136" t="s">
        <v>218</v>
      </c>
      <c r="D2647" s="292">
        <v>1</v>
      </c>
      <c r="E2647" s="1181">
        <v>12</v>
      </c>
    </row>
    <row r="2650" spans="1:7">
      <c r="A2650" s="295" t="s">
        <v>40</v>
      </c>
      <c r="B2650" s="289" t="s">
        <v>18</v>
      </c>
      <c r="C2650" s="289" t="s">
        <v>3719</v>
      </c>
      <c r="D2650" s="289" t="s">
        <v>3716</v>
      </c>
      <c r="E2650" s="289" t="s">
        <v>3717</v>
      </c>
      <c r="F2650" s="1479" t="s">
        <v>3718</v>
      </c>
      <c r="G2650" s="289" t="s">
        <v>3720</v>
      </c>
    </row>
    <row r="2651" spans="1:7">
      <c r="A2651" s="1417" t="s">
        <v>3529</v>
      </c>
      <c r="B2651" s="43">
        <v>15</v>
      </c>
      <c r="C2651" s="1183">
        <v>16.5</v>
      </c>
      <c r="D2651" s="1276">
        <f>C2651*B2651</f>
        <v>247.5</v>
      </c>
      <c r="E2651" s="1478">
        <f>D2651*130</f>
        <v>32175</v>
      </c>
      <c r="F2651" s="1478">
        <v>31200</v>
      </c>
      <c r="G2651" s="1478">
        <f>E2651-F2651</f>
        <v>975</v>
      </c>
    </row>
    <row r="2652" spans="1:7">
      <c r="A2652" s="1417"/>
      <c r="B2652" s="43" t="s">
        <v>3721</v>
      </c>
      <c r="C2652" s="1183">
        <v>12</v>
      </c>
      <c r="D2652" s="1276">
        <v>12</v>
      </c>
      <c r="E2652" s="1478">
        <f>D2652*130</f>
        <v>1560</v>
      </c>
      <c r="F2652" s="1478">
        <v>0</v>
      </c>
      <c r="G2652" s="1478">
        <f>E2652-F2652</f>
        <v>1560</v>
      </c>
    </row>
    <row r="2653" spans="1:7">
      <c r="F2653" s="289" t="s">
        <v>3722</v>
      </c>
      <c r="G2653" s="1480">
        <f>SUM(G2651:G2652)</f>
        <v>2535</v>
      </c>
    </row>
    <row r="2655" spans="1:7">
      <c r="A2655" t="s">
        <v>3741</v>
      </c>
    </row>
    <row r="2656" spans="1:7">
      <c r="A2656" s="1481" t="s">
        <v>40</v>
      </c>
      <c r="B2656" s="295" t="s">
        <v>3726</v>
      </c>
      <c r="C2656" s="295" t="s">
        <v>203</v>
      </c>
      <c r="D2656" s="295" t="s">
        <v>3725</v>
      </c>
      <c r="E2656" s="295" t="s">
        <v>3730</v>
      </c>
    </row>
    <row r="2657" spans="1:6">
      <c r="A2657" s="1417" t="s">
        <v>3529</v>
      </c>
      <c r="B2657" s="360" t="s">
        <v>3727</v>
      </c>
      <c r="C2657" s="302" t="s">
        <v>3724</v>
      </c>
      <c r="D2657" s="1482" t="s">
        <v>3728</v>
      </c>
      <c r="E2657" s="1184">
        <v>20.350000000000001</v>
      </c>
    </row>
    <row r="2658" spans="1:6">
      <c r="A2658" s="1417" t="s">
        <v>3723</v>
      </c>
      <c r="B2658" s="360" t="s">
        <v>3727</v>
      </c>
      <c r="C2658" s="302" t="s">
        <v>3724</v>
      </c>
      <c r="D2658" s="1482" t="s">
        <v>3729</v>
      </c>
      <c r="E2658" s="1184">
        <v>20.350000000000001</v>
      </c>
    </row>
    <row r="2660" spans="1:6">
      <c r="A2660" s="295" t="s">
        <v>40</v>
      </c>
      <c r="B2660" s="295" t="s">
        <v>90</v>
      </c>
      <c r="C2660" s="295" t="s">
        <v>203</v>
      </c>
      <c r="D2660" s="289" t="s">
        <v>18</v>
      </c>
      <c r="E2660" s="289" t="s">
        <v>212</v>
      </c>
    </row>
    <row r="2661" spans="1:6">
      <c r="A2661" s="1417" t="s">
        <v>3529</v>
      </c>
      <c r="B2661" s="42" t="s">
        <v>2491</v>
      </c>
      <c r="C2661" s="41" t="s">
        <v>2774</v>
      </c>
      <c r="D2661" s="298">
        <v>15</v>
      </c>
      <c r="E2661" s="1184">
        <v>16.5</v>
      </c>
    </row>
    <row r="2662" spans="1:6">
      <c r="A2662" s="41"/>
      <c r="B2662" s="136"/>
      <c r="C2662" s="136" t="s">
        <v>218</v>
      </c>
      <c r="D2662" s="292">
        <v>1</v>
      </c>
      <c r="E2662" s="1181">
        <v>12</v>
      </c>
    </row>
    <row r="2663" spans="1:6">
      <c r="A2663" s="1485"/>
      <c r="B2663" s="1208"/>
      <c r="C2663" s="1208"/>
      <c r="D2663" s="1209"/>
      <c r="E2663" s="1211"/>
    </row>
    <row r="2664" spans="1:6">
      <c r="A2664" t="s">
        <v>3740</v>
      </c>
    </row>
    <row r="2665" spans="1:6">
      <c r="A2665" s="295" t="s">
        <v>40</v>
      </c>
      <c r="B2665" s="289" t="s">
        <v>203</v>
      </c>
      <c r="C2665" s="289" t="s">
        <v>198</v>
      </c>
      <c r="D2665" s="1422" t="s">
        <v>242</v>
      </c>
      <c r="E2665" s="1422" t="s">
        <v>3739</v>
      </c>
    </row>
    <row r="2666" spans="1:6">
      <c r="A2666" s="1400" t="s">
        <v>3732</v>
      </c>
      <c r="B2666" s="1400"/>
      <c r="C2666" s="298"/>
      <c r="D2666" s="44" t="s">
        <v>8</v>
      </c>
      <c r="E2666" s="688"/>
    </row>
    <row r="2667" spans="1:6">
      <c r="A2667" s="1182" t="s">
        <v>3733</v>
      </c>
      <c r="B2667" s="41" t="s">
        <v>3734</v>
      </c>
      <c r="C2667" s="298">
        <v>150</v>
      </c>
      <c r="D2667" s="1184">
        <v>2.09</v>
      </c>
      <c r="E2667" s="1276">
        <f>D2667*C2667</f>
        <v>313.5</v>
      </c>
      <c r="F2667">
        <v>138</v>
      </c>
    </row>
    <row r="2668" spans="1:6">
      <c r="A2668" s="1182" t="s">
        <v>3733</v>
      </c>
      <c r="B2668" s="41" t="s">
        <v>3735</v>
      </c>
      <c r="C2668" s="298">
        <v>300</v>
      </c>
      <c r="D2668" s="1184">
        <v>2.09</v>
      </c>
      <c r="E2668" s="1276">
        <f>D2668*C2668</f>
        <v>627</v>
      </c>
      <c r="F2668">
        <v>138</v>
      </c>
    </row>
    <row r="2669" spans="1:6">
      <c r="A2669" s="1182"/>
      <c r="B2669" s="41"/>
      <c r="C2669" s="298"/>
      <c r="D2669" s="1184"/>
      <c r="E2669" s="1276"/>
    </row>
    <row r="2670" spans="1:6">
      <c r="A2670" s="1400" t="s">
        <v>3736</v>
      </c>
      <c r="B2670" s="41"/>
      <c r="C2670" s="298"/>
      <c r="D2670" s="44" t="s">
        <v>8</v>
      </c>
      <c r="E2670" s="688"/>
    </row>
    <row r="2671" spans="1:6">
      <c r="A2671" s="1182" t="s">
        <v>3737</v>
      </c>
      <c r="B2671" s="41" t="s">
        <v>3734</v>
      </c>
      <c r="C2671" s="298">
        <v>150</v>
      </c>
      <c r="D2671" s="1184">
        <v>2.65</v>
      </c>
      <c r="E2671" s="1276">
        <f>D2671*C2671</f>
        <v>397.5</v>
      </c>
      <c r="F2671">
        <v>175</v>
      </c>
    </row>
    <row r="2672" spans="1:6">
      <c r="A2672" s="1182" t="s">
        <v>3737</v>
      </c>
      <c r="B2672" s="41" t="s">
        <v>3735</v>
      </c>
      <c r="C2672" s="298">
        <v>300</v>
      </c>
      <c r="D2672" s="1184">
        <v>2.65</v>
      </c>
      <c r="E2672" s="1276">
        <f>D2672*C2672</f>
        <v>795</v>
      </c>
      <c r="F2672">
        <v>175</v>
      </c>
    </row>
    <row r="2673" spans="1:6">
      <c r="A2673" s="41"/>
      <c r="B2673" s="136" t="s">
        <v>3738</v>
      </c>
      <c r="C2673" s="292">
        <v>4</v>
      </c>
      <c r="D2673" s="1181">
        <v>60</v>
      </c>
      <c r="E2673" s="1276">
        <f>D2673*C2673</f>
        <v>240</v>
      </c>
      <c r="F2673">
        <v>6000</v>
      </c>
    </row>
    <row r="2674" spans="1:6">
      <c r="A2674" s="41"/>
      <c r="B2674" s="136"/>
      <c r="C2674" s="292"/>
      <c r="D2674" s="1487" t="s">
        <v>3746</v>
      </c>
      <c r="E2674" s="1488">
        <f>SUM(E2667:E2673)</f>
        <v>2373</v>
      </c>
    </row>
    <row r="2675" spans="1:6">
      <c r="A2675" s="1486" t="s">
        <v>3742</v>
      </c>
    </row>
    <row r="2677" spans="1:6">
      <c r="A2677" s="295" t="s">
        <v>40</v>
      </c>
      <c r="B2677" s="289" t="s">
        <v>203</v>
      </c>
      <c r="C2677" s="289" t="s">
        <v>3744</v>
      </c>
      <c r="D2677" s="1422" t="s">
        <v>242</v>
      </c>
      <c r="E2677" s="1422" t="s">
        <v>3739</v>
      </c>
    </row>
    <row r="2678" spans="1:6">
      <c r="A2678" s="1400" t="s">
        <v>3732</v>
      </c>
      <c r="B2678" s="1400"/>
      <c r="C2678" s="298"/>
      <c r="D2678" s="44" t="s">
        <v>8</v>
      </c>
      <c r="E2678" s="688"/>
    </row>
    <row r="2679" spans="1:6">
      <c r="A2679" s="1182" t="s">
        <v>3733</v>
      </c>
      <c r="B2679" s="41" t="s">
        <v>3743</v>
      </c>
      <c r="C2679" s="298" t="s">
        <v>3745</v>
      </c>
      <c r="D2679" s="1184">
        <f>ROUNDUP(F2679/0.53/125,2)</f>
        <v>2.6199999999999997</v>
      </c>
      <c r="E2679" s="1276" t="e">
        <f>D2679*C2679</f>
        <v>#VALUE!</v>
      </c>
      <c r="F2679">
        <f>103+70</f>
        <v>173</v>
      </c>
    </row>
    <row r="2680" spans="1:6">
      <c r="A2680" s="1400" t="s">
        <v>3736</v>
      </c>
      <c r="B2680" s="41"/>
      <c r="C2680" s="298"/>
      <c r="D2680" s="44" t="s">
        <v>8</v>
      </c>
      <c r="E2680" s="688"/>
    </row>
    <row r="2681" spans="1:6">
      <c r="A2681" s="1182" t="s">
        <v>3737</v>
      </c>
      <c r="B2681" s="41" t="s">
        <v>3743</v>
      </c>
      <c r="C2681" s="298" t="s">
        <v>3745</v>
      </c>
      <c r="D2681" s="1184">
        <f>ROUNDUP(F2681/0.53/125,2)</f>
        <v>3.05</v>
      </c>
      <c r="E2681" s="1276" t="e">
        <f>D2681*C2681</f>
        <v>#VALUE!</v>
      </c>
      <c r="F2681">
        <f>132+70</f>
        <v>202</v>
      </c>
    </row>
    <row r="2682" spans="1:6">
      <c r="A2682" s="41"/>
      <c r="B2682" s="136" t="s">
        <v>3738</v>
      </c>
      <c r="C2682" s="292">
        <v>1</v>
      </c>
      <c r="D2682" s="1181">
        <v>130</v>
      </c>
      <c r="E2682" s="1276">
        <f>D2682*C2682</f>
        <v>130</v>
      </c>
      <c r="F2682">
        <f>7000+6000</f>
        <v>13000</v>
      </c>
    </row>
    <row r="2684" spans="1:6">
      <c r="A2684" s="295" t="s">
        <v>40</v>
      </c>
      <c r="B2684" s="289" t="s">
        <v>203</v>
      </c>
      <c r="C2684" s="289" t="s">
        <v>198</v>
      </c>
      <c r="D2684" s="1422" t="s">
        <v>242</v>
      </c>
      <c r="E2684" s="1422" t="s">
        <v>3739</v>
      </c>
    </row>
    <row r="2685" spans="1:6">
      <c r="A2685" s="1400" t="s">
        <v>3732</v>
      </c>
      <c r="B2685" s="41"/>
      <c r="C2685" s="298"/>
      <c r="D2685" s="44" t="s">
        <v>8</v>
      </c>
      <c r="E2685" s="688"/>
    </row>
    <row r="2686" spans="1:6">
      <c r="A2686" s="1182" t="s">
        <v>3733</v>
      </c>
      <c r="B2686" s="41" t="s">
        <v>3747</v>
      </c>
      <c r="C2686" s="298">
        <v>150</v>
      </c>
      <c r="D2686" s="1184">
        <v>1.56</v>
      </c>
      <c r="E2686" s="1276">
        <f>D2686*C2686</f>
        <v>234</v>
      </c>
    </row>
    <row r="2687" spans="1:6">
      <c r="A2687" s="1182" t="s">
        <v>3733</v>
      </c>
      <c r="B2687" s="41" t="s">
        <v>3734</v>
      </c>
      <c r="C2687" s="298">
        <v>150</v>
      </c>
      <c r="D2687" s="1184">
        <v>2.09</v>
      </c>
      <c r="E2687" s="1276">
        <f>D2687*C2687</f>
        <v>313.5</v>
      </c>
    </row>
    <row r="2688" spans="1:6">
      <c r="A2688" s="1182" t="s">
        <v>3733</v>
      </c>
      <c r="B2688" s="41" t="s">
        <v>3735</v>
      </c>
      <c r="C2688" s="298">
        <v>150</v>
      </c>
      <c r="D2688" s="1184">
        <v>2.09</v>
      </c>
      <c r="E2688" s="1276">
        <f>D2688*C2688</f>
        <v>313.5</v>
      </c>
    </row>
    <row r="2689" spans="1:7">
      <c r="A2689" s="1182"/>
      <c r="B2689" s="41"/>
      <c r="C2689" s="298"/>
      <c r="D2689" s="1184"/>
      <c r="E2689" s="1276"/>
    </row>
    <row r="2690" spans="1:7">
      <c r="A2690" s="1400" t="s">
        <v>3736</v>
      </c>
      <c r="B2690" s="41"/>
      <c r="C2690" s="298"/>
      <c r="D2690" s="44" t="s">
        <v>8</v>
      </c>
      <c r="E2690" s="688"/>
    </row>
    <row r="2691" spans="1:7">
      <c r="A2691" s="1182" t="s">
        <v>3737</v>
      </c>
      <c r="B2691" s="41" t="s">
        <v>3747</v>
      </c>
      <c r="C2691" s="298">
        <v>150</v>
      </c>
      <c r="D2691" s="1184">
        <v>2</v>
      </c>
      <c r="E2691" s="1276">
        <f>D2691*C2691</f>
        <v>300</v>
      </c>
    </row>
    <row r="2692" spans="1:7">
      <c r="A2692" s="1182" t="s">
        <v>3737</v>
      </c>
      <c r="B2692" s="41" t="s">
        <v>3734</v>
      </c>
      <c r="C2692" s="298">
        <v>150</v>
      </c>
      <c r="D2692" s="1184">
        <v>2.65</v>
      </c>
      <c r="E2692" s="1276">
        <f>D2692*C2692</f>
        <v>397.5</v>
      </c>
    </row>
    <row r="2693" spans="1:7">
      <c r="A2693" s="1182" t="s">
        <v>3737</v>
      </c>
      <c r="B2693" s="41" t="s">
        <v>3735</v>
      </c>
      <c r="C2693" s="298">
        <v>150</v>
      </c>
      <c r="D2693" s="1184">
        <v>2.65</v>
      </c>
      <c r="E2693" s="1276">
        <f>D2693*C2693</f>
        <v>397.5</v>
      </c>
    </row>
    <row r="2694" spans="1:7">
      <c r="A2694" s="41"/>
      <c r="B2694" s="136" t="s">
        <v>3738</v>
      </c>
      <c r="C2694" s="292">
        <v>6</v>
      </c>
      <c r="D2694" s="1181">
        <v>60</v>
      </c>
      <c r="E2694" s="1276">
        <f>D2694*C2694</f>
        <v>360</v>
      </c>
    </row>
    <row r="2695" spans="1:7">
      <c r="D2695" s="1487" t="s">
        <v>89</v>
      </c>
      <c r="E2695" s="1488">
        <f>SUM(E2686:E2694)</f>
        <v>2316</v>
      </c>
    </row>
    <row r="2696" spans="1:7">
      <c r="A2696" t="s">
        <v>3748</v>
      </c>
    </row>
    <row r="2697" spans="1:7">
      <c r="A2697" s="295" t="s">
        <v>40</v>
      </c>
      <c r="B2697" s="295" t="s">
        <v>16</v>
      </c>
      <c r="C2697" s="289" t="s">
        <v>163</v>
      </c>
      <c r="D2697" s="320" t="s">
        <v>204</v>
      </c>
      <c r="E2697" s="321" t="s">
        <v>3349</v>
      </c>
    </row>
    <row r="2698" spans="1:7">
      <c r="A2698" s="41" t="s">
        <v>53</v>
      </c>
      <c r="B2698" s="41" t="s">
        <v>3351</v>
      </c>
      <c r="C2698" s="296">
        <v>20</v>
      </c>
      <c r="D2698" s="44" t="s">
        <v>211</v>
      </c>
      <c r="E2698" s="1181">
        <f>ROUNDUP(F2698/0.53/125,2)</f>
        <v>2.7699999999999996</v>
      </c>
      <c r="F2698">
        <v>183</v>
      </c>
    </row>
    <row r="2699" spans="1:7">
      <c r="A2699" s="41" t="s">
        <v>54</v>
      </c>
      <c r="B2699" s="41" t="s">
        <v>14</v>
      </c>
      <c r="C2699" s="296">
        <v>20</v>
      </c>
      <c r="D2699" s="44" t="s">
        <v>211</v>
      </c>
      <c r="E2699" s="1181">
        <f>ROUNDUP(F2699/0.53/125,2)</f>
        <v>3.48</v>
      </c>
      <c r="F2699">
        <v>230</v>
      </c>
    </row>
    <row r="2701" spans="1:7">
      <c r="A2701" s="289" t="s">
        <v>99</v>
      </c>
      <c r="B2701" s="289" t="s">
        <v>3654</v>
      </c>
      <c r="C2701" s="289" t="s">
        <v>203</v>
      </c>
      <c r="D2701" s="289" t="s">
        <v>163</v>
      </c>
      <c r="E2701" s="289" t="s">
        <v>197</v>
      </c>
      <c r="F2701" s="289" t="s">
        <v>198</v>
      </c>
      <c r="G2701" s="1422" t="s">
        <v>242</v>
      </c>
    </row>
    <row r="2702" spans="1:7">
      <c r="A2702" s="41">
        <v>3717</v>
      </c>
      <c r="B2702" s="42">
        <v>19</v>
      </c>
      <c r="C2702" s="41" t="s">
        <v>2798</v>
      </c>
      <c r="D2702" s="296">
        <v>30</v>
      </c>
      <c r="E2702" s="297">
        <v>4</v>
      </c>
      <c r="F2702" s="298">
        <f>D2702*E2702</f>
        <v>120</v>
      </c>
      <c r="G2702" s="1184">
        <v>0.39</v>
      </c>
    </row>
    <row r="2703" spans="1:7">
      <c r="A2703" s="41">
        <v>3717</v>
      </c>
      <c r="B2703" s="42">
        <v>19</v>
      </c>
      <c r="C2703" s="41" t="s">
        <v>2799</v>
      </c>
      <c r="D2703" s="296">
        <v>30</v>
      </c>
      <c r="E2703" s="297">
        <v>4</v>
      </c>
      <c r="F2703" s="298">
        <f>D2703*E2703</f>
        <v>120</v>
      </c>
      <c r="G2703" s="1184">
        <v>0.39</v>
      </c>
    </row>
    <row r="2704" spans="1:7">
      <c r="A2704" s="41"/>
      <c r="B2704" s="136"/>
      <c r="C2704" s="136" t="s">
        <v>218</v>
      </c>
      <c r="D2704" s="292"/>
      <c r="E2704" s="297"/>
      <c r="F2704" s="292">
        <v>1</v>
      </c>
      <c r="G2704" s="1181">
        <v>12</v>
      </c>
    </row>
    <row r="2706" spans="1:5">
      <c r="A2706" t="s">
        <v>3750</v>
      </c>
    </row>
    <row r="2719" spans="1:5">
      <c r="A2719" s="295" t="s">
        <v>40</v>
      </c>
      <c r="B2719" s="295" t="s">
        <v>16</v>
      </c>
      <c r="C2719" s="289" t="s">
        <v>3752</v>
      </c>
      <c r="D2719" s="321" t="s">
        <v>3753</v>
      </c>
    </row>
    <row r="2720" spans="1:5">
      <c r="A2720" s="314" t="s">
        <v>3754</v>
      </c>
      <c r="B2720" s="41" t="s">
        <v>3751</v>
      </c>
      <c r="C2720" s="41" t="s">
        <v>3756</v>
      </c>
      <c r="D2720" s="1489">
        <f>ROUNDUP(E2720/0.8/120,2)</f>
        <v>38.03</v>
      </c>
      <c r="E2720" s="131">
        <f>3550+100</f>
        <v>3650</v>
      </c>
    </row>
    <row r="2721" spans="1:5">
      <c r="A2721" s="314" t="s">
        <v>3755</v>
      </c>
      <c r="B2721" s="41" t="s">
        <v>3751</v>
      </c>
      <c r="C2721" s="41" t="s">
        <v>3756</v>
      </c>
      <c r="D2721" s="1489">
        <f>ROUNDUP(E2721/0.8/120,2)</f>
        <v>37.5</v>
      </c>
      <c r="E2721" s="131">
        <f>3500+100</f>
        <v>3600</v>
      </c>
    </row>
    <row r="2722" spans="1:5">
      <c r="A2722" t="s">
        <v>3758</v>
      </c>
      <c r="E2722" t="s">
        <v>3757</v>
      </c>
    </row>
    <row r="2723" spans="1:5">
      <c r="A2723" t="s">
        <v>3760</v>
      </c>
      <c r="E2723" t="s">
        <v>3759</v>
      </c>
    </row>
    <row r="2725" spans="1:5">
      <c r="A2725" t="s">
        <v>3761</v>
      </c>
    </row>
    <row r="2726" spans="1:5">
      <c r="A2726" s="295" t="s">
        <v>40</v>
      </c>
      <c r="B2726" s="295" t="s">
        <v>16</v>
      </c>
      <c r="C2726" s="289" t="s">
        <v>3752</v>
      </c>
      <c r="D2726" s="321" t="s">
        <v>3753</v>
      </c>
    </row>
    <row r="2727" spans="1:5">
      <c r="A2727" s="314" t="s">
        <v>3763</v>
      </c>
      <c r="B2727" s="41" t="s">
        <v>3762</v>
      </c>
      <c r="C2727" s="41" t="s">
        <v>3756</v>
      </c>
      <c r="D2727" s="1489">
        <f>ROUNDUP(E2727/0.8/120,2)</f>
        <v>26.78</v>
      </c>
      <c r="E2727" s="131">
        <f>2470+100</f>
        <v>2570</v>
      </c>
    </row>
    <row r="2730" spans="1:5" ht="20.25" thickBot="1">
      <c r="A2730" s="375" t="s">
        <v>3787</v>
      </c>
      <c r="D2730" s="375"/>
    </row>
    <row r="2731" spans="1:5" ht="14.25" thickBot="1">
      <c r="A2731" s="2073" t="s">
        <v>3792</v>
      </c>
      <c r="B2731" s="2074"/>
      <c r="D2731" s="2073" t="s">
        <v>3792</v>
      </c>
      <c r="E2731" s="2074"/>
    </row>
    <row r="2732" spans="1:5" ht="14.25" thickBot="1">
      <c r="A2732" s="1498" t="s">
        <v>3793</v>
      </c>
      <c r="B2732" s="1499">
        <f>ROUNDUP((E2732+20)/0.8/125,2)</f>
        <v>10.1</v>
      </c>
      <c r="C2732" s="1497"/>
      <c r="E2732" s="131">
        <v>990</v>
      </c>
    </row>
    <row r="2733" spans="1:5" ht="14.25" thickBot="1">
      <c r="A2733" s="1498" t="s">
        <v>3794</v>
      </c>
      <c r="B2733" s="1499">
        <f>ROUNDUP(E2733/0.8/125,2)</f>
        <v>12.9</v>
      </c>
      <c r="C2733" s="1497"/>
      <c r="E2733" s="131">
        <f>990+300</f>
        <v>1290</v>
      </c>
    </row>
    <row r="2734" spans="1:5" ht="20.25" thickBot="1">
      <c r="A2734" s="375"/>
      <c r="D2734" s="375"/>
    </row>
    <row r="2735" spans="1:5" ht="14.25" thickBot="1">
      <c r="A2735" s="2073" t="s">
        <v>3788</v>
      </c>
      <c r="B2735" s="2074"/>
      <c r="D2735" s="2073" t="s">
        <v>3788</v>
      </c>
      <c r="E2735" s="2074"/>
    </row>
    <row r="2736" spans="1:5" ht="18" thickBot="1">
      <c r="A2736" s="1495" t="s">
        <v>298</v>
      </c>
      <c r="B2736" s="1491" t="s">
        <v>3765</v>
      </c>
      <c r="D2736" s="1492" t="s">
        <v>3766</v>
      </c>
      <c r="E2736" s="1493" t="s">
        <v>3767</v>
      </c>
    </row>
    <row r="2737" spans="1:10" ht="18" thickBot="1">
      <c r="A2737" s="1495" t="s">
        <v>299</v>
      </c>
      <c r="B2737" s="1491" t="s">
        <v>3768</v>
      </c>
      <c r="D2737" s="1492" t="s">
        <v>3769</v>
      </c>
      <c r="E2737" s="1493" t="s">
        <v>3770</v>
      </c>
    </row>
    <row r="2738" spans="1:10" ht="18" thickBot="1">
      <c r="A2738" s="1490" t="s">
        <v>3771</v>
      </c>
      <c r="B2738" s="1491" t="s">
        <v>3789</v>
      </c>
      <c r="D2738" s="1492" t="s">
        <v>3773</v>
      </c>
      <c r="E2738" s="1491" t="s">
        <v>3789</v>
      </c>
    </row>
    <row r="2739" spans="1:10" ht="18" thickBot="1">
      <c r="A2739" s="1490" t="s">
        <v>3791</v>
      </c>
      <c r="B2739" s="1491" t="s">
        <v>3772</v>
      </c>
      <c r="D2739" s="1492" t="s">
        <v>3774</v>
      </c>
      <c r="E2739" s="1491" t="s">
        <v>3772</v>
      </c>
    </row>
    <row r="2740" spans="1:10" ht="18" thickBot="1">
      <c r="A2740" s="1490" t="s">
        <v>3790</v>
      </c>
      <c r="B2740" s="1491" t="s">
        <v>3772</v>
      </c>
      <c r="D2740" s="1492" t="s">
        <v>3775</v>
      </c>
      <c r="E2740" s="1491" t="s">
        <v>3772</v>
      </c>
    </row>
    <row r="2741" spans="1:10" ht="18" thickBot="1">
      <c r="A2741" s="1490" t="s">
        <v>3776</v>
      </c>
      <c r="B2741" s="1496">
        <f>ROUNDUP(E2741/0.8/125,2)</f>
        <v>17.600000000000001</v>
      </c>
      <c r="D2741" s="1492" t="s">
        <v>3777</v>
      </c>
      <c r="E2741" s="1494">
        <v>1760</v>
      </c>
    </row>
    <row r="2742" spans="1:10" ht="18" thickBot="1">
      <c r="A2742" s="1490" t="s">
        <v>3778</v>
      </c>
      <c r="B2742" s="1496">
        <f>ROUNDUP((E2742+20)/0.8/125,2)</f>
        <v>10.1</v>
      </c>
      <c r="C2742" t="s">
        <v>3779</v>
      </c>
      <c r="D2742" s="1492" t="s">
        <v>3780</v>
      </c>
      <c r="E2742" s="1494">
        <v>990</v>
      </c>
    </row>
    <row r="2743" spans="1:10" ht="18" thickBot="1">
      <c r="A2743" s="1495" t="s">
        <v>3781</v>
      </c>
      <c r="B2743" s="1496">
        <f>ROUNDUP(E2743/0.8/125,2)</f>
        <v>15.7</v>
      </c>
      <c r="D2743" s="1492" t="s">
        <v>3782</v>
      </c>
      <c r="E2743" s="1494">
        <v>1570</v>
      </c>
    </row>
    <row r="2744" spans="1:10" ht="18" thickBot="1">
      <c r="A2744" s="1495" t="s">
        <v>3783</v>
      </c>
      <c r="B2744" s="1496">
        <f>ROUNDUP(E2744/0.8/125,2)</f>
        <v>13.8</v>
      </c>
      <c r="D2744" s="1492" t="s">
        <v>3784</v>
      </c>
      <c r="E2744" s="1494">
        <v>1380</v>
      </c>
    </row>
    <row r="2745" spans="1:10" ht="18" thickBot="1">
      <c r="A2745" s="1495" t="s">
        <v>3785</v>
      </c>
      <c r="B2745" s="1496">
        <f>ROUNDUP((E2745+20)/0.8/125,2)</f>
        <v>12.1</v>
      </c>
      <c r="C2745" t="s">
        <v>3779</v>
      </c>
      <c r="D2745" s="1492" t="s">
        <v>3786</v>
      </c>
      <c r="E2745" s="1494">
        <v>1190</v>
      </c>
    </row>
    <row r="2746" spans="1:10">
      <c r="A2746" s="337"/>
      <c r="B2746" s="337"/>
    </row>
    <row r="2748" spans="1:10" s="1504" customFormat="1" ht="37.5">
      <c r="A2748" s="1500" t="s">
        <v>3795</v>
      </c>
      <c r="B2748" s="1516" t="s">
        <v>3796</v>
      </c>
      <c r="C2748" s="1500" t="s">
        <v>3797</v>
      </c>
      <c r="D2748" s="1500" t="s">
        <v>3798</v>
      </c>
      <c r="E2748" s="1517" t="s">
        <v>3839</v>
      </c>
      <c r="F2748" s="1501" t="s">
        <v>3799</v>
      </c>
      <c r="G2748" s="1082" t="s">
        <v>3800</v>
      </c>
      <c r="H2748" s="1502" t="s">
        <v>3801</v>
      </c>
      <c r="I2748" s="1503"/>
    </row>
    <row r="2749" spans="1:10" s="1504" customFormat="1" ht="18.75">
      <c r="A2749" s="1500">
        <v>365110</v>
      </c>
      <c r="B2749" s="1514"/>
      <c r="C2749" s="1511" t="s">
        <v>3817</v>
      </c>
      <c r="D2749" s="1500" t="s">
        <v>3838</v>
      </c>
      <c r="E2749" s="1501">
        <v>205</v>
      </c>
      <c r="F2749" s="1501"/>
      <c r="G2749" s="1082"/>
      <c r="H2749" s="1502"/>
      <c r="I2749" s="1503"/>
    </row>
    <row r="2750" spans="1:10" s="1504" customFormat="1" ht="18.75">
      <c r="A2750" s="1500" t="s">
        <v>3837</v>
      </c>
      <c r="B2750" s="1514"/>
      <c r="C2750" s="1511" t="s">
        <v>3817</v>
      </c>
      <c r="D2750" s="1500" t="s">
        <v>3838</v>
      </c>
      <c r="E2750" s="1501">
        <v>220</v>
      </c>
      <c r="F2750" s="1501"/>
      <c r="G2750" s="1082"/>
      <c r="H2750" s="1502"/>
      <c r="I2750" s="1503"/>
    </row>
    <row r="2751" spans="1:10" s="1508" customFormat="1" ht="18.75" customHeight="1">
      <c r="A2751" s="1505" t="s">
        <v>3802</v>
      </c>
      <c r="B2751" s="1500"/>
      <c r="C2751" s="1511" t="s">
        <v>3817</v>
      </c>
      <c r="D2751" s="1500" t="s">
        <v>3804</v>
      </c>
      <c r="E2751" s="1501">
        <v>275</v>
      </c>
      <c r="F2751" s="1506">
        <v>35</v>
      </c>
      <c r="G2751" s="1518" t="s">
        <v>3805</v>
      </c>
      <c r="H2751" s="1519">
        <v>11000</v>
      </c>
      <c r="I2751" s="1507">
        <v>155</v>
      </c>
      <c r="J2751" s="1508" t="s">
        <v>3806</v>
      </c>
    </row>
    <row r="2752" spans="1:10" s="1508" customFormat="1" ht="18.75" customHeight="1">
      <c r="A2752" s="1509" t="s">
        <v>3807</v>
      </c>
      <c r="B2752" s="78" t="s">
        <v>3803</v>
      </c>
      <c r="C2752" s="1511" t="s">
        <v>3817</v>
      </c>
      <c r="D2752" s="1500" t="s">
        <v>3804</v>
      </c>
      <c r="E2752" s="1501">
        <v>205</v>
      </c>
      <c r="F2752" s="1506">
        <v>35</v>
      </c>
      <c r="G2752" s="1518" t="s">
        <v>3805</v>
      </c>
      <c r="H2752" s="1519">
        <v>11000</v>
      </c>
      <c r="I2752" s="1507">
        <v>155</v>
      </c>
      <c r="J2752" s="1508" t="s">
        <v>3808</v>
      </c>
    </row>
    <row r="2753" spans="1:10" s="1508" customFormat="1" ht="18.75" customHeight="1">
      <c r="A2753" s="1505" t="s">
        <v>3809</v>
      </c>
      <c r="B2753" s="78" t="s">
        <v>3803</v>
      </c>
      <c r="C2753" s="1511" t="s">
        <v>3817</v>
      </c>
      <c r="D2753" s="1500" t="s">
        <v>3810</v>
      </c>
      <c r="E2753" s="1501">
        <v>87</v>
      </c>
      <c r="F2753" s="1506">
        <v>30</v>
      </c>
      <c r="G2753" s="1518" t="s">
        <v>3811</v>
      </c>
      <c r="H2753" s="1519">
        <v>11000</v>
      </c>
      <c r="I2753" s="1507">
        <v>155</v>
      </c>
      <c r="J2753" s="1508" t="s">
        <v>3812</v>
      </c>
    </row>
    <row r="2754" spans="1:10" s="1508" customFormat="1" ht="18.75" customHeight="1">
      <c r="A2754" s="79" t="s">
        <v>3813</v>
      </c>
      <c r="B2754" s="78" t="s">
        <v>3803</v>
      </c>
      <c r="C2754" s="1511" t="s">
        <v>3817</v>
      </c>
      <c r="D2754" s="1500" t="s">
        <v>3810</v>
      </c>
      <c r="E2754" s="1501">
        <v>80</v>
      </c>
      <c r="F2754" s="1506">
        <v>30</v>
      </c>
      <c r="G2754" s="1518" t="s">
        <v>3811</v>
      </c>
      <c r="H2754" s="1519">
        <v>11000</v>
      </c>
      <c r="I2754" s="1507">
        <v>155</v>
      </c>
      <c r="J2754" s="1508" t="s">
        <v>3814</v>
      </c>
    </row>
    <row r="2755" spans="1:10" s="1508" customFormat="1" ht="18.75" customHeight="1">
      <c r="A2755" s="1510" t="s">
        <v>3815</v>
      </c>
      <c r="B2755" s="1511" t="s">
        <v>3816</v>
      </c>
      <c r="C2755" s="1511" t="s">
        <v>3817</v>
      </c>
      <c r="D2755" s="1510" t="s">
        <v>297</v>
      </c>
      <c r="E2755" s="1515">
        <v>210</v>
      </c>
      <c r="F2755" s="1512">
        <v>35</v>
      </c>
      <c r="G2755" s="1518" t="s">
        <v>3805</v>
      </c>
      <c r="H2755" s="1519">
        <v>11000</v>
      </c>
      <c r="I2755" s="1507">
        <v>155</v>
      </c>
      <c r="J2755" s="1513"/>
    </row>
    <row r="2756" spans="1:10" s="1508" customFormat="1" ht="18.75" customHeight="1">
      <c r="A2756" s="1510">
        <v>34533</v>
      </c>
      <c r="B2756" s="1510" t="s">
        <v>3818</v>
      </c>
      <c r="C2756" s="1511" t="s">
        <v>3817</v>
      </c>
      <c r="D2756" s="1510" t="s">
        <v>297</v>
      </c>
      <c r="E2756" s="1515">
        <v>175</v>
      </c>
      <c r="F2756" s="1512">
        <v>35</v>
      </c>
      <c r="G2756" s="1518" t="s">
        <v>3805</v>
      </c>
      <c r="H2756" s="1519">
        <v>11000</v>
      </c>
      <c r="I2756" s="1507">
        <v>155</v>
      </c>
      <c r="J2756" s="1513"/>
    </row>
    <row r="2757" spans="1:10" s="1508" customFormat="1" ht="18.75" customHeight="1">
      <c r="A2757" s="1510" t="s">
        <v>3819</v>
      </c>
      <c r="B2757" s="1511" t="s">
        <v>3816</v>
      </c>
      <c r="C2757" s="1511" t="s">
        <v>3817</v>
      </c>
      <c r="D2757" s="1510" t="s">
        <v>297</v>
      </c>
      <c r="E2757" s="1515">
        <v>425</v>
      </c>
      <c r="F2757" s="1512">
        <v>56</v>
      </c>
      <c r="G2757" s="1518" t="s">
        <v>3820</v>
      </c>
      <c r="H2757" s="1519">
        <v>11000</v>
      </c>
      <c r="I2757" s="1507">
        <v>155</v>
      </c>
      <c r="J2757" s="1513"/>
    </row>
    <row r="2758" spans="1:10" s="1508" customFormat="1" ht="18.75" customHeight="1">
      <c r="A2758" s="1510">
        <v>62570</v>
      </c>
      <c r="B2758" s="1511" t="s">
        <v>3816</v>
      </c>
      <c r="C2758" s="1511" t="s">
        <v>3817</v>
      </c>
      <c r="D2758" s="1510" t="s">
        <v>296</v>
      </c>
      <c r="E2758" s="1515">
        <v>156</v>
      </c>
      <c r="F2758" s="1512">
        <v>30</v>
      </c>
      <c r="G2758" s="1518" t="s">
        <v>3811</v>
      </c>
      <c r="H2758" s="1519">
        <v>11000</v>
      </c>
      <c r="I2758" s="1507">
        <v>155</v>
      </c>
      <c r="J2758" s="1513"/>
    </row>
    <row r="2759" spans="1:10" s="1508" customFormat="1" ht="18.75" customHeight="1">
      <c r="A2759" s="1510">
        <v>67003</v>
      </c>
      <c r="B2759" s="1511" t="s">
        <v>3816</v>
      </c>
      <c r="C2759" s="1511" t="s">
        <v>3817</v>
      </c>
      <c r="D2759" s="1510" t="s">
        <v>296</v>
      </c>
      <c r="E2759" s="1515">
        <v>150</v>
      </c>
      <c r="F2759" s="1512">
        <v>30</v>
      </c>
      <c r="G2759" s="1518" t="s">
        <v>3811</v>
      </c>
      <c r="H2759" s="1519">
        <v>11000</v>
      </c>
      <c r="I2759" s="1507">
        <v>155</v>
      </c>
      <c r="J2759" s="1513"/>
    </row>
    <row r="2762" spans="1:10">
      <c r="A2762" s="1520" t="s">
        <v>3846</v>
      </c>
    </row>
    <row r="2763" spans="1:10" ht="25.5">
      <c r="A2763" s="1527" t="s">
        <v>192</v>
      </c>
      <c r="B2763" s="1527" t="s">
        <v>161</v>
      </c>
      <c r="C2763" s="1527" t="s">
        <v>3847</v>
      </c>
      <c r="D2763" s="1528" t="s">
        <v>3850</v>
      </c>
      <c r="E2763" s="1528" t="s">
        <v>3852</v>
      </c>
      <c r="F2763" s="1408" t="s">
        <v>195</v>
      </c>
      <c r="G2763" s="1408" t="s">
        <v>3849</v>
      </c>
      <c r="H2763" s="1408" t="s">
        <v>3851</v>
      </c>
      <c r="I2763" s="1524" t="s">
        <v>3848</v>
      </c>
      <c r="J2763" s="1521" t="s">
        <v>195</v>
      </c>
    </row>
    <row r="2764" spans="1:10">
      <c r="A2764" s="41" t="s">
        <v>3841</v>
      </c>
      <c r="B2764" s="41" t="s">
        <v>228</v>
      </c>
      <c r="C2764" s="41" t="s">
        <v>191</v>
      </c>
      <c r="D2764" s="41" t="s">
        <v>3303</v>
      </c>
      <c r="E2764" s="1529">
        <f t="shared" ref="E2764:E2776" si="41">ROUNDUP(I2764/0.6/125,2)</f>
        <v>7.34</v>
      </c>
      <c r="F2764" s="1529">
        <f t="shared" ref="F2764:F2769" si="42">ROUNDUP((I2764+J2764)/0.6/125,2)</f>
        <v>8</v>
      </c>
      <c r="G2764" s="41" t="s">
        <v>3853</v>
      </c>
      <c r="H2764" s="1530">
        <v>100</v>
      </c>
      <c r="I2764" s="1525">
        <v>550</v>
      </c>
      <c r="J2764" s="1523">
        <v>50</v>
      </c>
    </row>
    <row r="2765" spans="1:10">
      <c r="A2765" s="41" t="s">
        <v>3842</v>
      </c>
      <c r="B2765" s="41" t="s">
        <v>228</v>
      </c>
      <c r="C2765" s="41" t="s">
        <v>191</v>
      </c>
      <c r="D2765" s="41" t="s">
        <v>3303</v>
      </c>
      <c r="E2765" s="1529">
        <f t="shared" si="41"/>
        <v>4.54</v>
      </c>
      <c r="F2765" s="1529">
        <f t="shared" si="42"/>
        <v>5.0699999999999994</v>
      </c>
      <c r="G2765" s="41" t="s">
        <v>3854</v>
      </c>
      <c r="H2765" s="1530">
        <v>100</v>
      </c>
      <c r="I2765" s="1525">
        <v>340</v>
      </c>
      <c r="J2765" s="1523">
        <v>40</v>
      </c>
    </row>
    <row r="2766" spans="1:10">
      <c r="A2766" s="41" t="s">
        <v>3843</v>
      </c>
      <c r="B2766" s="41" t="s">
        <v>228</v>
      </c>
      <c r="C2766" s="41" t="s">
        <v>191</v>
      </c>
      <c r="D2766" s="41" t="s">
        <v>3303</v>
      </c>
      <c r="E2766" s="1529">
        <f t="shared" si="41"/>
        <v>2.2699999999999996</v>
      </c>
      <c r="F2766" s="1529">
        <f t="shared" si="42"/>
        <v>2.8</v>
      </c>
      <c r="G2766" s="41" t="s">
        <v>3854</v>
      </c>
      <c r="H2766" s="1530">
        <v>100</v>
      </c>
      <c r="I2766" s="1526">
        <v>170</v>
      </c>
      <c r="J2766" s="1523">
        <v>40</v>
      </c>
    </row>
    <row r="2767" spans="1:10">
      <c r="A2767" s="41" t="s">
        <v>3844</v>
      </c>
      <c r="B2767" s="41" t="s">
        <v>228</v>
      </c>
      <c r="C2767" s="41" t="s">
        <v>191</v>
      </c>
      <c r="D2767" s="41" t="s">
        <v>3303</v>
      </c>
      <c r="E2767" s="1529">
        <f t="shared" si="41"/>
        <v>1.54</v>
      </c>
      <c r="F2767" s="1529">
        <f t="shared" si="42"/>
        <v>2.0699999999999998</v>
      </c>
      <c r="G2767" s="41" t="s">
        <v>3854</v>
      </c>
      <c r="H2767" s="1530">
        <v>100</v>
      </c>
      <c r="I2767" s="1526">
        <v>115</v>
      </c>
      <c r="J2767" s="1523">
        <v>40</v>
      </c>
    </row>
    <row r="2768" spans="1:10">
      <c r="A2768" s="41" t="s">
        <v>3845</v>
      </c>
      <c r="B2768" s="41" t="s">
        <v>228</v>
      </c>
      <c r="C2768" s="41" t="s">
        <v>191</v>
      </c>
      <c r="D2768" s="41" t="s">
        <v>3303</v>
      </c>
      <c r="E2768" s="1529">
        <f t="shared" si="41"/>
        <v>1.47</v>
      </c>
      <c r="F2768" s="1529">
        <f t="shared" si="42"/>
        <v>2</v>
      </c>
      <c r="G2768" s="41" t="s">
        <v>3854</v>
      </c>
      <c r="H2768" s="1530">
        <v>100</v>
      </c>
      <c r="I2768" s="1526">
        <v>110</v>
      </c>
      <c r="J2768" s="1523">
        <v>40</v>
      </c>
    </row>
    <row r="2769" spans="1:12">
      <c r="A2769" s="41" t="s">
        <v>3821</v>
      </c>
      <c r="B2769" s="41" t="s">
        <v>3840</v>
      </c>
      <c r="C2769" s="41" t="s">
        <v>3822</v>
      </c>
      <c r="D2769" s="41" t="s">
        <v>3303</v>
      </c>
      <c r="E2769" s="1529">
        <f t="shared" si="41"/>
        <v>2</v>
      </c>
      <c r="F2769" s="1529">
        <f t="shared" si="42"/>
        <v>2.5399999999999996</v>
      </c>
      <c r="G2769" s="41" t="s">
        <v>3854</v>
      </c>
      <c r="H2769" s="1530">
        <v>100</v>
      </c>
      <c r="I2769" s="1526">
        <v>150</v>
      </c>
      <c r="J2769" s="1523">
        <v>40</v>
      </c>
    </row>
    <row r="2770" spans="1:12">
      <c r="A2770" s="41" t="s">
        <v>3823</v>
      </c>
      <c r="B2770" s="41" t="s">
        <v>3840</v>
      </c>
      <c r="C2770" s="41" t="s">
        <v>3824</v>
      </c>
      <c r="D2770" s="41" t="s">
        <v>3303</v>
      </c>
      <c r="E2770" s="1529">
        <f t="shared" si="41"/>
        <v>2.5399999999999996</v>
      </c>
      <c r="F2770" s="41" t="s">
        <v>230</v>
      </c>
      <c r="G2770" s="41" t="s">
        <v>230</v>
      </c>
      <c r="H2770" s="1462" t="s">
        <v>230</v>
      </c>
      <c r="I2770" s="1525">
        <v>190</v>
      </c>
      <c r="J2770" s="1522" t="s">
        <v>230</v>
      </c>
    </row>
    <row r="2771" spans="1:12">
      <c r="A2771" s="41" t="s">
        <v>3825</v>
      </c>
      <c r="B2771" s="41" t="s">
        <v>3840</v>
      </c>
      <c r="C2771" s="41" t="s">
        <v>3826</v>
      </c>
      <c r="D2771" s="41" t="s">
        <v>3303</v>
      </c>
      <c r="E2771" s="1529">
        <f t="shared" si="41"/>
        <v>2.5399999999999996</v>
      </c>
      <c r="F2771" s="41" t="s">
        <v>230</v>
      </c>
      <c r="G2771" s="41" t="s">
        <v>230</v>
      </c>
      <c r="H2771" s="1462" t="s">
        <v>230</v>
      </c>
      <c r="I2771" s="1525">
        <v>190</v>
      </c>
      <c r="J2771" s="1522" t="s">
        <v>230</v>
      </c>
    </row>
    <row r="2772" spans="1:12">
      <c r="A2772" s="41" t="s">
        <v>3827</v>
      </c>
      <c r="B2772" s="41" t="s">
        <v>3840</v>
      </c>
      <c r="C2772" s="41" t="s">
        <v>3828</v>
      </c>
      <c r="D2772" s="41" t="s">
        <v>3303</v>
      </c>
      <c r="E2772" s="1529">
        <f t="shared" si="41"/>
        <v>2.5399999999999996</v>
      </c>
      <c r="F2772" s="41" t="s">
        <v>230</v>
      </c>
      <c r="G2772" s="41" t="s">
        <v>230</v>
      </c>
      <c r="H2772" s="1462" t="s">
        <v>230</v>
      </c>
      <c r="I2772" s="1525">
        <v>190</v>
      </c>
      <c r="J2772" s="1522" t="s">
        <v>230</v>
      </c>
    </row>
    <row r="2773" spans="1:12">
      <c r="A2773" s="41" t="s">
        <v>3829</v>
      </c>
      <c r="B2773" s="41" t="s">
        <v>3840</v>
      </c>
      <c r="C2773" s="41" t="s">
        <v>3830</v>
      </c>
      <c r="D2773" s="41" t="s">
        <v>3303</v>
      </c>
      <c r="E2773" s="1529">
        <f t="shared" si="41"/>
        <v>2.5399999999999996</v>
      </c>
      <c r="F2773" s="41" t="s">
        <v>230</v>
      </c>
      <c r="G2773" s="41" t="s">
        <v>230</v>
      </c>
      <c r="H2773" s="1462" t="s">
        <v>230</v>
      </c>
      <c r="I2773" s="1525">
        <v>190</v>
      </c>
      <c r="J2773" s="1522" t="s">
        <v>230</v>
      </c>
    </row>
    <row r="2774" spans="1:12">
      <c r="A2774" s="41" t="s">
        <v>3831</v>
      </c>
      <c r="B2774" s="41" t="s">
        <v>3840</v>
      </c>
      <c r="C2774" s="41" t="s">
        <v>3832</v>
      </c>
      <c r="D2774" s="41" t="s">
        <v>3303</v>
      </c>
      <c r="E2774" s="1529">
        <f t="shared" si="41"/>
        <v>2.5399999999999996</v>
      </c>
      <c r="F2774" s="41" t="s">
        <v>230</v>
      </c>
      <c r="G2774" s="41" t="s">
        <v>230</v>
      </c>
      <c r="H2774" s="1462" t="s">
        <v>230</v>
      </c>
      <c r="I2774" s="1525">
        <v>190</v>
      </c>
      <c r="J2774" s="1522" t="s">
        <v>230</v>
      </c>
    </row>
    <row r="2775" spans="1:12">
      <c r="A2775" s="41" t="s">
        <v>3833</v>
      </c>
      <c r="B2775" s="41" t="s">
        <v>3840</v>
      </c>
      <c r="C2775" s="41" t="s">
        <v>3834</v>
      </c>
      <c r="D2775" s="41" t="s">
        <v>3303</v>
      </c>
      <c r="E2775" s="1529">
        <f t="shared" si="41"/>
        <v>2.5399999999999996</v>
      </c>
      <c r="F2775" s="41" t="s">
        <v>230</v>
      </c>
      <c r="G2775" s="41" t="s">
        <v>230</v>
      </c>
      <c r="H2775" s="1462" t="s">
        <v>230</v>
      </c>
      <c r="I2775" s="1525">
        <v>190</v>
      </c>
      <c r="J2775" s="1522" t="s">
        <v>230</v>
      </c>
    </row>
    <row r="2776" spans="1:12">
      <c r="A2776" s="41" t="s">
        <v>3835</v>
      </c>
      <c r="B2776" s="41" t="s">
        <v>3840</v>
      </c>
      <c r="C2776" s="41" t="s">
        <v>3836</v>
      </c>
      <c r="D2776" s="41" t="s">
        <v>3303</v>
      </c>
      <c r="E2776" s="1529">
        <f t="shared" si="41"/>
        <v>2.5399999999999996</v>
      </c>
      <c r="F2776" s="41" t="s">
        <v>230</v>
      </c>
      <c r="G2776" s="41" t="s">
        <v>230</v>
      </c>
      <c r="H2776" s="1462" t="s">
        <v>230</v>
      </c>
      <c r="I2776" s="1525">
        <v>190</v>
      </c>
      <c r="J2776" s="1522" t="s">
        <v>230</v>
      </c>
    </row>
    <row r="2778" spans="1:12" ht="14.25" thickBot="1">
      <c r="A2778" s="1520"/>
    </row>
    <row r="2779" spans="1:12" s="337" customFormat="1" ht="25.5">
      <c r="A2779" s="1532" t="s">
        <v>192</v>
      </c>
      <c r="B2779" s="1532" t="s">
        <v>161</v>
      </c>
      <c r="C2779" s="1532" t="s">
        <v>3847</v>
      </c>
      <c r="D2779" s="1528" t="s">
        <v>3850</v>
      </c>
      <c r="E2779" s="1528" t="s">
        <v>3852</v>
      </c>
      <c r="F2779" s="1408" t="s">
        <v>195</v>
      </c>
      <c r="G2779" s="1408" t="s">
        <v>3849</v>
      </c>
      <c r="H2779" s="1408" t="s">
        <v>3851</v>
      </c>
      <c r="I2779" s="1539" t="s">
        <v>3868</v>
      </c>
      <c r="J2779" s="1533" t="s">
        <v>3869</v>
      </c>
      <c r="K2779" s="1533" t="s">
        <v>3867</v>
      </c>
      <c r="L2779" s="1534" t="s">
        <v>3870</v>
      </c>
    </row>
    <row r="2780" spans="1:12" s="337" customFormat="1" ht="17.25" thickBot="1">
      <c r="A2780" s="301" t="s">
        <v>3877</v>
      </c>
      <c r="B2780" s="301" t="s">
        <v>3860</v>
      </c>
      <c r="C2780" s="301" t="s">
        <v>3817</v>
      </c>
      <c r="D2780" s="301" t="s">
        <v>3861</v>
      </c>
      <c r="E2780" s="1529">
        <f t="shared" ref="E2780:E2790" si="43">ROUNDUP(I2780/0.6/125,2)</f>
        <v>2.7399999999999998</v>
      </c>
      <c r="F2780" s="1529">
        <f t="shared" ref="F2780:F2790" si="44">ROUNDUP((I2780+J2780)/0.6/125,2)</f>
        <v>3.67</v>
      </c>
      <c r="G2780" s="301" t="s">
        <v>3872</v>
      </c>
      <c r="H2780" s="1530">
        <v>140</v>
      </c>
      <c r="I2780" s="1535">
        <v>205</v>
      </c>
      <c r="J2780" s="1536">
        <v>70</v>
      </c>
      <c r="K2780" s="1537" t="s">
        <v>3862</v>
      </c>
      <c r="L2780" s="1538">
        <v>14000</v>
      </c>
    </row>
    <row r="2781" spans="1:12" s="337" customFormat="1" thickBot="1">
      <c r="A2781" s="301" t="s">
        <v>3878</v>
      </c>
      <c r="B2781" s="301" t="s">
        <v>3866</v>
      </c>
      <c r="C2781" s="301" t="s">
        <v>3817</v>
      </c>
      <c r="D2781" s="301" t="s">
        <v>3861</v>
      </c>
      <c r="E2781" s="1529">
        <f t="shared" si="43"/>
        <v>2.94</v>
      </c>
      <c r="F2781" s="1529">
        <f t="shared" si="44"/>
        <v>3.8699999999999997</v>
      </c>
      <c r="G2781" s="301" t="s">
        <v>3872</v>
      </c>
      <c r="H2781" s="1530">
        <v>140</v>
      </c>
      <c r="I2781" s="1535">
        <v>220</v>
      </c>
      <c r="J2781" s="1536">
        <v>70</v>
      </c>
      <c r="K2781" s="1537" t="s">
        <v>3862</v>
      </c>
      <c r="L2781" s="1538">
        <v>14000</v>
      </c>
    </row>
    <row r="2782" spans="1:12" s="337" customFormat="1" thickBot="1">
      <c r="A2782" s="301" t="s">
        <v>3879</v>
      </c>
      <c r="B2782" s="301" t="s">
        <v>3866</v>
      </c>
      <c r="C2782" s="301" t="s">
        <v>3817</v>
      </c>
      <c r="D2782" s="301" t="s">
        <v>3303</v>
      </c>
      <c r="E2782" s="1529">
        <f t="shared" si="43"/>
        <v>3.67</v>
      </c>
      <c r="F2782" s="1529">
        <f t="shared" si="44"/>
        <v>4.2699999999999996</v>
      </c>
      <c r="G2782" s="301" t="s">
        <v>3873</v>
      </c>
      <c r="H2782" s="1530">
        <v>140</v>
      </c>
      <c r="I2782" s="1535">
        <v>275</v>
      </c>
      <c r="J2782" s="1536">
        <v>45</v>
      </c>
      <c r="K2782" s="1537" t="s">
        <v>3863</v>
      </c>
      <c r="L2782" s="1536">
        <v>14000</v>
      </c>
    </row>
    <row r="2783" spans="1:12" s="337" customFormat="1" thickBot="1">
      <c r="A2783" s="301" t="s">
        <v>3880</v>
      </c>
      <c r="B2783" s="301" t="s">
        <v>3816</v>
      </c>
      <c r="C2783" s="301" t="s">
        <v>3817</v>
      </c>
      <c r="D2783" s="301" t="s">
        <v>3303</v>
      </c>
      <c r="E2783" s="1529">
        <f t="shared" si="43"/>
        <v>2.7399999999999998</v>
      </c>
      <c r="F2783" s="1529">
        <f t="shared" si="44"/>
        <v>3.34</v>
      </c>
      <c r="G2783" s="301" t="s">
        <v>3873</v>
      </c>
      <c r="H2783" s="1530">
        <v>140</v>
      </c>
      <c r="I2783" s="1535">
        <v>205</v>
      </c>
      <c r="J2783" s="1536">
        <v>45</v>
      </c>
      <c r="K2783" s="1537" t="s">
        <v>3863</v>
      </c>
      <c r="L2783" s="1536">
        <v>14000</v>
      </c>
    </row>
    <row r="2784" spans="1:12" s="337" customFormat="1" thickBot="1">
      <c r="A2784" s="1540" t="s">
        <v>3876</v>
      </c>
      <c r="B2784" s="301" t="s">
        <v>3816</v>
      </c>
      <c r="C2784" s="301" t="s">
        <v>3817</v>
      </c>
      <c r="D2784" s="301" t="s">
        <v>3312</v>
      </c>
      <c r="E2784" s="1529">
        <f t="shared" si="43"/>
        <v>1.1599999999999999</v>
      </c>
      <c r="F2784" s="1529">
        <f t="shared" si="44"/>
        <v>1.6300000000000001</v>
      </c>
      <c r="G2784" s="301" t="s">
        <v>3874</v>
      </c>
      <c r="H2784" s="1530">
        <v>140</v>
      </c>
      <c r="I2784" s="1535">
        <v>87</v>
      </c>
      <c r="J2784" s="1536">
        <v>35</v>
      </c>
      <c r="K2784" s="1537" t="s">
        <v>3864</v>
      </c>
      <c r="L2784" s="1536">
        <v>14000</v>
      </c>
    </row>
    <row r="2785" spans="1:12" s="337" customFormat="1" thickBot="1">
      <c r="A2785" s="301" t="s">
        <v>3881</v>
      </c>
      <c r="B2785" s="301" t="s">
        <v>3816</v>
      </c>
      <c r="C2785" s="301" t="s">
        <v>3817</v>
      </c>
      <c r="D2785" s="301" t="s">
        <v>3312</v>
      </c>
      <c r="E2785" s="1529">
        <f t="shared" si="43"/>
        <v>1.07</v>
      </c>
      <c r="F2785" s="1529">
        <f t="shared" si="44"/>
        <v>1.54</v>
      </c>
      <c r="G2785" s="301" t="s">
        <v>3874</v>
      </c>
      <c r="H2785" s="1530">
        <v>140</v>
      </c>
      <c r="I2785" s="1535">
        <v>80</v>
      </c>
      <c r="J2785" s="1536">
        <v>35</v>
      </c>
      <c r="K2785" s="1537" t="s">
        <v>3864</v>
      </c>
      <c r="L2785" s="1536">
        <v>14000</v>
      </c>
    </row>
    <row r="2786" spans="1:12" s="337" customFormat="1" thickBot="1">
      <c r="A2786" s="301" t="s">
        <v>3882</v>
      </c>
      <c r="B2786" s="301" t="s">
        <v>3816</v>
      </c>
      <c r="C2786" s="301" t="s">
        <v>3817</v>
      </c>
      <c r="D2786" s="301" t="s">
        <v>297</v>
      </c>
      <c r="E2786" s="1529">
        <f t="shared" si="43"/>
        <v>2.8</v>
      </c>
      <c r="F2786" s="1529">
        <f t="shared" si="44"/>
        <v>3.4</v>
      </c>
      <c r="G2786" s="301" t="s">
        <v>3873</v>
      </c>
      <c r="H2786" s="1530">
        <v>140</v>
      </c>
      <c r="I2786" s="1535">
        <v>210</v>
      </c>
      <c r="J2786" s="1536">
        <v>45</v>
      </c>
      <c r="K2786" s="1537" t="s">
        <v>3863</v>
      </c>
      <c r="L2786" s="1536">
        <v>14000</v>
      </c>
    </row>
    <row r="2787" spans="1:12" s="337" customFormat="1" thickBot="1">
      <c r="A2787" s="301" t="s">
        <v>3883</v>
      </c>
      <c r="B2787" s="301" t="s">
        <v>3871</v>
      </c>
      <c r="C2787" s="301" t="s">
        <v>3817</v>
      </c>
      <c r="D2787" s="301" t="s">
        <v>297</v>
      </c>
      <c r="E2787" s="1529">
        <f t="shared" si="43"/>
        <v>2.34</v>
      </c>
      <c r="F2787" s="1529">
        <f t="shared" si="44"/>
        <v>2.94</v>
      </c>
      <c r="G2787" s="301" t="s">
        <v>3873</v>
      </c>
      <c r="H2787" s="1530">
        <v>140</v>
      </c>
      <c r="I2787" s="1535">
        <v>175</v>
      </c>
      <c r="J2787" s="1536">
        <v>45</v>
      </c>
      <c r="K2787" s="1537" t="s">
        <v>3863</v>
      </c>
      <c r="L2787" s="1536">
        <v>14000</v>
      </c>
    </row>
    <row r="2788" spans="1:12" s="337" customFormat="1" thickBot="1">
      <c r="A2788" s="301" t="s">
        <v>3884</v>
      </c>
      <c r="B2788" s="301" t="s">
        <v>3816</v>
      </c>
      <c r="C2788" s="301" t="s">
        <v>3817</v>
      </c>
      <c r="D2788" s="301" t="s">
        <v>297</v>
      </c>
      <c r="E2788" s="1529">
        <f t="shared" si="43"/>
        <v>5.67</v>
      </c>
      <c r="F2788" s="1529">
        <f t="shared" si="44"/>
        <v>6.5</v>
      </c>
      <c r="G2788" s="301" t="s">
        <v>3875</v>
      </c>
      <c r="H2788" s="1530">
        <v>140</v>
      </c>
      <c r="I2788" s="1535">
        <v>425</v>
      </c>
      <c r="J2788" s="1536">
        <v>62</v>
      </c>
      <c r="K2788" s="1537" t="s">
        <v>3865</v>
      </c>
      <c r="L2788" s="1536">
        <v>14000</v>
      </c>
    </row>
    <row r="2789" spans="1:12" s="337" customFormat="1" thickBot="1">
      <c r="A2789" s="301" t="s">
        <v>3885</v>
      </c>
      <c r="B2789" s="301" t="s">
        <v>3816</v>
      </c>
      <c r="C2789" s="301" t="s">
        <v>3817</v>
      </c>
      <c r="D2789" s="301" t="s">
        <v>296</v>
      </c>
      <c r="E2789" s="1529">
        <f t="shared" si="43"/>
        <v>2.08</v>
      </c>
      <c r="F2789" s="1529">
        <f t="shared" si="44"/>
        <v>2.5499999999999998</v>
      </c>
      <c r="G2789" s="301" t="s">
        <v>3874</v>
      </c>
      <c r="H2789" s="1530">
        <v>140</v>
      </c>
      <c r="I2789" s="1535">
        <v>156</v>
      </c>
      <c r="J2789" s="1536">
        <v>35</v>
      </c>
      <c r="K2789" s="1537" t="s">
        <v>3864</v>
      </c>
      <c r="L2789" s="1536">
        <v>14000</v>
      </c>
    </row>
    <row r="2790" spans="1:12" s="337" customFormat="1" thickBot="1">
      <c r="A2790" s="301" t="s">
        <v>3886</v>
      </c>
      <c r="B2790" s="301" t="s">
        <v>3816</v>
      </c>
      <c r="C2790" s="301" t="s">
        <v>3817</v>
      </c>
      <c r="D2790" s="301" t="s">
        <v>296</v>
      </c>
      <c r="E2790" s="1529">
        <f t="shared" si="43"/>
        <v>2</v>
      </c>
      <c r="F2790" s="1529">
        <f t="shared" si="44"/>
        <v>2.6</v>
      </c>
      <c r="G2790" s="301" t="s">
        <v>3873</v>
      </c>
      <c r="H2790" s="1530">
        <v>140</v>
      </c>
      <c r="I2790" s="1535">
        <v>150</v>
      </c>
      <c r="J2790" s="1536">
        <v>45</v>
      </c>
      <c r="K2790" s="1537" t="s">
        <v>3863</v>
      </c>
      <c r="L2790" s="1536">
        <v>14000</v>
      </c>
    </row>
    <row r="2791" spans="1:12">
      <c r="A2791" s="1520"/>
    </row>
    <row r="2798" spans="1:12" s="290" customFormat="1" ht="15">
      <c r="A2798" s="1527" t="s">
        <v>192</v>
      </c>
      <c r="B2798" s="289" t="s">
        <v>203</v>
      </c>
      <c r="C2798" s="289" t="s">
        <v>163</v>
      </c>
      <c r="D2798" s="289" t="s">
        <v>197</v>
      </c>
      <c r="E2798" s="289" t="s">
        <v>198</v>
      </c>
      <c r="F2798" s="1422" t="s">
        <v>242</v>
      </c>
      <c r="G2798" s="1422" t="s">
        <v>3859</v>
      </c>
      <c r="H2798" s="688"/>
      <c r="I2798" s="33"/>
    </row>
    <row r="2799" spans="1:12" s="290" customFormat="1" ht="25.5">
      <c r="A2799" s="1182" t="s">
        <v>2793</v>
      </c>
      <c r="B2799" s="41" t="s">
        <v>25</v>
      </c>
      <c r="C2799" s="296">
        <v>13.7</v>
      </c>
      <c r="D2799" s="297">
        <v>15</v>
      </c>
      <c r="E2799" s="1186">
        <f>C2799*D2799</f>
        <v>205.5</v>
      </c>
      <c r="F2799" s="1184">
        <v>4.6900000000000004</v>
      </c>
      <c r="G2799" s="33" t="s">
        <v>3858</v>
      </c>
      <c r="H2799" s="363" t="s">
        <v>224</v>
      </c>
      <c r="I2799" s="33" t="s">
        <v>3858</v>
      </c>
    </row>
    <row r="2800" spans="1:12" s="290" customFormat="1" ht="12.75">
      <c r="A2800" s="1182" t="s">
        <v>3856</v>
      </c>
      <c r="B2800" s="41" t="s">
        <v>25</v>
      </c>
      <c r="C2800" s="296"/>
      <c r="D2800" s="297"/>
      <c r="E2800" s="1186">
        <v>30</v>
      </c>
      <c r="F2800" s="1184">
        <v>2.87</v>
      </c>
      <c r="G2800" s="33">
        <v>45058</v>
      </c>
      <c r="H2800" s="363" t="s">
        <v>224</v>
      </c>
      <c r="I2800" s="33">
        <v>45058</v>
      </c>
    </row>
    <row r="2801" spans="1:10" s="290" customFormat="1" ht="12.75">
      <c r="A2801" s="1182" t="s">
        <v>3857</v>
      </c>
      <c r="B2801" s="41" t="s">
        <v>25</v>
      </c>
      <c r="C2801" s="296"/>
      <c r="D2801" s="297"/>
      <c r="E2801" s="1186">
        <v>100</v>
      </c>
      <c r="F2801" s="1184">
        <v>1.17</v>
      </c>
      <c r="G2801" s="33">
        <v>45058</v>
      </c>
      <c r="H2801" s="363" t="s">
        <v>224</v>
      </c>
      <c r="I2801" s="33">
        <v>45058</v>
      </c>
    </row>
    <row r="2802" spans="1:10" s="290" customFormat="1" ht="12.75">
      <c r="A2802" s="41"/>
      <c r="B2802" s="136" t="s">
        <v>218</v>
      </c>
      <c r="C2802" s="292"/>
      <c r="D2802" s="297"/>
      <c r="E2802" s="292">
        <v>1</v>
      </c>
      <c r="F2802" s="1181">
        <v>12</v>
      </c>
      <c r="G2802" s="33"/>
      <c r="H2802" s="1531"/>
      <c r="I2802" s="33"/>
    </row>
    <row r="2803" spans="1:10" s="290" customFormat="1" ht="12"/>
    <row r="2804" spans="1:10" s="290" customFormat="1" ht="12"/>
    <row r="2805" spans="1:10" s="290" customFormat="1" ht="12"/>
    <row r="2806" spans="1:10" s="290" customFormat="1" ht="12.75">
      <c r="A2806" s="289" t="s">
        <v>99</v>
      </c>
      <c r="B2806" s="289" t="s">
        <v>3654</v>
      </c>
      <c r="C2806" s="289" t="s">
        <v>203</v>
      </c>
      <c r="D2806" s="289" t="s">
        <v>163</v>
      </c>
      <c r="E2806" s="289" t="s">
        <v>197</v>
      </c>
      <c r="F2806" s="289" t="s">
        <v>198</v>
      </c>
      <c r="G2806" s="1541" t="s">
        <v>242</v>
      </c>
    </row>
    <row r="2807" spans="1:10" s="290" customFormat="1" ht="12.75">
      <c r="A2807" s="41">
        <v>4141</v>
      </c>
      <c r="B2807" s="1264">
        <v>9</v>
      </c>
      <c r="C2807" s="41" t="s">
        <v>3641</v>
      </c>
      <c r="D2807" s="296">
        <v>20</v>
      </c>
      <c r="E2807" s="297">
        <v>13</v>
      </c>
      <c r="F2807" s="298">
        <f>D2807*E2807</f>
        <v>260</v>
      </c>
      <c r="G2807" s="1184">
        <v>1.33</v>
      </c>
    </row>
    <row r="2808" spans="1:10" s="290" customFormat="1" ht="12.75">
      <c r="A2808" s="1485"/>
      <c r="B2808" s="1542"/>
      <c r="C2808" s="1485"/>
      <c r="D2808" s="1543"/>
      <c r="E2808" s="1210"/>
      <c r="F2808" s="1544"/>
      <c r="G2808" s="1545"/>
    </row>
    <row r="2809" spans="1:10" s="290" customFormat="1" ht="12.75" thickBot="1">
      <c r="A2809" s="290" t="s">
        <v>3928</v>
      </c>
    </row>
    <row r="2810" spans="1:10" s="337" customFormat="1" ht="25.5">
      <c r="A2810" s="1532" t="s">
        <v>192</v>
      </c>
      <c r="B2810" s="1528" t="s">
        <v>150</v>
      </c>
      <c r="C2810" s="1528" t="s">
        <v>271</v>
      </c>
      <c r="D2810" s="1539" t="s">
        <v>3868</v>
      </c>
    </row>
    <row r="2811" spans="1:10" s="337" customFormat="1" thickBot="1">
      <c r="A2811" s="301" t="s">
        <v>3888</v>
      </c>
      <c r="B2811" s="301" t="s">
        <v>3303</v>
      </c>
      <c r="C2811" s="1529">
        <f>ROUNDUP(D2811/0.7/125,2)</f>
        <v>7.1899999999999995</v>
      </c>
      <c r="D2811" s="1535">
        <v>629</v>
      </c>
    </row>
    <row r="2814" spans="1:10">
      <c r="A2814" s="1520" t="s">
        <v>3894</v>
      </c>
    </row>
    <row r="2815" spans="1:10" ht="25.5">
      <c r="A2815" s="1527" t="s">
        <v>192</v>
      </c>
      <c r="B2815" s="1527" t="s">
        <v>161</v>
      </c>
      <c r="C2815" s="1527" t="s">
        <v>3847</v>
      </c>
      <c r="D2815" s="1528" t="s">
        <v>1810</v>
      </c>
      <c r="E2815" s="1528" t="s">
        <v>3848</v>
      </c>
      <c r="F2815" s="1408" t="s">
        <v>195</v>
      </c>
      <c r="G2815" s="1408" t="s">
        <v>3849</v>
      </c>
      <c r="H2815" s="1408" t="s">
        <v>3851</v>
      </c>
      <c r="I2815" s="1524" t="s">
        <v>3848</v>
      </c>
      <c r="J2815" s="1521" t="s">
        <v>195</v>
      </c>
    </row>
    <row r="2816" spans="1:10">
      <c r="A2816" s="41" t="s">
        <v>3895</v>
      </c>
      <c r="B2816" s="41" t="s">
        <v>3896</v>
      </c>
      <c r="C2816" s="41" t="s">
        <v>191</v>
      </c>
      <c r="D2816" s="41" t="s">
        <v>3903</v>
      </c>
      <c r="E2816" s="1529">
        <f>ROUNDUP(I2816/0.6/125,2)</f>
        <v>1.4</v>
      </c>
      <c r="F2816" s="1529">
        <f>ROUNDUP((I2816+J2816)/0.6/125,2)</f>
        <v>1.94</v>
      </c>
      <c r="G2816" s="41" t="s">
        <v>3897</v>
      </c>
      <c r="H2816" s="1530">
        <v>120</v>
      </c>
      <c r="I2816" s="1525">
        <v>105</v>
      </c>
      <c r="J2816" s="1523">
        <v>40</v>
      </c>
    </row>
    <row r="2817" spans="1:10">
      <c r="A2817" s="1546" t="s">
        <v>3899</v>
      </c>
      <c r="B2817" s="41" t="s">
        <v>3902</v>
      </c>
      <c r="C2817" s="41" t="s">
        <v>191</v>
      </c>
      <c r="D2817" s="41" t="s">
        <v>3904</v>
      </c>
      <c r="E2817" s="1529">
        <f>ROUNDUP(I2817/0.6/125,2)</f>
        <v>4.87</v>
      </c>
      <c r="F2817" s="1529">
        <f>ROUNDUP((I2817+J2817)/0.6/125,2)</f>
        <v>6.2</v>
      </c>
      <c r="G2817" s="41" t="s">
        <v>3905</v>
      </c>
      <c r="H2817" s="1530">
        <v>100</v>
      </c>
      <c r="I2817" s="1525">
        <v>365</v>
      </c>
      <c r="J2817" s="1523">
        <v>100</v>
      </c>
    </row>
    <row r="2818" spans="1:10">
      <c r="A2818" s="301" t="s">
        <v>3900</v>
      </c>
      <c r="B2818" s="41" t="s">
        <v>3902</v>
      </c>
      <c r="C2818" s="41" t="s">
        <v>191</v>
      </c>
      <c r="D2818" s="41" t="s">
        <v>3904</v>
      </c>
      <c r="E2818" s="1529">
        <f>ROUNDUP(I2818/0.6/125,2)</f>
        <v>4.87</v>
      </c>
      <c r="F2818" s="1529">
        <f>ROUNDUP((I2818+J2818)/0.6/125,2)</f>
        <v>6.2</v>
      </c>
      <c r="G2818" s="41" t="s">
        <v>3905</v>
      </c>
      <c r="H2818" s="1530">
        <v>100</v>
      </c>
      <c r="I2818" s="1525">
        <v>365</v>
      </c>
      <c r="J2818" s="1523">
        <v>100</v>
      </c>
    </row>
    <row r="2819" spans="1:10">
      <c r="A2819" s="301" t="s">
        <v>3901</v>
      </c>
      <c r="B2819" s="41" t="s">
        <v>3902</v>
      </c>
      <c r="C2819" s="41" t="s">
        <v>191</v>
      </c>
      <c r="D2819" s="41" t="s">
        <v>3904</v>
      </c>
      <c r="E2819" s="1529">
        <f>ROUNDUP(I2819/0.6/125,2)</f>
        <v>0.39</v>
      </c>
      <c r="F2819" s="1529">
        <f>ROUNDUP((I2819+J2819)/0.6/125,2)</f>
        <v>1.19</v>
      </c>
      <c r="G2819" s="41" t="s">
        <v>3905</v>
      </c>
      <c r="H2819" s="1530">
        <v>60</v>
      </c>
      <c r="I2819" s="1525">
        <v>29</v>
      </c>
      <c r="J2819" s="1523">
        <v>60</v>
      </c>
    </row>
    <row r="2820" spans="1:10">
      <c r="A2820" s="302" t="s">
        <v>3898</v>
      </c>
      <c r="B2820" s="41" t="s">
        <v>3902</v>
      </c>
      <c r="C2820" s="41" t="s">
        <v>191</v>
      </c>
      <c r="D2820" s="41" t="s">
        <v>3904</v>
      </c>
      <c r="E2820" s="1529">
        <f>ROUNDUP(I2820/0.6/125,2)</f>
        <v>0.38</v>
      </c>
      <c r="F2820" s="1529">
        <f>ROUNDUP((I2820+J2820)/0.6/125,2)</f>
        <v>1.18</v>
      </c>
      <c r="G2820" s="41" t="s">
        <v>3905</v>
      </c>
      <c r="H2820" s="1530">
        <v>60</v>
      </c>
      <c r="I2820" s="1525">
        <v>28</v>
      </c>
      <c r="J2820" s="1523">
        <v>60</v>
      </c>
    </row>
    <row r="2821" spans="1:10">
      <c r="A2821" s="41"/>
      <c r="B2821" s="41"/>
      <c r="C2821" s="41"/>
      <c r="D2821" s="41"/>
      <c r="E2821" s="1529"/>
      <c r="F2821" s="1529"/>
      <c r="G2821" s="41"/>
      <c r="H2821" s="1530"/>
      <c r="I2821" s="1526"/>
      <c r="J2821" s="1523"/>
    </row>
    <row r="2822" spans="1:10">
      <c r="A2822" s="41"/>
      <c r="B2822" s="41"/>
      <c r="C2822" s="41"/>
      <c r="D2822" s="41"/>
      <c r="E2822" s="1529"/>
      <c r="F2822" s="41"/>
      <c r="G2822" s="41"/>
      <c r="H2822" s="1462"/>
      <c r="I2822" s="1525"/>
      <c r="J2822" s="1522"/>
    </row>
    <row r="2823" spans="1:10">
      <c r="A2823" s="41"/>
      <c r="B2823" s="41"/>
      <c r="C2823" s="41"/>
      <c r="D2823" s="41"/>
      <c r="E2823" s="1529"/>
      <c r="F2823" s="41"/>
      <c r="G2823" s="41"/>
      <c r="H2823" s="1462"/>
      <c r="I2823" s="1525"/>
      <c r="J2823" s="1522"/>
    </row>
    <row r="2824" spans="1:10">
      <c r="A2824" s="41"/>
      <c r="B2824" s="41"/>
      <c r="C2824" s="41"/>
      <c r="D2824" s="41"/>
      <c r="E2824" s="1529"/>
      <c r="F2824" s="41"/>
      <c r="G2824" s="41"/>
      <c r="H2824" s="1462"/>
      <c r="I2824" s="1525"/>
      <c r="J2824" s="1522"/>
    </row>
    <row r="2827" spans="1:10" s="290" customFormat="1" ht="15">
      <c r="A2827" s="1527" t="s">
        <v>192</v>
      </c>
      <c r="B2827" s="289" t="s">
        <v>203</v>
      </c>
      <c r="C2827" s="289" t="s">
        <v>163</v>
      </c>
      <c r="D2827" s="289" t="s">
        <v>197</v>
      </c>
      <c r="E2827" s="289" t="s">
        <v>198</v>
      </c>
      <c r="F2827" s="1422" t="s">
        <v>242</v>
      </c>
      <c r="G2827" s="1422" t="s">
        <v>3907</v>
      </c>
      <c r="H2827" s="688"/>
      <c r="I2827" s="33"/>
    </row>
    <row r="2828" spans="1:10" s="290" customFormat="1" ht="25.5">
      <c r="A2828" s="1182" t="s">
        <v>2793</v>
      </c>
      <c r="B2828" s="41" t="s">
        <v>25</v>
      </c>
      <c r="C2828" s="296">
        <v>13.7</v>
      </c>
      <c r="D2828" s="297">
        <v>3</v>
      </c>
      <c r="E2828" s="1186">
        <f>C2828*D2828</f>
        <v>41.099999999999994</v>
      </c>
      <c r="F2828" s="1184">
        <v>4.6900000000000004</v>
      </c>
      <c r="G2828" s="33" t="s">
        <v>3908</v>
      </c>
      <c r="H2828" s="363" t="s">
        <v>224</v>
      </c>
      <c r="I2828" s="33" t="s">
        <v>3858</v>
      </c>
    </row>
    <row r="2829" spans="1:10" s="290" customFormat="1" ht="12.75">
      <c r="A2829" s="41"/>
      <c r="B2829" s="136" t="s">
        <v>218</v>
      </c>
      <c r="C2829" s="292"/>
      <c r="D2829" s="297"/>
      <c r="E2829" s="292">
        <v>1</v>
      </c>
      <c r="F2829" s="1181">
        <v>12</v>
      </c>
      <c r="G2829" s="33"/>
      <c r="H2829" s="1531"/>
      <c r="I2829" s="33"/>
    </row>
    <row r="2832" spans="1:10">
      <c r="A2832" t="s">
        <v>3910</v>
      </c>
    </row>
    <row r="2833" spans="1:7" s="369" customFormat="1">
      <c r="A2833" s="295" t="s">
        <v>40</v>
      </c>
      <c r="B2833" s="312" t="s">
        <v>16</v>
      </c>
      <c r="C2833" s="312" t="s">
        <v>3915</v>
      </c>
      <c r="D2833" s="1552" t="s">
        <v>3604</v>
      </c>
      <c r="E2833" s="368" t="s">
        <v>3913</v>
      </c>
      <c r="F2833" s="1547" t="s">
        <v>3909</v>
      </c>
      <c r="G2833" s="1547" t="s">
        <v>1843</v>
      </c>
    </row>
    <row r="2834" spans="1:7" s="369" customFormat="1">
      <c r="A2834" s="366" t="s">
        <v>3914</v>
      </c>
      <c r="B2834" s="366" t="s">
        <v>3911</v>
      </c>
      <c r="C2834" s="366" t="s">
        <v>3917</v>
      </c>
      <c r="D2834" s="370">
        <v>19.2</v>
      </c>
      <c r="E2834" s="371">
        <v>1680</v>
      </c>
      <c r="F2834" s="1548">
        <f t="shared" ref="F2834:F2841" si="45">((D2834*G2834)-E2834)/(D2834*G2834)</f>
        <v>0.3</v>
      </c>
      <c r="G2834" s="1549">
        <v>125</v>
      </c>
    </row>
    <row r="2835" spans="1:7" s="369" customFormat="1" ht="14.25" thickBot="1">
      <c r="A2835" s="1550" t="s">
        <v>3914</v>
      </c>
      <c r="B2835" s="1550" t="s">
        <v>3911</v>
      </c>
      <c r="C2835" s="1550" t="s">
        <v>3916</v>
      </c>
      <c r="D2835" s="1551">
        <v>22.63</v>
      </c>
      <c r="E2835" s="371">
        <f>1680+300</f>
        <v>1980</v>
      </c>
      <c r="F2835" s="1548">
        <f t="shared" si="45"/>
        <v>0.30004418912947417</v>
      </c>
      <c r="G2835" s="1549">
        <v>125</v>
      </c>
    </row>
    <row r="2836" spans="1:7" s="369" customFormat="1" ht="14.25" thickTop="1">
      <c r="A2836" s="1553" t="s">
        <v>3912</v>
      </c>
      <c r="B2836" s="1553" t="s">
        <v>288</v>
      </c>
      <c r="C2836" s="1555" t="s">
        <v>3918</v>
      </c>
      <c r="D2836" s="1554">
        <v>19.2</v>
      </c>
      <c r="E2836" s="371">
        <v>1680</v>
      </c>
      <c r="F2836" s="1548">
        <f t="shared" si="45"/>
        <v>0.3</v>
      </c>
      <c r="G2836" s="1549">
        <v>125</v>
      </c>
    </row>
    <row r="2837" spans="1:7" s="369" customFormat="1" ht="14.25" thickBot="1">
      <c r="A2837" s="1556" t="s">
        <v>3912</v>
      </c>
      <c r="B2837" s="1556" t="s">
        <v>288</v>
      </c>
      <c r="C2837" s="1557" t="s">
        <v>3921</v>
      </c>
      <c r="D2837" s="1558">
        <v>22.63</v>
      </c>
      <c r="E2837" s="371">
        <f>1680+300</f>
        <v>1980</v>
      </c>
      <c r="F2837" s="1548">
        <f t="shared" si="45"/>
        <v>0.30004418912947417</v>
      </c>
      <c r="G2837" s="1549">
        <v>125</v>
      </c>
    </row>
    <row r="2838" spans="1:7" s="369" customFormat="1" ht="14.25" thickTop="1">
      <c r="A2838" s="1553" t="s">
        <v>3919</v>
      </c>
      <c r="B2838" s="1553" t="s">
        <v>3911</v>
      </c>
      <c r="C2838" s="1553" t="s">
        <v>3917</v>
      </c>
      <c r="D2838" s="1554">
        <v>20.92</v>
      </c>
      <c r="E2838" s="371">
        <v>1830</v>
      </c>
      <c r="F2838" s="1548">
        <f t="shared" si="45"/>
        <v>0.30019120458891013</v>
      </c>
      <c r="G2838" s="1549">
        <v>125</v>
      </c>
    </row>
    <row r="2839" spans="1:7" s="369" customFormat="1" ht="14.25" thickBot="1">
      <c r="A2839" s="1550" t="s">
        <v>3919</v>
      </c>
      <c r="B2839" s="1550" t="s">
        <v>3911</v>
      </c>
      <c r="C2839" s="1550" t="s">
        <v>3916</v>
      </c>
      <c r="D2839" s="1551">
        <v>24.35</v>
      </c>
      <c r="E2839" s="371">
        <f>1830+300</f>
        <v>2130</v>
      </c>
      <c r="F2839" s="1548">
        <f t="shared" si="45"/>
        <v>0.30020533880903488</v>
      </c>
      <c r="G2839" s="1549">
        <v>125</v>
      </c>
    </row>
    <row r="2840" spans="1:7" s="369" customFormat="1" ht="14.25" thickTop="1">
      <c r="A2840" s="1553" t="s">
        <v>3920</v>
      </c>
      <c r="B2840" s="1553" t="s">
        <v>288</v>
      </c>
      <c r="C2840" s="1555" t="s">
        <v>3918</v>
      </c>
      <c r="D2840" s="1554">
        <v>20.92</v>
      </c>
      <c r="E2840" s="371">
        <v>1830</v>
      </c>
      <c r="F2840" s="1548">
        <f t="shared" si="45"/>
        <v>0.30019120458891013</v>
      </c>
      <c r="G2840" s="1549">
        <v>125</v>
      </c>
    </row>
    <row r="2841" spans="1:7" s="369" customFormat="1">
      <c r="A2841" s="366" t="s">
        <v>3920</v>
      </c>
      <c r="B2841" s="366" t="s">
        <v>288</v>
      </c>
      <c r="C2841" s="372" t="s">
        <v>3921</v>
      </c>
      <c r="D2841" s="370">
        <v>24.35</v>
      </c>
      <c r="E2841" s="371">
        <f>1830+300</f>
        <v>2130</v>
      </c>
      <c r="F2841" s="1548">
        <f t="shared" si="45"/>
        <v>0.30020533880903488</v>
      </c>
      <c r="G2841" s="1549">
        <v>125</v>
      </c>
    </row>
    <row r="2845" spans="1:7">
      <c r="A2845" s="295" t="s">
        <v>40</v>
      </c>
      <c r="B2845" s="312" t="s">
        <v>16</v>
      </c>
      <c r="C2845" s="312" t="s">
        <v>3915</v>
      </c>
      <c r="D2845" s="1552" t="s">
        <v>3604</v>
      </c>
    </row>
    <row r="2846" spans="1:7">
      <c r="A2846" s="366" t="s">
        <v>3919</v>
      </c>
      <c r="B2846" s="366" t="s">
        <v>3911</v>
      </c>
      <c r="C2846" s="366" t="s">
        <v>3917</v>
      </c>
      <c r="D2846" s="370">
        <v>20.92</v>
      </c>
    </row>
    <row r="2847" spans="1:7">
      <c r="A2847" s="366" t="s">
        <v>3919</v>
      </c>
      <c r="B2847" s="366" t="s">
        <v>3911</v>
      </c>
      <c r="C2847" s="366" t="s">
        <v>3916</v>
      </c>
      <c r="D2847" s="370">
        <v>24.35</v>
      </c>
    </row>
    <row r="2849" spans="1:123" ht="15">
      <c r="A2849" s="1527" t="s">
        <v>192</v>
      </c>
      <c r="B2849" s="289" t="s">
        <v>203</v>
      </c>
      <c r="C2849" s="289" t="s">
        <v>163</v>
      </c>
      <c r="D2849" s="289" t="s">
        <v>197</v>
      </c>
      <c r="E2849" s="289" t="s">
        <v>198</v>
      </c>
      <c r="F2849" s="1422" t="s">
        <v>242</v>
      </c>
    </row>
    <row r="2850" spans="1:123">
      <c r="A2850" s="1182" t="s">
        <v>2792</v>
      </c>
      <c r="B2850" s="41" t="s">
        <v>25</v>
      </c>
      <c r="C2850" s="296">
        <v>13.7</v>
      </c>
      <c r="D2850" s="297">
        <v>2</v>
      </c>
      <c r="E2850" s="1186">
        <f>C2850*D2850</f>
        <v>27.4</v>
      </c>
      <c r="F2850" s="1184">
        <v>7.19</v>
      </c>
    </row>
    <row r="2851" spans="1:123">
      <c r="A2851" s="41"/>
      <c r="B2851" s="136" t="s">
        <v>218</v>
      </c>
      <c r="C2851" s="292"/>
      <c r="D2851" s="297"/>
      <c r="E2851" s="292">
        <v>1</v>
      </c>
      <c r="F2851" s="1181">
        <v>12</v>
      </c>
    </row>
    <row r="2853" spans="1:123" s="337" customFormat="1" ht="15">
      <c r="A2853" s="1527" t="s">
        <v>192</v>
      </c>
      <c r="B2853" s="1527" t="s">
        <v>90</v>
      </c>
      <c r="C2853" s="1527" t="s">
        <v>17</v>
      </c>
      <c r="D2853" s="1527" t="s">
        <v>18</v>
      </c>
      <c r="E2853" s="1418" t="s">
        <v>3929</v>
      </c>
    </row>
    <row r="2854" spans="1:123" s="337" customFormat="1" ht="12.75">
      <c r="A2854" s="1417" t="s">
        <v>3924</v>
      </c>
      <c r="B2854" s="360" t="s">
        <v>2491</v>
      </c>
      <c r="C2854" s="302" t="s">
        <v>3925</v>
      </c>
      <c r="D2854" s="1414">
        <v>3</v>
      </c>
      <c r="E2854" s="1183">
        <v>24.35</v>
      </c>
    </row>
    <row r="2855" spans="1:123" s="337" customFormat="1" ht="12.75">
      <c r="A2855" s="1562"/>
      <c r="B2855" s="1563"/>
      <c r="C2855" s="1563" t="s">
        <v>218</v>
      </c>
      <c r="D2855" s="1273">
        <v>1</v>
      </c>
      <c r="E2855" s="1564">
        <v>12</v>
      </c>
    </row>
    <row r="2856" spans="1:123" s="337" customFormat="1" ht="12.75"/>
    <row r="2857" spans="1:123" s="337" customFormat="1" ht="12.75"/>
    <row r="2858" spans="1:123">
      <c r="A2858" t="s">
        <v>3930</v>
      </c>
    </row>
    <row r="2860" spans="1:123" s="359" customFormat="1" ht="25.5">
      <c r="A2860" s="379" t="s">
        <v>171</v>
      </c>
      <c r="B2860" s="380" t="s">
        <v>90</v>
      </c>
      <c r="C2860" s="381" t="s">
        <v>2</v>
      </c>
      <c r="D2860" s="382" t="s">
        <v>204</v>
      </c>
      <c r="E2860" s="1158" t="s">
        <v>225</v>
      </c>
      <c r="F2860" s="1158" t="s">
        <v>161</v>
      </c>
      <c r="G2860" s="326" t="s">
        <v>3357</v>
      </c>
      <c r="H2860" s="1565" t="s">
        <v>176</v>
      </c>
      <c r="I2860" s="1566" t="s">
        <v>3909</v>
      </c>
      <c r="J2860" s="1566" t="s">
        <v>1843</v>
      </c>
    </row>
    <row r="2861" spans="1:123" s="337" customFormat="1" ht="15" customHeight="1">
      <c r="A2861" s="355" t="s">
        <v>3931</v>
      </c>
      <c r="B2861" s="360">
        <v>19</v>
      </c>
      <c r="C2861" s="356">
        <v>30</v>
      </c>
      <c r="D2861" s="357" t="s">
        <v>211</v>
      </c>
      <c r="E2861" s="357" t="s">
        <v>3932</v>
      </c>
      <c r="F2861" s="357" t="s">
        <v>3933</v>
      </c>
      <c r="G2861" s="1184">
        <f>ROUNDUP(H2861/0.53/125,2)</f>
        <v>0.62</v>
      </c>
      <c r="H2861" s="1567" t="s">
        <v>3934</v>
      </c>
      <c r="I2861" s="1568">
        <f>((G2861*J2861)-H2861)/(G2861*J2861)</f>
        <v>0.47354838709677421</v>
      </c>
      <c r="J2861" s="1569">
        <v>125</v>
      </c>
      <c r="K2861" s="1570"/>
      <c r="L2861" s="1570"/>
      <c r="M2861" s="1570"/>
      <c r="N2861" s="1570"/>
      <c r="O2861" s="1570"/>
      <c r="P2861" s="1570"/>
      <c r="Q2861" s="1570"/>
      <c r="R2861" s="1570"/>
      <c r="S2861" s="1570"/>
      <c r="T2861" s="1570"/>
      <c r="U2861" s="1570"/>
      <c r="V2861" s="1570"/>
      <c r="W2861" s="1570"/>
      <c r="X2861" s="1570"/>
      <c r="Y2861" s="1570"/>
      <c r="Z2861" s="1570"/>
      <c r="AA2861" s="1570"/>
      <c r="AB2861" s="1570"/>
      <c r="AC2861" s="1570"/>
      <c r="AD2861" s="1570"/>
      <c r="AE2861" s="1570"/>
      <c r="AF2861" s="1570"/>
      <c r="AG2861" s="1570"/>
      <c r="AH2861" s="1570"/>
      <c r="AI2861" s="1570"/>
      <c r="AJ2861" s="1570"/>
      <c r="AK2861" s="1570"/>
      <c r="AL2861" s="1570"/>
      <c r="AM2861" s="1570"/>
      <c r="AN2861" s="1570"/>
      <c r="AO2861" s="1570"/>
      <c r="AP2861" s="1570"/>
      <c r="AQ2861" s="1570"/>
      <c r="AR2861" s="1570"/>
      <c r="AS2861" s="1570"/>
      <c r="AT2861" s="1570"/>
      <c r="AU2861" s="1570"/>
      <c r="AV2861" s="1570"/>
      <c r="AW2861" s="1570"/>
      <c r="AX2861" s="1570"/>
      <c r="AY2861" s="1570"/>
      <c r="AZ2861" s="1570"/>
      <c r="BA2861" s="1570"/>
      <c r="BB2861" s="1570"/>
      <c r="BC2861" s="1570"/>
      <c r="BD2861" s="1570"/>
      <c r="BE2861" s="1570"/>
      <c r="BF2861" s="1570"/>
      <c r="BG2861" s="1570"/>
      <c r="BH2861" s="1570"/>
      <c r="BI2861" s="1570"/>
      <c r="BJ2861" s="1570"/>
      <c r="BK2861" s="1570"/>
      <c r="BL2861" s="1570"/>
      <c r="BM2861" s="1570"/>
      <c r="BN2861" s="1570"/>
      <c r="BO2861" s="1570"/>
      <c r="BP2861" s="1570"/>
      <c r="BQ2861" s="1570"/>
      <c r="BR2861" s="1570"/>
      <c r="BS2861" s="1570"/>
      <c r="BT2861" s="1570"/>
      <c r="BU2861" s="1570"/>
      <c r="BV2861" s="1570"/>
      <c r="BW2861" s="1570"/>
      <c r="BX2861" s="1570"/>
      <c r="BY2861" s="1570"/>
      <c r="BZ2861" s="1570"/>
      <c r="CA2861" s="1570"/>
      <c r="CB2861" s="1570"/>
      <c r="CC2861" s="1570"/>
      <c r="CD2861" s="1570"/>
      <c r="CE2861" s="1570"/>
      <c r="CF2861" s="1570"/>
      <c r="CG2861" s="1570"/>
      <c r="CH2861" s="1570"/>
      <c r="CI2861" s="1570"/>
      <c r="CJ2861" s="1570"/>
      <c r="CK2861" s="1570"/>
      <c r="CL2861" s="1570"/>
      <c r="CM2861" s="1570"/>
      <c r="CN2861" s="1570"/>
      <c r="CO2861" s="1570"/>
      <c r="CP2861" s="1570"/>
      <c r="CQ2861" s="1570"/>
      <c r="CR2861" s="1570"/>
      <c r="CS2861" s="1570"/>
      <c r="CT2861" s="1570"/>
      <c r="CU2861" s="1570"/>
      <c r="CV2861" s="1570"/>
      <c r="CW2861" s="1570"/>
      <c r="CX2861" s="1570"/>
      <c r="CY2861" s="1570"/>
      <c r="CZ2861" s="1570"/>
      <c r="DA2861" s="1570"/>
      <c r="DB2861" s="1570"/>
      <c r="DC2861" s="1570"/>
      <c r="DD2861" s="1570"/>
      <c r="DE2861" s="1570"/>
      <c r="DF2861" s="1570"/>
      <c r="DG2861" s="1570"/>
      <c r="DH2861" s="1570"/>
      <c r="DI2861" s="1570"/>
      <c r="DJ2861" s="1570"/>
      <c r="DK2861" s="1570"/>
      <c r="DL2861" s="1570"/>
      <c r="DM2861" s="1570"/>
      <c r="DN2861" s="1570"/>
      <c r="DO2861" s="1570"/>
      <c r="DP2861" s="1570"/>
    </row>
    <row r="2862" spans="1:123" s="1423" customFormat="1" ht="15" customHeight="1">
      <c r="A2862" s="355" t="s">
        <v>3935</v>
      </c>
      <c r="B2862" s="1571">
        <v>22</v>
      </c>
      <c r="C2862" s="356">
        <v>30</v>
      </c>
      <c r="D2862" s="357" t="s">
        <v>211</v>
      </c>
      <c r="E2862" s="357" t="s">
        <v>3936</v>
      </c>
      <c r="F2862" s="357" t="s">
        <v>276</v>
      </c>
      <c r="G2862" s="1184">
        <f>ROUNDUP(H2862/0.53/125,2)</f>
        <v>1.0900000000000001</v>
      </c>
      <c r="H2862" s="1567" t="s">
        <v>3937</v>
      </c>
      <c r="I2862" s="1568">
        <f>((G2862*J2862)-H2862)/(G2862*J2862)</f>
        <v>0.47376146788990825</v>
      </c>
      <c r="J2862" s="1569">
        <v>125</v>
      </c>
      <c r="K2862" s="1570"/>
      <c r="L2862" s="1570"/>
      <c r="M2862" s="1570"/>
      <c r="N2862" s="1570"/>
      <c r="O2862" s="1570"/>
      <c r="P2862" s="1570"/>
      <c r="Q2862" s="1570"/>
      <c r="R2862" s="1570"/>
      <c r="S2862" s="1570"/>
      <c r="T2862" s="1570"/>
      <c r="U2862" s="1570"/>
      <c r="V2862" s="1570"/>
      <c r="W2862" s="1570"/>
      <c r="X2862" s="1570"/>
      <c r="Y2862" s="1570"/>
      <c r="Z2862" s="1570"/>
      <c r="AA2862" s="1570"/>
      <c r="AB2862" s="1570"/>
      <c r="AC2862" s="1570"/>
      <c r="AD2862" s="1570"/>
      <c r="AE2862" s="1570"/>
      <c r="AF2862" s="1570"/>
      <c r="AG2862" s="1570"/>
      <c r="AH2862" s="1570"/>
      <c r="AI2862" s="1570"/>
      <c r="AJ2862" s="1570"/>
      <c r="AK2862" s="1570"/>
      <c r="AL2862" s="1570"/>
      <c r="AM2862" s="1570"/>
      <c r="AN2862" s="1570"/>
      <c r="AO2862" s="1570"/>
      <c r="AP2862" s="1570"/>
      <c r="AQ2862" s="1570"/>
      <c r="AR2862" s="1570"/>
      <c r="AS2862" s="1570"/>
      <c r="AT2862" s="1570"/>
      <c r="AU2862" s="1570"/>
      <c r="AV2862" s="1570"/>
      <c r="AW2862" s="1570"/>
      <c r="AX2862" s="1570"/>
      <c r="AY2862" s="1570"/>
      <c r="AZ2862" s="1570"/>
      <c r="BA2862" s="1570"/>
      <c r="BB2862" s="1570"/>
      <c r="BC2862" s="1570"/>
      <c r="BD2862" s="1570"/>
      <c r="BE2862" s="1570"/>
      <c r="BF2862" s="1570"/>
      <c r="BG2862" s="1570"/>
      <c r="BH2862" s="1570"/>
      <c r="BI2862" s="1570"/>
      <c r="BJ2862" s="1570"/>
      <c r="BK2862" s="1570"/>
      <c r="BL2862" s="1570"/>
      <c r="BM2862" s="1570"/>
      <c r="BN2862" s="1570"/>
      <c r="BO2862" s="1570"/>
      <c r="BP2862" s="1570"/>
      <c r="BQ2862" s="1570"/>
      <c r="BR2862" s="1570"/>
      <c r="BS2862" s="1570"/>
      <c r="BT2862" s="1570"/>
      <c r="BU2862" s="1570"/>
      <c r="BV2862" s="1570"/>
      <c r="BW2862" s="1570"/>
      <c r="BX2862" s="1570"/>
      <c r="BY2862" s="1570"/>
      <c r="BZ2862" s="1570"/>
      <c r="CA2862" s="1570"/>
      <c r="CB2862" s="1570"/>
      <c r="CC2862" s="1570"/>
      <c r="CD2862" s="1570"/>
      <c r="CE2862" s="1570"/>
      <c r="CF2862" s="1570"/>
      <c r="CG2862" s="1570"/>
      <c r="CH2862" s="1570"/>
      <c r="CI2862" s="1570"/>
      <c r="CJ2862" s="1570"/>
      <c r="CK2862" s="1570"/>
      <c r="CL2862" s="1570"/>
      <c r="CM2862" s="1570"/>
      <c r="CN2862" s="1570"/>
      <c r="CO2862" s="1570"/>
      <c r="CP2862" s="1570"/>
      <c r="CQ2862" s="1570"/>
      <c r="CR2862" s="1570"/>
      <c r="CS2862" s="1570"/>
      <c r="CT2862" s="1570"/>
      <c r="CU2862" s="1570"/>
      <c r="CV2862" s="1570"/>
      <c r="CW2862" s="1570"/>
      <c r="CX2862" s="1570"/>
      <c r="CY2862" s="1570"/>
      <c r="CZ2862" s="1570"/>
      <c r="DA2862" s="1570"/>
      <c r="DB2862" s="1570"/>
      <c r="DC2862" s="1570"/>
      <c r="DD2862" s="1570"/>
      <c r="DE2862" s="1570"/>
      <c r="DF2862" s="1570"/>
      <c r="DG2862" s="1570"/>
      <c r="DH2862" s="1570"/>
      <c r="DI2862" s="1570"/>
      <c r="DJ2862" s="1570"/>
      <c r="DK2862" s="1570"/>
      <c r="DL2862" s="1570"/>
      <c r="DM2862" s="1570"/>
      <c r="DN2862" s="1570"/>
      <c r="DO2862" s="1570"/>
      <c r="DP2862" s="1570"/>
      <c r="DQ2862" s="1570"/>
      <c r="DR2862" s="1570"/>
      <c r="DS2862" s="1570"/>
    </row>
    <row r="2863" spans="1:123">
      <c r="I2863" s="1548"/>
      <c r="J2863" s="1549"/>
    </row>
    <row r="2864" spans="1:123">
      <c r="I2864" s="1548"/>
      <c r="J2864" s="1549"/>
    </row>
    <row r="2865" spans="1:7">
      <c r="A2865" t="s">
        <v>3938</v>
      </c>
    </row>
    <row r="2866" spans="1:7" s="369" customFormat="1">
      <c r="A2866" s="295" t="s">
        <v>40</v>
      </c>
      <c r="B2866" s="312" t="s">
        <v>16</v>
      </c>
      <c r="C2866" s="312" t="s">
        <v>3915</v>
      </c>
      <c r="D2866" s="1552" t="s">
        <v>3604</v>
      </c>
      <c r="E2866" s="368" t="s">
        <v>3913</v>
      </c>
      <c r="F2866" s="1547" t="s">
        <v>3909</v>
      </c>
      <c r="G2866" s="1547" t="s">
        <v>1843</v>
      </c>
    </row>
    <row r="2867" spans="1:7" s="369" customFormat="1">
      <c r="A2867" s="366" t="s">
        <v>3939</v>
      </c>
      <c r="B2867" s="366" t="s">
        <v>3940</v>
      </c>
      <c r="C2867" s="366" t="s">
        <v>3917</v>
      </c>
      <c r="D2867" s="370">
        <f>ROUNDUP(E2867/0.7/125,2)</f>
        <v>20.580000000000002</v>
      </c>
      <c r="E2867" s="371">
        <v>1800</v>
      </c>
      <c r="F2867" s="1548">
        <f>((D2867*G2867)-E2867)/(D2867*G2867)</f>
        <v>0.30029154518950452</v>
      </c>
      <c r="G2867" s="1549">
        <v>125</v>
      </c>
    </row>
    <row r="2868" spans="1:7" s="369" customFormat="1">
      <c r="A2868" s="366" t="s">
        <v>3939</v>
      </c>
      <c r="B2868" s="366" t="s">
        <v>3940</v>
      </c>
      <c r="C2868" s="366" t="s">
        <v>3916</v>
      </c>
      <c r="D2868" s="370">
        <f>ROUNDUP(E2868/0.7/125,2)</f>
        <v>24</v>
      </c>
      <c r="E2868" s="371">
        <f>1800+300</f>
        <v>2100</v>
      </c>
      <c r="F2868" s="1548">
        <f>((D2868*G2868)-E2868)/(D2868*G2868)</f>
        <v>0.3</v>
      </c>
      <c r="G2868" s="1549">
        <v>125</v>
      </c>
    </row>
    <row r="2869" spans="1:7" s="369" customFormat="1">
      <c r="A2869" s="366" t="s">
        <v>3941</v>
      </c>
      <c r="B2869" s="366" t="s">
        <v>3942</v>
      </c>
      <c r="C2869" s="372" t="s">
        <v>3949</v>
      </c>
      <c r="D2869" s="370">
        <f>ROUNDUP(E2869/0.7/125,2)</f>
        <v>20.580000000000002</v>
      </c>
      <c r="E2869" s="371">
        <v>1800</v>
      </c>
      <c r="F2869" s="1548">
        <f>((D2869*G2869)-E2869)/(D2869*G2869)</f>
        <v>0.30029154518950452</v>
      </c>
      <c r="G2869" s="1549">
        <v>125</v>
      </c>
    </row>
    <row r="2870" spans="1:7" s="369" customFormat="1">
      <c r="A2870" s="366" t="s">
        <v>3941</v>
      </c>
      <c r="B2870" s="366" t="s">
        <v>3942</v>
      </c>
      <c r="C2870" s="372" t="s">
        <v>3950</v>
      </c>
      <c r="D2870" s="370">
        <f>ROUNDUP(E2870/0.7/125,2)</f>
        <v>24</v>
      </c>
      <c r="E2870" s="371">
        <f>1800+300</f>
        <v>2100</v>
      </c>
      <c r="F2870" s="1548">
        <f>((D2870*G2870)-E2870)/(D2870*G2870)</f>
        <v>0.3</v>
      </c>
      <c r="G2870" s="1549">
        <v>125</v>
      </c>
    </row>
    <row r="2871" spans="1:7" s="369" customFormat="1">
      <c r="A2871" s="366"/>
      <c r="B2871" s="366"/>
      <c r="C2871" s="372"/>
      <c r="D2871" s="370"/>
      <c r="E2871" s="371"/>
      <c r="F2871" s="1548"/>
      <c r="G2871" s="1549"/>
    </row>
    <row r="2872" spans="1:7" s="369" customFormat="1">
      <c r="A2872" s="366" t="s">
        <v>3946</v>
      </c>
      <c r="B2872" s="366" t="s">
        <v>3943</v>
      </c>
      <c r="C2872" s="366" t="s">
        <v>3944</v>
      </c>
      <c r="D2872" s="370">
        <f>ROUNDUP(E2872/0.7/125,2)</f>
        <v>24</v>
      </c>
      <c r="E2872" s="371">
        <v>2100</v>
      </c>
      <c r="F2872" s="1548">
        <f>((D2872*G2872)-E2872)/(D2872*G2872)</f>
        <v>0.3</v>
      </c>
      <c r="G2872" s="1549">
        <v>125</v>
      </c>
    </row>
    <row r="2873" spans="1:7" s="369" customFormat="1">
      <c r="A2873" s="366" t="s">
        <v>3947</v>
      </c>
      <c r="B2873" s="366" t="s">
        <v>3943</v>
      </c>
      <c r="C2873" s="366" t="s">
        <v>3921</v>
      </c>
      <c r="D2873" s="370">
        <f>ROUNDUP(E2873/0.7/125,2)</f>
        <v>27.430000000000003</v>
      </c>
      <c r="E2873" s="371">
        <f>2100+300</f>
        <v>2400</v>
      </c>
      <c r="F2873" s="1548">
        <f>((D2873*G2873)-E2873)/(D2873*G2873)</f>
        <v>0.30003645643456078</v>
      </c>
      <c r="G2873" s="1549">
        <v>125</v>
      </c>
    </row>
    <row r="2874" spans="1:7" s="369" customFormat="1">
      <c r="A2874" s="366"/>
      <c r="B2874" s="366"/>
      <c r="C2874" s="366"/>
      <c r="D2874" s="370"/>
      <c r="E2874" s="371"/>
      <c r="F2874" s="1548"/>
      <c r="G2874" s="1549"/>
    </row>
    <row r="2875" spans="1:7" s="369" customFormat="1">
      <c r="A2875" s="366" t="s">
        <v>3948</v>
      </c>
      <c r="B2875" s="366" t="s">
        <v>3945</v>
      </c>
      <c r="C2875" s="366" t="s">
        <v>3944</v>
      </c>
      <c r="D2875" s="370">
        <f>ROUNDUP(E2875/0.7/125,2)</f>
        <v>21.720000000000002</v>
      </c>
      <c r="E2875" s="371">
        <v>1900</v>
      </c>
      <c r="F2875" s="1548">
        <f>((D2875*G2875)-E2875)/(D2875*G2875)</f>
        <v>0.30018416206261522</v>
      </c>
      <c r="G2875" s="1549">
        <v>125</v>
      </c>
    </row>
    <row r="2876" spans="1:7" s="369" customFormat="1">
      <c r="A2876" s="366" t="s">
        <v>3948</v>
      </c>
      <c r="B2876" s="366" t="s">
        <v>3945</v>
      </c>
      <c r="C2876" s="366" t="s">
        <v>3921</v>
      </c>
      <c r="D2876" s="370">
        <f>ROUNDUP(E2876/0.7/125,2)</f>
        <v>25.150000000000002</v>
      </c>
      <c r="E2876" s="371">
        <f>1900+300</f>
        <v>2200</v>
      </c>
      <c r="F2876" s="1548">
        <f>((D2876*G2876)-E2876)/(D2876*G2876)</f>
        <v>0.30019880715705777</v>
      </c>
      <c r="G2876" s="1549">
        <v>125</v>
      </c>
    </row>
    <row r="2879" spans="1:7" ht="15">
      <c r="A2879" s="21">
        <v>3920</v>
      </c>
      <c r="B2879" s="596">
        <v>19</v>
      </c>
      <c r="C2879" s="21" t="s">
        <v>3954</v>
      </c>
      <c r="D2879" s="93">
        <v>30</v>
      </c>
      <c r="E2879" s="94">
        <v>4</v>
      </c>
      <c r="F2879" s="8">
        <f>D2879*E2879</f>
        <v>120</v>
      </c>
    </row>
    <row r="2882" spans="1:119">
      <c r="A2882" s="289" t="s">
        <v>99</v>
      </c>
      <c r="B2882" s="289" t="s">
        <v>3654</v>
      </c>
      <c r="C2882" s="289" t="s">
        <v>203</v>
      </c>
      <c r="D2882" s="289" t="s">
        <v>163</v>
      </c>
      <c r="E2882" s="289" t="s">
        <v>197</v>
      </c>
      <c r="F2882" s="289" t="s">
        <v>198</v>
      </c>
      <c r="G2882" s="1541" t="s">
        <v>242</v>
      </c>
    </row>
    <row r="2883" spans="1:119">
      <c r="A2883" s="41">
        <v>3920</v>
      </c>
      <c r="B2883" s="1264">
        <v>19</v>
      </c>
      <c r="C2883" s="41" t="s">
        <v>3954</v>
      </c>
      <c r="D2883" s="296">
        <v>30</v>
      </c>
      <c r="E2883" s="297">
        <v>4</v>
      </c>
      <c r="F2883" s="298">
        <f>D2883*E2883</f>
        <v>120</v>
      </c>
      <c r="G2883" s="1184">
        <v>0.62</v>
      </c>
    </row>
    <row r="2884" spans="1:119">
      <c r="A2884" s="41"/>
      <c r="B2884" s="136"/>
      <c r="C2884" s="136" t="s">
        <v>218</v>
      </c>
      <c r="D2884" s="292"/>
      <c r="E2884" s="297"/>
      <c r="F2884" s="292">
        <v>1</v>
      </c>
      <c r="G2884" s="1181">
        <v>12</v>
      </c>
    </row>
    <row r="2887" spans="1:119">
      <c r="A2887" t="s">
        <v>3971</v>
      </c>
    </row>
    <row r="2889" spans="1:119" s="359" customFormat="1" ht="25.5">
      <c r="A2889" s="379" t="s">
        <v>171</v>
      </c>
      <c r="B2889" s="380" t="s">
        <v>90</v>
      </c>
      <c r="C2889" s="381" t="s">
        <v>2</v>
      </c>
      <c r="D2889" s="382" t="s">
        <v>204</v>
      </c>
      <c r="E2889" s="1158" t="s">
        <v>225</v>
      </c>
      <c r="F2889" s="326" t="s">
        <v>3357</v>
      </c>
      <c r="G2889" s="1565" t="s">
        <v>176</v>
      </c>
      <c r="H2889" s="1566" t="s">
        <v>3909</v>
      </c>
      <c r="I2889" s="1566" t="s">
        <v>1843</v>
      </c>
    </row>
    <row r="2890" spans="1:119" s="337" customFormat="1" ht="15" customHeight="1">
      <c r="A2890" s="355" t="s">
        <v>3975</v>
      </c>
      <c r="B2890" s="360">
        <v>3</v>
      </c>
      <c r="C2890" s="356" t="s">
        <v>3972</v>
      </c>
      <c r="D2890" s="357" t="s">
        <v>3977</v>
      </c>
      <c r="E2890" s="357" t="s">
        <v>3973</v>
      </c>
      <c r="F2890" s="1184">
        <v>1.48</v>
      </c>
      <c r="G2890" s="1574">
        <v>106</v>
      </c>
      <c r="H2890" s="1568">
        <f t="shared" ref="H2890:H2898" si="46">((F2890*I2890)-G2890)/(F2890*I2890)</f>
        <v>0.40315315315315314</v>
      </c>
      <c r="I2890" s="1569">
        <v>120</v>
      </c>
      <c r="J2890" s="1570"/>
      <c r="K2890" s="1570"/>
      <c r="L2890" s="1570"/>
      <c r="M2890" s="1570"/>
      <c r="N2890" s="1570"/>
      <c r="O2890" s="1570"/>
      <c r="P2890" s="1570"/>
      <c r="Q2890" s="1570"/>
      <c r="R2890" s="1570"/>
      <c r="S2890" s="1570"/>
      <c r="T2890" s="1570"/>
      <c r="U2890" s="1570"/>
      <c r="V2890" s="1570"/>
      <c r="W2890" s="1570"/>
      <c r="X2890" s="1570"/>
      <c r="Y2890" s="1570"/>
      <c r="Z2890" s="1570"/>
      <c r="AA2890" s="1570"/>
      <c r="AB2890" s="1570"/>
      <c r="AC2890" s="1570"/>
      <c r="AD2890" s="1570"/>
      <c r="AE2890" s="1570"/>
      <c r="AF2890" s="1570"/>
      <c r="AG2890" s="1570"/>
      <c r="AH2890" s="1570"/>
      <c r="AI2890" s="1570"/>
      <c r="AJ2890" s="1570"/>
      <c r="AK2890" s="1570"/>
      <c r="AL2890" s="1570"/>
      <c r="AM2890" s="1570"/>
      <c r="AN2890" s="1570"/>
      <c r="AO2890" s="1570"/>
      <c r="AP2890" s="1570"/>
      <c r="AQ2890" s="1570"/>
      <c r="AR2890" s="1570"/>
      <c r="AS2890" s="1570"/>
      <c r="AT2890" s="1570"/>
      <c r="AU2890" s="1570"/>
      <c r="AV2890" s="1570"/>
      <c r="AW2890" s="1570"/>
      <c r="AX2890" s="1570"/>
      <c r="AY2890" s="1570"/>
      <c r="AZ2890" s="1570"/>
      <c r="BA2890" s="1570"/>
      <c r="BB2890" s="1570"/>
      <c r="BC2890" s="1570"/>
      <c r="BD2890" s="1570"/>
      <c r="BE2890" s="1570"/>
      <c r="BF2890" s="1570"/>
      <c r="BG2890" s="1570"/>
      <c r="BH2890" s="1570"/>
      <c r="BI2890" s="1570"/>
      <c r="BJ2890" s="1570"/>
      <c r="BK2890" s="1570"/>
      <c r="BL2890" s="1570"/>
      <c r="BM2890" s="1570"/>
      <c r="BN2890" s="1570"/>
      <c r="BO2890" s="1570"/>
      <c r="BP2890" s="1570"/>
      <c r="BQ2890" s="1570"/>
      <c r="BR2890" s="1570"/>
      <c r="BS2890" s="1570"/>
      <c r="BT2890" s="1570"/>
      <c r="BU2890" s="1570"/>
      <c r="BV2890" s="1570"/>
      <c r="BW2890" s="1570"/>
      <c r="BX2890" s="1570"/>
      <c r="BY2890" s="1570"/>
      <c r="BZ2890" s="1570"/>
      <c r="CA2890" s="1570"/>
      <c r="CB2890" s="1570"/>
      <c r="CC2890" s="1570"/>
      <c r="CD2890" s="1570"/>
      <c r="CE2890" s="1570"/>
      <c r="CF2890" s="1570"/>
      <c r="CG2890" s="1570"/>
      <c r="CH2890" s="1570"/>
      <c r="CI2890" s="1570"/>
      <c r="CJ2890" s="1570"/>
      <c r="CK2890" s="1570"/>
      <c r="CL2890" s="1570"/>
      <c r="CM2890" s="1570"/>
      <c r="CN2890" s="1570"/>
      <c r="CO2890" s="1570"/>
      <c r="CP2890" s="1570"/>
      <c r="CQ2890" s="1570"/>
      <c r="CR2890" s="1570"/>
      <c r="CS2890" s="1570"/>
      <c r="CT2890" s="1570"/>
      <c r="CU2890" s="1570"/>
      <c r="CV2890" s="1570"/>
      <c r="CW2890" s="1570"/>
      <c r="CX2890" s="1570"/>
      <c r="CY2890" s="1570"/>
      <c r="CZ2890" s="1570"/>
      <c r="DA2890" s="1570"/>
      <c r="DB2890" s="1570"/>
      <c r="DC2890" s="1570"/>
      <c r="DD2890" s="1570"/>
      <c r="DE2890" s="1570"/>
      <c r="DF2890" s="1570"/>
      <c r="DG2890" s="1570"/>
      <c r="DH2890" s="1570"/>
      <c r="DI2890" s="1570"/>
      <c r="DJ2890" s="1570"/>
      <c r="DK2890" s="1570"/>
      <c r="DL2890" s="1570"/>
      <c r="DM2890" s="1570"/>
      <c r="DN2890" s="1570"/>
      <c r="DO2890" s="1570"/>
    </row>
    <row r="2891" spans="1:119" s="337" customFormat="1" ht="15" customHeight="1">
      <c r="A2891" s="355" t="s">
        <v>3976</v>
      </c>
      <c r="B2891" s="360">
        <v>4</v>
      </c>
      <c r="C2891" s="356" t="s">
        <v>3972</v>
      </c>
      <c r="D2891" s="357" t="s">
        <v>3977</v>
      </c>
      <c r="E2891" s="357" t="s">
        <v>3973</v>
      </c>
      <c r="F2891" s="1184">
        <v>1.59</v>
      </c>
      <c r="G2891" s="1574">
        <v>114</v>
      </c>
      <c r="H2891" s="1568">
        <f t="shared" si="46"/>
        <v>0.40251572327044027</v>
      </c>
      <c r="I2891" s="1569">
        <v>120</v>
      </c>
      <c r="J2891" s="1570"/>
      <c r="K2891" s="1570"/>
      <c r="L2891" s="1570"/>
      <c r="M2891" s="1570"/>
      <c r="N2891" s="1570"/>
      <c r="O2891" s="1570"/>
      <c r="P2891" s="1570"/>
      <c r="Q2891" s="1570"/>
      <c r="R2891" s="1570"/>
      <c r="S2891" s="1570"/>
      <c r="T2891" s="1570"/>
      <c r="U2891" s="1570"/>
      <c r="V2891" s="1570"/>
      <c r="W2891" s="1570"/>
      <c r="X2891" s="1570"/>
      <c r="Y2891" s="1570"/>
      <c r="Z2891" s="1570"/>
      <c r="AA2891" s="1570"/>
      <c r="AB2891" s="1570"/>
      <c r="AC2891" s="1570"/>
      <c r="AD2891" s="1570"/>
      <c r="AE2891" s="1570"/>
      <c r="AF2891" s="1570"/>
      <c r="AG2891" s="1570"/>
      <c r="AH2891" s="1570"/>
      <c r="AI2891" s="1570"/>
      <c r="AJ2891" s="1570"/>
      <c r="AK2891" s="1570"/>
      <c r="AL2891" s="1570"/>
      <c r="AM2891" s="1570"/>
      <c r="AN2891" s="1570"/>
      <c r="AO2891" s="1570"/>
      <c r="AP2891" s="1570"/>
      <c r="AQ2891" s="1570"/>
      <c r="AR2891" s="1570"/>
      <c r="AS2891" s="1570"/>
      <c r="AT2891" s="1570"/>
      <c r="AU2891" s="1570"/>
      <c r="AV2891" s="1570"/>
      <c r="AW2891" s="1570"/>
      <c r="AX2891" s="1570"/>
      <c r="AY2891" s="1570"/>
      <c r="AZ2891" s="1570"/>
      <c r="BA2891" s="1570"/>
      <c r="BB2891" s="1570"/>
      <c r="BC2891" s="1570"/>
      <c r="BD2891" s="1570"/>
      <c r="BE2891" s="1570"/>
      <c r="BF2891" s="1570"/>
      <c r="BG2891" s="1570"/>
      <c r="BH2891" s="1570"/>
      <c r="BI2891" s="1570"/>
      <c r="BJ2891" s="1570"/>
      <c r="BK2891" s="1570"/>
      <c r="BL2891" s="1570"/>
      <c r="BM2891" s="1570"/>
      <c r="BN2891" s="1570"/>
      <c r="BO2891" s="1570"/>
      <c r="BP2891" s="1570"/>
      <c r="BQ2891" s="1570"/>
      <c r="BR2891" s="1570"/>
      <c r="BS2891" s="1570"/>
      <c r="BT2891" s="1570"/>
      <c r="BU2891" s="1570"/>
      <c r="BV2891" s="1570"/>
      <c r="BW2891" s="1570"/>
      <c r="BX2891" s="1570"/>
      <c r="BY2891" s="1570"/>
      <c r="BZ2891" s="1570"/>
      <c r="CA2891" s="1570"/>
      <c r="CB2891" s="1570"/>
      <c r="CC2891" s="1570"/>
      <c r="CD2891" s="1570"/>
      <c r="CE2891" s="1570"/>
      <c r="CF2891" s="1570"/>
      <c r="CG2891" s="1570"/>
      <c r="CH2891" s="1570"/>
      <c r="CI2891" s="1570"/>
      <c r="CJ2891" s="1570"/>
      <c r="CK2891" s="1570"/>
      <c r="CL2891" s="1570"/>
      <c r="CM2891" s="1570"/>
      <c r="CN2891" s="1570"/>
      <c r="CO2891" s="1570"/>
      <c r="CP2891" s="1570"/>
      <c r="CQ2891" s="1570"/>
      <c r="CR2891" s="1570"/>
      <c r="CS2891" s="1570"/>
      <c r="CT2891" s="1570"/>
      <c r="CU2891" s="1570"/>
      <c r="CV2891" s="1570"/>
      <c r="CW2891" s="1570"/>
      <c r="CX2891" s="1570"/>
      <c r="CY2891" s="1570"/>
      <c r="CZ2891" s="1570"/>
      <c r="DA2891" s="1570"/>
      <c r="DB2891" s="1570"/>
      <c r="DC2891" s="1570"/>
      <c r="DD2891" s="1570"/>
      <c r="DE2891" s="1570"/>
      <c r="DF2891" s="1570"/>
      <c r="DG2891" s="1570"/>
      <c r="DH2891" s="1570"/>
      <c r="DI2891" s="1570"/>
      <c r="DJ2891" s="1570"/>
      <c r="DK2891" s="1570"/>
      <c r="DL2891" s="1570"/>
      <c r="DM2891" s="1570"/>
      <c r="DN2891" s="1570"/>
      <c r="DO2891" s="1570"/>
    </row>
    <row r="2892" spans="1:119" s="337" customFormat="1" ht="15" customHeight="1">
      <c r="A2892" s="355" t="s">
        <v>3974</v>
      </c>
      <c r="B2892" s="360">
        <v>4</v>
      </c>
      <c r="C2892" s="356" t="s">
        <v>3972</v>
      </c>
      <c r="D2892" s="357" t="s">
        <v>3977</v>
      </c>
      <c r="E2892" s="357" t="s">
        <v>3973</v>
      </c>
      <c r="F2892" s="1184">
        <v>1.71</v>
      </c>
      <c r="G2892" s="1574">
        <v>123</v>
      </c>
      <c r="H2892" s="1568">
        <f t="shared" si="46"/>
        <v>0.40058479532163738</v>
      </c>
      <c r="I2892" s="1569">
        <v>120</v>
      </c>
      <c r="J2892" s="1570"/>
      <c r="K2892" s="1570"/>
      <c r="L2892" s="1570"/>
      <c r="M2892" s="1570"/>
      <c r="N2892" s="1570"/>
      <c r="O2892" s="1570"/>
      <c r="P2892" s="1570"/>
      <c r="Q2892" s="1570"/>
      <c r="R2892" s="1570"/>
      <c r="S2892" s="1570"/>
      <c r="T2892" s="1570"/>
      <c r="U2892" s="1570"/>
      <c r="V2892" s="1570"/>
      <c r="W2892" s="1570"/>
      <c r="X2892" s="1570"/>
      <c r="Y2892" s="1570"/>
      <c r="Z2892" s="1570"/>
      <c r="AA2892" s="1570"/>
      <c r="AB2892" s="1570"/>
      <c r="AC2892" s="1570"/>
      <c r="AD2892" s="1570"/>
      <c r="AE2892" s="1570"/>
      <c r="AF2892" s="1570"/>
      <c r="AG2892" s="1570"/>
      <c r="AH2892" s="1570"/>
      <c r="AI2892" s="1570"/>
      <c r="AJ2892" s="1570"/>
      <c r="AK2892" s="1570"/>
      <c r="AL2892" s="1570"/>
      <c r="AM2892" s="1570"/>
      <c r="AN2892" s="1570"/>
      <c r="AO2892" s="1570"/>
      <c r="AP2892" s="1570"/>
      <c r="AQ2892" s="1570"/>
      <c r="AR2892" s="1570"/>
      <c r="AS2892" s="1570"/>
      <c r="AT2892" s="1570"/>
      <c r="AU2892" s="1570"/>
      <c r="AV2892" s="1570"/>
      <c r="AW2892" s="1570"/>
      <c r="AX2892" s="1570"/>
      <c r="AY2892" s="1570"/>
      <c r="AZ2892" s="1570"/>
      <c r="BA2892" s="1570"/>
      <c r="BB2892" s="1570"/>
      <c r="BC2892" s="1570"/>
      <c r="BD2892" s="1570"/>
      <c r="BE2892" s="1570"/>
      <c r="BF2892" s="1570"/>
      <c r="BG2892" s="1570"/>
      <c r="BH2892" s="1570"/>
      <c r="BI2892" s="1570"/>
      <c r="BJ2892" s="1570"/>
      <c r="BK2892" s="1570"/>
      <c r="BL2892" s="1570"/>
      <c r="BM2892" s="1570"/>
      <c r="BN2892" s="1570"/>
      <c r="BO2892" s="1570"/>
      <c r="BP2892" s="1570"/>
      <c r="BQ2892" s="1570"/>
      <c r="BR2892" s="1570"/>
      <c r="BS2892" s="1570"/>
      <c r="BT2892" s="1570"/>
      <c r="BU2892" s="1570"/>
      <c r="BV2892" s="1570"/>
      <c r="BW2892" s="1570"/>
      <c r="BX2892" s="1570"/>
      <c r="BY2892" s="1570"/>
      <c r="BZ2892" s="1570"/>
      <c r="CA2892" s="1570"/>
      <c r="CB2892" s="1570"/>
      <c r="CC2892" s="1570"/>
      <c r="CD2892" s="1570"/>
      <c r="CE2892" s="1570"/>
      <c r="CF2892" s="1570"/>
      <c r="CG2892" s="1570"/>
      <c r="CH2892" s="1570"/>
      <c r="CI2892" s="1570"/>
      <c r="CJ2892" s="1570"/>
      <c r="CK2892" s="1570"/>
      <c r="CL2892" s="1570"/>
      <c r="CM2892" s="1570"/>
      <c r="CN2892" s="1570"/>
      <c r="CO2892" s="1570"/>
      <c r="CP2892" s="1570"/>
      <c r="CQ2892" s="1570"/>
      <c r="CR2892" s="1570"/>
      <c r="CS2892" s="1570"/>
      <c r="CT2892" s="1570"/>
      <c r="CU2892" s="1570"/>
      <c r="CV2892" s="1570"/>
      <c r="CW2892" s="1570"/>
      <c r="CX2892" s="1570"/>
      <c r="CY2892" s="1570"/>
      <c r="CZ2892" s="1570"/>
      <c r="DA2892" s="1570"/>
      <c r="DB2892" s="1570"/>
      <c r="DC2892" s="1570"/>
      <c r="DD2892" s="1570"/>
      <c r="DE2892" s="1570"/>
      <c r="DF2892" s="1570"/>
      <c r="DG2892" s="1570"/>
      <c r="DH2892" s="1570"/>
      <c r="DI2892" s="1570"/>
      <c r="DJ2892" s="1570"/>
      <c r="DK2892" s="1570"/>
      <c r="DL2892" s="1570"/>
      <c r="DM2892" s="1570"/>
      <c r="DN2892" s="1570"/>
      <c r="DO2892" s="1570"/>
    </row>
    <row r="2893" spans="1:119" s="337" customFormat="1" ht="15" customHeight="1">
      <c r="A2893" s="355" t="s">
        <v>3978</v>
      </c>
      <c r="B2893" s="360">
        <v>2</v>
      </c>
      <c r="C2893" s="356" t="s">
        <v>3979</v>
      </c>
      <c r="D2893" s="357" t="s">
        <v>3980</v>
      </c>
      <c r="E2893" s="357" t="s">
        <v>3981</v>
      </c>
      <c r="F2893" s="1184">
        <v>0.39</v>
      </c>
      <c r="G2893" s="1574">
        <v>28</v>
      </c>
      <c r="H2893" s="1568">
        <f t="shared" si="46"/>
        <v>0.40170940170940178</v>
      </c>
      <c r="I2893" s="1569">
        <v>120</v>
      </c>
      <c r="J2893" s="1570"/>
      <c r="K2893" s="1570"/>
      <c r="L2893" s="1570"/>
      <c r="M2893" s="1570"/>
      <c r="N2893" s="1570"/>
      <c r="O2893" s="1570"/>
      <c r="P2893" s="1570"/>
      <c r="Q2893" s="1570"/>
      <c r="R2893" s="1570"/>
      <c r="S2893" s="1570"/>
      <c r="T2893" s="1570"/>
      <c r="U2893" s="1570"/>
      <c r="V2893" s="1570"/>
      <c r="W2893" s="1570"/>
      <c r="X2893" s="1570"/>
      <c r="Y2893" s="1570"/>
      <c r="Z2893" s="1570"/>
      <c r="AA2893" s="1570"/>
      <c r="AB2893" s="1570"/>
      <c r="AC2893" s="1570"/>
      <c r="AD2893" s="1570"/>
      <c r="AE2893" s="1570"/>
      <c r="AF2893" s="1570"/>
      <c r="AG2893" s="1570"/>
      <c r="AH2893" s="1570"/>
      <c r="AI2893" s="1570"/>
      <c r="AJ2893" s="1570"/>
      <c r="AK2893" s="1570"/>
      <c r="AL2893" s="1570"/>
      <c r="AM2893" s="1570"/>
      <c r="AN2893" s="1570"/>
      <c r="AO2893" s="1570"/>
      <c r="AP2893" s="1570"/>
      <c r="AQ2893" s="1570"/>
      <c r="AR2893" s="1570"/>
      <c r="AS2893" s="1570"/>
      <c r="AT2893" s="1570"/>
      <c r="AU2893" s="1570"/>
      <c r="AV2893" s="1570"/>
      <c r="AW2893" s="1570"/>
      <c r="AX2893" s="1570"/>
      <c r="AY2893" s="1570"/>
      <c r="AZ2893" s="1570"/>
      <c r="BA2893" s="1570"/>
      <c r="BB2893" s="1570"/>
      <c r="BC2893" s="1570"/>
      <c r="BD2893" s="1570"/>
      <c r="BE2893" s="1570"/>
      <c r="BF2893" s="1570"/>
      <c r="BG2893" s="1570"/>
      <c r="BH2893" s="1570"/>
      <c r="BI2893" s="1570"/>
      <c r="BJ2893" s="1570"/>
      <c r="BK2893" s="1570"/>
      <c r="BL2893" s="1570"/>
      <c r="BM2893" s="1570"/>
      <c r="BN2893" s="1570"/>
      <c r="BO2893" s="1570"/>
      <c r="BP2893" s="1570"/>
      <c r="BQ2893" s="1570"/>
      <c r="BR2893" s="1570"/>
      <c r="BS2893" s="1570"/>
      <c r="BT2893" s="1570"/>
      <c r="BU2893" s="1570"/>
      <c r="BV2893" s="1570"/>
      <c r="BW2893" s="1570"/>
      <c r="BX2893" s="1570"/>
      <c r="BY2893" s="1570"/>
      <c r="BZ2893" s="1570"/>
      <c r="CA2893" s="1570"/>
      <c r="CB2893" s="1570"/>
      <c r="CC2893" s="1570"/>
      <c r="CD2893" s="1570"/>
      <c r="CE2893" s="1570"/>
      <c r="CF2893" s="1570"/>
      <c r="CG2893" s="1570"/>
      <c r="CH2893" s="1570"/>
      <c r="CI2893" s="1570"/>
      <c r="CJ2893" s="1570"/>
      <c r="CK2893" s="1570"/>
      <c r="CL2893" s="1570"/>
      <c r="CM2893" s="1570"/>
      <c r="CN2893" s="1570"/>
      <c r="CO2893" s="1570"/>
      <c r="CP2893" s="1570"/>
      <c r="CQ2893" s="1570"/>
      <c r="CR2893" s="1570"/>
      <c r="CS2893" s="1570"/>
      <c r="CT2893" s="1570"/>
      <c r="CU2893" s="1570"/>
      <c r="CV2893" s="1570"/>
      <c r="CW2893" s="1570"/>
      <c r="CX2893" s="1570"/>
      <c r="CY2893" s="1570"/>
      <c r="CZ2893" s="1570"/>
      <c r="DA2893" s="1570"/>
      <c r="DB2893" s="1570"/>
      <c r="DC2893" s="1570"/>
      <c r="DD2893" s="1570"/>
      <c r="DE2893" s="1570"/>
      <c r="DF2893" s="1570"/>
      <c r="DG2893" s="1570"/>
      <c r="DH2893" s="1570"/>
      <c r="DI2893" s="1570"/>
      <c r="DJ2893" s="1570"/>
      <c r="DK2893" s="1570"/>
      <c r="DL2893" s="1570"/>
      <c r="DM2893" s="1570"/>
      <c r="DN2893" s="1570"/>
      <c r="DO2893" s="1570"/>
    </row>
    <row r="2894" spans="1:119" s="337" customFormat="1" ht="15" customHeight="1">
      <c r="A2894" s="355" t="s">
        <v>3978</v>
      </c>
      <c r="B2894" s="360">
        <v>3</v>
      </c>
      <c r="C2894" s="356" t="s">
        <v>3982</v>
      </c>
      <c r="D2894" s="357" t="s">
        <v>3980</v>
      </c>
      <c r="E2894" s="357" t="s">
        <v>3981</v>
      </c>
      <c r="F2894" s="1184">
        <v>0.5</v>
      </c>
      <c r="G2894" s="1574">
        <v>36</v>
      </c>
      <c r="H2894" s="1568">
        <f t="shared" si="46"/>
        <v>0.4</v>
      </c>
      <c r="I2894" s="1569">
        <v>120</v>
      </c>
      <c r="J2894" s="1570"/>
      <c r="K2894" s="1570"/>
      <c r="L2894" s="1570"/>
      <c r="M2894" s="1570"/>
      <c r="N2894" s="1570"/>
      <c r="O2894" s="1570"/>
      <c r="P2894" s="1570"/>
      <c r="Q2894" s="1570"/>
      <c r="R2894" s="1570"/>
      <c r="S2894" s="1570"/>
      <c r="T2894" s="1570"/>
      <c r="U2894" s="1570"/>
      <c r="V2894" s="1570"/>
      <c r="W2894" s="1570"/>
      <c r="X2894" s="1570"/>
      <c r="Y2894" s="1570"/>
      <c r="Z2894" s="1570"/>
      <c r="AA2894" s="1570"/>
      <c r="AB2894" s="1570"/>
      <c r="AC2894" s="1570"/>
      <c r="AD2894" s="1570"/>
      <c r="AE2894" s="1570"/>
      <c r="AF2894" s="1570"/>
      <c r="AG2894" s="1570"/>
      <c r="AH2894" s="1570"/>
      <c r="AI2894" s="1570"/>
      <c r="AJ2894" s="1570"/>
      <c r="AK2894" s="1570"/>
      <c r="AL2894" s="1570"/>
      <c r="AM2894" s="1570"/>
      <c r="AN2894" s="1570"/>
      <c r="AO2894" s="1570"/>
      <c r="AP2894" s="1570"/>
      <c r="AQ2894" s="1570"/>
      <c r="AR2894" s="1570"/>
      <c r="AS2894" s="1570"/>
      <c r="AT2894" s="1570"/>
      <c r="AU2894" s="1570"/>
      <c r="AV2894" s="1570"/>
      <c r="AW2894" s="1570"/>
      <c r="AX2894" s="1570"/>
      <c r="AY2894" s="1570"/>
      <c r="AZ2894" s="1570"/>
      <c r="BA2894" s="1570"/>
      <c r="BB2894" s="1570"/>
      <c r="BC2894" s="1570"/>
      <c r="BD2894" s="1570"/>
      <c r="BE2894" s="1570"/>
      <c r="BF2894" s="1570"/>
      <c r="BG2894" s="1570"/>
      <c r="BH2894" s="1570"/>
      <c r="BI2894" s="1570"/>
      <c r="BJ2894" s="1570"/>
      <c r="BK2894" s="1570"/>
      <c r="BL2894" s="1570"/>
      <c r="BM2894" s="1570"/>
      <c r="BN2894" s="1570"/>
      <c r="BO2894" s="1570"/>
      <c r="BP2894" s="1570"/>
      <c r="BQ2894" s="1570"/>
      <c r="BR2894" s="1570"/>
      <c r="BS2894" s="1570"/>
      <c r="BT2894" s="1570"/>
      <c r="BU2894" s="1570"/>
      <c r="BV2894" s="1570"/>
      <c r="BW2894" s="1570"/>
      <c r="BX2894" s="1570"/>
      <c r="BY2894" s="1570"/>
      <c r="BZ2894" s="1570"/>
      <c r="CA2894" s="1570"/>
      <c r="CB2894" s="1570"/>
      <c r="CC2894" s="1570"/>
      <c r="CD2894" s="1570"/>
      <c r="CE2894" s="1570"/>
      <c r="CF2894" s="1570"/>
      <c r="CG2894" s="1570"/>
      <c r="CH2894" s="1570"/>
      <c r="CI2894" s="1570"/>
      <c r="CJ2894" s="1570"/>
      <c r="CK2894" s="1570"/>
      <c r="CL2894" s="1570"/>
      <c r="CM2894" s="1570"/>
      <c r="CN2894" s="1570"/>
      <c r="CO2894" s="1570"/>
      <c r="CP2894" s="1570"/>
      <c r="CQ2894" s="1570"/>
      <c r="CR2894" s="1570"/>
      <c r="CS2894" s="1570"/>
      <c r="CT2894" s="1570"/>
      <c r="CU2894" s="1570"/>
      <c r="CV2894" s="1570"/>
      <c r="CW2894" s="1570"/>
      <c r="CX2894" s="1570"/>
      <c r="CY2894" s="1570"/>
      <c r="CZ2894" s="1570"/>
      <c r="DA2894" s="1570"/>
      <c r="DB2894" s="1570"/>
      <c r="DC2894" s="1570"/>
      <c r="DD2894" s="1570"/>
      <c r="DE2894" s="1570"/>
      <c r="DF2894" s="1570"/>
      <c r="DG2894" s="1570"/>
      <c r="DH2894" s="1570"/>
      <c r="DI2894" s="1570"/>
      <c r="DJ2894" s="1570"/>
      <c r="DK2894" s="1570"/>
      <c r="DL2894" s="1570"/>
      <c r="DM2894" s="1570"/>
      <c r="DN2894" s="1570"/>
      <c r="DO2894" s="1570"/>
    </row>
    <row r="2895" spans="1:119" s="337" customFormat="1" ht="15" customHeight="1">
      <c r="A2895" s="355" t="s">
        <v>3978</v>
      </c>
      <c r="B2895" s="360">
        <v>5</v>
      </c>
      <c r="C2895" s="356" t="s">
        <v>3983</v>
      </c>
      <c r="D2895" s="357" t="s">
        <v>3980</v>
      </c>
      <c r="E2895" s="357" t="s">
        <v>3981</v>
      </c>
      <c r="F2895" s="1184">
        <v>0.74</v>
      </c>
      <c r="G2895" s="1574">
        <v>53</v>
      </c>
      <c r="H2895" s="1568">
        <f t="shared" si="46"/>
        <v>0.40315315315315314</v>
      </c>
      <c r="I2895" s="1569">
        <v>120</v>
      </c>
      <c r="J2895" s="1570"/>
      <c r="K2895" s="1570"/>
      <c r="L2895" s="1570"/>
      <c r="M2895" s="1570"/>
      <c r="N2895" s="1570"/>
      <c r="O2895" s="1570"/>
      <c r="P2895" s="1570"/>
      <c r="Q2895" s="1570"/>
      <c r="R2895" s="1570"/>
      <c r="S2895" s="1570"/>
      <c r="T2895" s="1570"/>
      <c r="U2895" s="1570"/>
      <c r="V2895" s="1570"/>
      <c r="W2895" s="1570"/>
      <c r="X2895" s="1570"/>
      <c r="Y2895" s="1570"/>
      <c r="Z2895" s="1570"/>
      <c r="AA2895" s="1570"/>
      <c r="AB2895" s="1570"/>
      <c r="AC2895" s="1570"/>
      <c r="AD2895" s="1570"/>
      <c r="AE2895" s="1570"/>
      <c r="AF2895" s="1570"/>
      <c r="AG2895" s="1570"/>
      <c r="AH2895" s="1570"/>
      <c r="AI2895" s="1570"/>
      <c r="AJ2895" s="1570"/>
      <c r="AK2895" s="1570"/>
      <c r="AL2895" s="1570"/>
      <c r="AM2895" s="1570"/>
      <c r="AN2895" s="1570"/>
      <c r="AO2895" s="1570"/>
      <c r="AP2895" s="1570"/>
      <c r="AQ2895" s="1570"/>
      <c r="AR2895" s="1570"/>
      <c r="AS2895" s="1570"/>
      <c r="AT2895" s="1570"/>
      <c r="AU2895" s="1570"/>
      <c r="AV2895" s="1570"/>
      <c r="AW2895" s="1570"/>
      <c r="AX2895" s="1570"/>
      <c r="AY2895" s="1570"/>
      <c r="AZ2895" s="1570"/>
      <c r="BA2895" s="1570"/>
      <c r="BB2895" s="1570"/>
      <c r="BC2895" s="1570"/>
      <c r="BD2895" s="1570"/>
      <c r="BE2895" s="1570"/>
      <c r="BF2895" s="1570"/>
      <c r="BG2895" s="1570"/>
      <c r="BH2895" s="1570"/>
      <c r="BI2895" s="1570"/>
      <c r="BJ2895" s="1570"/>
      <c r="BK2895" s="1570"/>
      <c r="BL2895" s="1570"/>
      <c r="BM2895" s="1570"/>
      <c r="BN2895" s="1570"/>
      <c r="BO2895" s="1570"/>
      <c r="BP2895" s="1570"/>
      <c r="BQ2895" s="1570"/>
      <c r="BR2895" s="1570"/>
      <c r="BS2895" s="1570"/>
      <c r="BT2895" s="1570"/>
      <c r="BU2895" s="1570"/>
      <c r="BV2895" s="1570"/>
      <c r="BW2895" s="1570"/>
      <c r="BX2895" s="1570"/>
      <c r="BY2895" s="1570"/>
      <c r="BZ2895" s="1570"/>
      <c r="CA2895" s="1570"/>
      <c r="CB2895" s="1570"/>
      <c r="CC2895" s="1570"/>
      <c r="CD2895" s="1570"/>
      <c r="CE2895" s="1570"/>
      <c r="CF2895" s="1570"/>
      <c r="CG2895" s="1570"/>
      <c r="CH2895" s="1570"/>
      <c r="CI2895" s="1570"/>
      <c r="CJ2895" s="1570"/>
      <c r="CK2895" s="1570"/>
      <c r="CL2895" s="1570"/>
      <c r="CM2895" s="1570"/>
      <c r="CN2895" s="1570"/>
      <c r="CO2895" s="1570"/>
      <c r="CP2895" s="1570"/>
      <c r="CQ2895" s="1570"/>
      <c r="CR2895" s="1570"/>
      <c r="CS2895" s="1570"/>
      <c r="CT2895" s="1570"/>
      <c r="CU2895" s="1570"/>
      <c r="CV2895" s="1570"/>
      <c r="CW2895" s="1570"/>
      <c r="CX2895" s="1570"/>
      <c r="CY2895" s="1570"/>
      <c r="CZ2895" s="1570"/>
      <c r="DA2895" s="1570"/>
      <c r="DB2895" s="1570"/>
      <c r="DC2895" s="1570"/>
      <c r="DD2895" s="1570"/>
      <c r="DE2895" s="1570"/>
      <c r="DF2895" s="1570"/>
      <c r="DG2895" s="1570"/>
      <c r="DH2895" s="1570"/>
      <c r="DI2895" s="1570"/>
      <c r="DJ2895" s="1570"/>
      <c r="DK2895" s="1570"/>
      <c r="DL2895" s="1570"/>
      <c r="DM2895" s="1570"/>
      <c r="DN2895" s="1570"/>
      <c r="DO2895" s="1570"/>
    </row>
    <row r="2896" spans="1:119" s="337" customFormat="1" ht="15" customHeight="1">
      <c r="A2896" s="355" t="s">
        <v>3984</v>
      </c>
      <c r="B2896" s="1575">
        <v>1.5</v>
      </c>
      <c r="C2896" s="1577">
        <v>30</v>
      </c>
      <c r="D2896" s="357" t="s">
        <v>3980</v>
      </c>
      <c r="E2896" s="302" t="s">
        <v>3407</v>
      </c>
      <c r="F2896" s="1184">
        <v>3.13</v>
      </c>
      <c r="G2896" s="1574">
        <v>225</v>
      </c>
      <c r="H2896" s="1568">
        <f t="shared" si="46"/>
        <v>0.40095846645367406</v>
      </c>
      <c r="I2896" s="1569">
        <v>120</v>
      </c>
      <c r="J2896" s="1570"/>
      <c r="K2896" s="1570"/>
      <c r="L2896" s="1570"/>
      <c r="M2896" s="1570"/>
      <c r="N2896" s="1570"/>
      <c r="O2896" s="1570"/>
      <c r="P2896" s="1570"/>
      <c r="Q2896" s="1570"/>
      <c r="R2896" s="1570"/>
      <c r="S2896" s="1570"/>
      <c r="T2896" s="1570"/>
      <c r="U2896" s="1570"/>
      <c r="V2896" s="1570"/>
      <c r="W2896" s="1570"/>
      <c r="X2896" s="1570"/>
      <c r="Y2896" s="1570"/>
      <c r="Z2896" s="1570"/>
      <c r="AA2896" s="1570"/>
      <c r="AB2896" s="1570"/>
      <c r="AC2896" s="1570"/>
      <c r="AD2896" s="1570"/>
      <c r="AE2896" s="1570"/>
      <c r="AF2896" s="1570"/>
      <c r="AG2896" s="1570"/>
      <c r="AH2896" s="1570"/>
      <c r="AI2896" s="1570"/>
      <c r="AJ2896" s="1570"/>
      <c r="AK2896" s="1570"/>
      <c r="AL2896" s="1570"/>
      <c r="AM2896" s="1570"/>
      <c r="AN2896" s="1570"/>
      <c r="AO2896" s="1570"/>
      <c r="AP2896" s="1570"/>
      <c r="AQ2896" s="1570"/>
      <c r="AR2896" s="1570"/>
      <c r="AS2896" s="1570"/>
      <c r="AT2896" s="1570"/>
      <c r="AU2896" s="1570"/>
      <c r="AV2896" s="1570"/>
      <c r="AW2896" s="1570"/>
      <c r="AX2896" s="1570"/>
      <c r="AY2896" s="1570"/>
      <c r="AZ2896" s="1570"/>
      <c r="BA2896" s="1570"/>
      <c r="BB2896" s="1570"/>
      <c r="BC2896" s="1570"/>
      <c r="BD2896" s="1570"/>
      <c r="BE2896" s="1570"/>
      <c r="BF2896" s="1570"/>
      <c r="BG2896" s="1570"/>
      <c r="BH2896" s="1570"/>
      <c r="BI2896" s="1570"/>
      <c r="BJ2896" s="1570"/>
      <c r="BK2896" s="1570"/>
      <c r="BL2896" s="1570"/>
      <c r="BM2896" s="1570"/>
      <c r="BN2896" s="1570"/>
      <c r="BO2896" s="1570"/>
      <c r="BP2896" s="1570"/>
      <c r="BQ2896" s="1570"/>
      <c r="BR2896" s="1570"/>
      <c r="BS2896" s="1570"/>
      <c r="BT2896" s="1570"/>
      <c r="BU2896" s="1570"/>
      <c r="BV2896" s="1570"/>
      <c r="BW2896" s="1570"/>
      <c r="BX2896" s="1570"/>
      <c r="BY2896" s="1570"/>
      <c r="BZ2896" s="1570"/>
      <c r="CA2896" s="1570"/>
      <c r="CB2896" s="1570"/>
      <c r="CC2896" s="1570"/>
      <c r="CD2896" s="1570"/>
      <c r="CE2896" s="1570"/>
      <c r="CF2896" s="1570"/>
      <c r="CG2896" s="1570"/>
      <c r="CH2896" s="1570"/>
      <c r="CI2896" s="1570"/>
      <c r="CJ2896" s="1570"/>
      <c r="CK2896" s="1570"/>
      <c r="CL2896" s="1570"/>
      <c r="CM2896" s="1570"/>
      <c r="CN2896" s="1570"/>
      <c r="CO2896" s="1570"/>
      <c r="CP2896" s="1570"/>
      <c r="CQ2896" s="1570"/>
      <c r="CR2896" s="1570"/>
      <c r="CS2896" s="1570"/>
      <c r="CT2896" s="1570"/>
      <c r="CU2896" s="1570"/>
      <c r="CV2896" s="1570"/>
      <c r="CW2896" s="1570"/>
      <c r="CX2896" s="1570"/>
      <c r="CY2896" s="1570"/>
      <c r="CZ2896" s="1570"/>
      <c r="DA2896" s="1570"/>
      <c r="DB2896" s="1570"/>
      <c r="DC2896" s="1570"/>
      <c r="DD2896" s="1570"/>
      <c r="DE2896" s="1570"/>
      <c r="DF2896" s="1570"/>
      <c r="DG2896" s="1570"/>
      <c r="DH2896" s="1570"/>
      <c r="DI2896" s="1570"/>
      <c r="DJ2896" s="1570"/>
      <c r="DK2896" s="1570"/>
      <c r="DL2896" s="1570"/>
      <c r="DM2896" s="1570"/>
      <c r="DN2896" s="1570"/>
      <c r="DO2896" s="1570"/>
    </row>
    <row r="2897" spans="1:119" s="337" customFormat="1" ht="15" customHeight="1">
      <c r="A2897" s="355" t="s">
        <v>3984</v>
      </c>
      <c r="B2897" s="1576">
        <v>2</v>
      </c>
      <c r="C2897" s="1577">
        <v>30</v>
      </c>
      <c r="D2897" s="357" t="s">
        <v>3980</v>
      </c>
      <c r="E2897" s="302" t="s">
        <v>3407</v>
      </c>
      <c r="F2897" s="1184">
        <v>3.24</v>
      </c>
      <c r="G2897" s="1574">
        <v>233</v>
      </c>
      <c r="H2897" s="1568">
        <f t="shared" si="46"/>
        <v>0.40072016460905352</v>
      </c>
      <c r="I2897" s="1569">
        <v>120</v>
      </c>
      <c r="J2897" s="1570"/>
      <c r="K2897" s="1570"/>
      <c r="L2897" s="1570"/>
      <c r="M2897" s="1570"/>
      <c r="N2897" s="1570"/>
      <c r="O2897" s="1570"/>
      <c r="P2897" s="1570"/>
      <c r="Q2897" s="1570"/>
      <c r="R2897" s="1570"/>
      <c r="S2897" s="1570"/>
      <c r="T2897" s="1570"/>
      <c r="U2897" s="1570"/>
      <c r="V2897" s="1570"/>
      <c r="W2897" s="1570"/>
      <c r="X2897" s="1570"/>
      <c r="Y2897" s="1570"/>
      <c r="Z2897" s="1570"/>
      <c r="AA2897" s="1570"/>
      <c r="AB2897" s="1570"/>
      <c r="AC2897" s="1570"/>
      <c r="AD2897" s="1570"/>
      <c r="AE2897" s="1570"/>
      <c r="AF2897" s="1570"/>
      <c r="AG2897" s="1570"/>
      <c r="AH2897" s="1570"/>
      <c r="AI2897" s="1570"/>
      <c r="AJ2897" s="1570"/>
      <c r="AK2897" s="1570"/>
      <c r="AL2897" s="1570"/>
      <c r="AM2897" s="1570"/>
      <c r="AN2897" s="1570"/>
      <c r="AO2897" s="1570"/>
      <c r="AP2897" s="1570"/>
      <c r="AQ2897" s="1570"/>
      <c r="AR2897" s="1570"/>
      <c r="AS2897" s="1570"/>
      <c r="AT2897" s="1570"/>
      <c r="AU2897" s="1570"/>
      <c r="AV2897" s="1570"/>
      <c r="AW2897" s="1570"/>
      <c r="AX2897" s="1570"/>
      <c r="AY2897" s="1570"/>
      <c r="AZ2897" s="1570"/>
      <c r="BA2897" s="1570"/>
      <c r="BB2897" s="1570"/>
      <c r="BC2897" s="1570"/>
      <c r="BD2897" s="1570"/>
      <c r="BE2897" s="1570"/>
      <c r="BF2897" s="1570"/>
      <c r="BG2897" s="1570"/>
      <c r="BH2897" s="1570"/>
      <c r="BI2897" s="1570"/>
      <c r="BJ2897" s="1570"/>
      <c r="BK2897" s="1570"/>
      <c r="BL2897" s="1570"/>
      <c r="BM2897" s="1570"/>
      <c r="BN2897" s="1570"/>
      <c r="BO2897" s="1570"/>
      <c r="BP2897" s="1570"/>
      <c r="BQ2897" s="1570"/>
      <c r="BR2897" s="1570"/>
      <c r="BS2897" s="1570"/>
      <c r="BT2897" s="1570"/>
      <c r="BU2897" s="1570"/>
      <c r="BV2897" s="1570"/>
      <c r="BW2897" s="1570"/>
      <c r="BX2897" s="1570"/>
      <c r="BY2897" s="1570"/>
      <c r="BZ2897" s="1570"/>
      <c r="CA2897" s="1570"/>
      <c r="CB2897" s="1570"/>
      <c r="CC2897" s="1570"/>
      <c r="CD2897" s="1570"/>
      <c r="CE2897" s="1570"/>
      <c r="CF2897" s="1570"/>
      <c r="CG2897" s="1570"/>
      <c r="CH2897" s="1570"/>
      <c r="CI2897" s="1570"/>
      <c r="CJ2897" s="1570"/>
      <c r="CK2897" s="1570"/>
      <c r="CL2897" s="1570"/>
      <c r="CM2897" s="1570"/>
      <c r="CN2897" s="1570"/>
      <c r="CO2897" s="1570"/>
      <c r="CP2897" s="1570"/>
      <c r="CQ2897" s="1570"/>
      <c r="CR2897" s="1570"/>
      <c r="CS2897" s="1570"/>
      <c r="CT2897" s="1570"/>
      <c r="CU2897" s="1570"/>
      <c r="CV2897" s="1570"/>
      <c r="CW2897" s="1570"/>
      <c r="CX2897" s="1570"/>
      <c r="CY2897" s="1570"/>
      <c r="CZ2897" s="1570"/>
      <c r="DA2897" s="1570"/>
      <c r="DB2897" s="1570"/>
      <c r="DC2897" s="1570"/>
      <c r="DD2897" s="1570"/>
      <c r="DE2897" s="1570"/>
      <c r="DF2897" s="1570"/>
      <c r="DG2897" s="1570"/>
      <c r="DH2897" s="1570"/>
      <c r="DI2897" s="1570"/>
      <c r="DJ2897" s="1570"/>
      <c r="DK2897" s="1570"/>
      <c r="DL2897" s="1570"/>
      <c r="DM2897" s="1570"/>
      <c r="DN2897" s="1570"/>
      <c r="DO2897" s="1570"/>
    </row>
    <row r="2898" spans="1:119" s="337" customFormat="1" ht="15" customHeight="1">
      <c r="A2898" s="355" t="s">
        <v>3984</v>
      </c>
      <c r="B2898" s="1576">
        <v>3</v>
      </c>
      <c r="C2898" s="1577">
        <v>30</v>
      </c>
      <c r="D2898" s="357" t="s">
        <v>3980</v>
      </c>
      <c r="E2898" s="302" t="s">
        <v>3407</v>
      </c>
      <c r="F2898" s="1184">
        <v>3.45</v>
      </c>
      <c r="G2898" s="1574">
        <v>248</v>
      </c>
      <c r="H2898" s="1568">
        <f t="shared" si="46"/>
        <v>0.40096618357487923</v>
      </c>
      <c r="I2898" s="1569">
        <v>120</v>
      </c>
      <c r="J2898" s="1570"/>
      <c r="K2898" s="1570"/>
      <c r="L2898" s="1570"/>
      <c r="M2898" s="1570"/>
      <c r="N2898" s="1570"/>
      <c r="O2898" s="1570"/>
      <c r="P2898" s="1570"/>
      <c r="Q2898" s="1570"/>
      <c r="R2898" s="1570"/>
      <c r="S2898" s="1570"/>
      <c r="T2898" s="1570"/>
      <c r="U2898" s="1570"/>
      <c r="V2898" s="1570"/>
      <c r="W2898" s="1570"/>
      <c r="X2898" s="1570"/>
      <c r="Y2898" s="1570"/>
      <c r="Z2898" s="1570"/>
      <c r="AA2898" s="1570"/>
      <c r="AB2898" s="1570"/>
      <c r="AC2898" s="1570"/>
      <c r="AD2898" s="1570"/>
      <c r="AE2898" s="1570"/>
      <c r="AF2898" s="1570"/>
      <c r="AG2898" s="1570"/>
      <c r="AH2898" s="1570"/>
      <c r="AI2898" s="1570"/>
      <c r="AJ2898" s="1570"/>
      <c r="AK2898" s="1570"/>
      <c r="AL2898" s="1570"/>
      <c r="AM2898" s="1570"/>
      <c r="AN2898" s="1570"/>
      <c r="AO2898" s="1570"/>
      <c r="AP2898" s="1570"/>
      <c r="AQ2898" s="1570"/>
      <c r="AR2898" s="1570"/>
      <c r="AS2898" s="1570"/>
      <c r="AT2898" s="1570"/>
      <c r="AU2898" s="1570"/>
      <c r="AV2898" s="1570"/>
      <c r="AW2898" s="1570"/>
      <c r="AX2898" s="1570"/>
      <c r="AY2898" s="1570"/>
      <c r="AZ2898" s="1570"/>
      <c r="BA2898" s="1570"/>
      <c r="BB2898" s="1570"/>
      <c r="BC2898" s="1570"/>
      <c r="BD2898" s="1570"/>
      <c r="BE2898" s="1570"/>
      <c r="BF2898" s="1570"/>
      <c r="BG2898" s="1570"/>
      <c r="BH2898" s="1570"/>
      <c r="BI2898" s="1570"/>
      <c r="BJ2898" s="1570"/>
      <c r="BK2898" s="1570"/>
      <c r="BL2898" s="1570"/>
      <c r="BM2898" s="1570"/>
      <c r="BN2898" s="1570"/>
      <c r="BO2898" s="1570"/>
      <c r="BP2898" s="1570"/>
      <c r="BQ2898" s="1570"/>
      <c r="BR2898" s="1570"/>
      <c r="BS2898" s="1570"/>
      <c r="BT2898" s="1570"/>
      <c r="BU2898" s="1570"/>
      <c r="BV2898" s="1570"/>
      <c r="BW2898" s="1570"/>
      <c r="BX2898" s="1570"/>
      <c r="BY2898" s="1570"/>
      <c r="BZ2898" s="1570"/>
      <c r="CA2898" s="1570"/>
      <c r="CB2898" s="1570"/>
      <c r="CC2898" s="1570"/>
      <c r="CD2898" s="1570"/>
      <c r="CE2898" s="1570"/>
      <c r="CF2898" s="1570"/>
      <c r="CG2898" s="1570"/>
      <c r="CH2898" s="1570"/>
      <c r="CI2898" s="1570"/>
      <c r="CJ2898" s="1570"/>
      <c r="CK2898" s="1570"/>
      <c r="CL2898" s="1570"/>
      <c r="CM2898" s="1570"/>
      <c r="CN2898" s="1570"/>
      <c r="CO2898" s="1570"/>
      <c r="CP2898" s="1570"/>
      <c r="CQ2898" s="1570"/>
      <c r="CR2898" s="1570"/>
      <c r="CS2898" s="1570"/>
      <c r="CT2898" s="1570"/>
      <c r="CU2898" s="1570"/>
      <c r="CV2898" s="1570"/>
      <c r="CW2898" s="1570"/>
      <c r="CX2898" s="1570"/>
      <c r="CY2898" s="1570"/>
      <c r="CZ2898" s="1570"/>
      <c r="DA2898" s="1570"/>
      <c r="DB2898" s="1570"/>
      <c r="DC2898" s="1570"/>
      <c r="DD2898" s="1570"/>
      <c r="DE2898" s="1570"/>
      <c r="DF2898" s="1570"/>
      <c r="DG2898" s="1570"/>
      <c r="DH2898" s="1570"/>
      <c r="DI2898" s="1570"/>
      <c r="DJ2898" s="1570"/>
      <c r="DK2898" s="1570"/>
      <c r="DL2898" s="1570"/>
      <c r="DM2898" s="1570"/>
      <c r="DN2898" s="1570"/>
      <c r="DO2898" s="1570"/>
    </row>
    <row r="2901" spans="1:119">
      <c r="A2901" s="289" t="s">
        <v>99</v>
      </c>
      <c r="B2901" s="289" t="s">
        <v>3654</v>
      </c>
      <c r="C2901" s="289" t="s">
        <v>203</v>
      </c>
      <c r="D2901" s="289" t="s">
        <v>163</v>
      </c>
      <c r="E2901" s="289" t="s">
        <v>197</v>
      </c>
      <c r="F2901" s="289" t="s">
        <v>198</v>
      </c>
      <c r="G2901" s="1541" t="s">
        <v>242</v>
      </c>
    </row>
    <row r="2902" spans="1:119">
      <c r="A2902" s="41">
        <v>4105</v>
      </c>
      <c r="B2902" s="42">
        <v>3</v>
      </c>
      <c r="C2902" s="41" t="s">
        <v>3987</v>
      </c>
      <c r="D2902" s="296">
        <v>30</v>
      </c>
      <c r="E2902" s="297">
        <v>1</v>
      </c>
      <c r="F2902" s="298">
        <f>D2902*E2902</f>
        <v>30</v>
      </c>
      <c r="G2902" s="1184">
        <v>3.45</v>
      </c>
      <c r="H2902" s="1276">
        <f>G2902*F2902</f>
        <v>103.5</v>
      </c>
    </row>
    <row r="2903" spans="1:119">
      <c r="A2903" s="41"/>
      <c r="B2903" s="136"/>
      <c r="C2903" s="136" t="s">
        <v>218</v>
      </c>
      <c r="D2903" s="292"/>
      <c r="E2903" s="297"/>
      <c r="F2903" s="292">
        <v>1</v>
      </c>
      <c r="G2903" s="1181">
        <v>12</v>
      </c>
      <c r="H2903" s="1276">
        <f>G2903*F2903</f>
        <v>12</v>
      </c>
    </row>
    <row r="2905" spans="1:119">
      <c r="A2905" s="289" t="s">
        <v>99</v>
      </c>
      <c r="B2905" s="289" t="s">
        <v>3654</v>
      </c>
      <c r="C2905" s="289" t="s">
        <v>203</v>
      </c>
      <c r="D2905" s="289" t="s">
        <v>163</v>
      </c>
      <c r="E2905" s="289" t="s">
        <v>197</v>
      </c>
      <c r="F2905" s="289" t="s">
        <v>198</v>
      </c>
      <c r="G2905" s="1541" t="s">
        <v>242</v>
      </c>
    </row>
    <row r="2906" spans="1:119">
      <c r="A2906" s="41">
        <v>4141</v>
      </c>
      <c r="B2906" s="1264">
        <v>9</v>
      </c>
      <c r="C2906" s="41" t="s">
        <v>258</v>
      </c>
      <c r="D2906" s="296">
        <v>20</v>
      </c>
      <c r="E2906" s="297">
        <v>5</v>
      </c>
      <c r="F2906" s="298">
        <f>D2906*E2906</f>
        <v>100</v>
      </c>
      <c r="G2906" s="1184">
        <v>1.33</v>
      </c>
    </row>
    <row r="2907" spans="1:119">
      <c r="A2907" s="41"/>
      <c r="B2907" s="136"/>
      <c r="C2907" s="136" t="s">
        <v>218</v>
      </c>
      <c r="D2907" s="292"/>
      <c r="E2907" s="297"/>
      <c r="F2907" s="292">
        <v>1</v>
      </c>
      <c r="G2907" s="1181">
        <v>12</v>
      </c>
    </row>
    <row r="2910" spans="1:119">
      <c r="A2910" t="s">
        <v>4004</v>
      </c>
    </row>
    <row r="2911" spans="1:119">
      <c r="A2911" s="1578" t="s">
        <v>3989</v>
      </c>
      <c r="B2911" s="1578" t="s">
        <v>3990</v>
      </c>
      <c r="C2911" s="295" t="s">
        <v>3991</v>
      </c>
      <c r="D2911" s="295" t="s">
        <v>4005</v>
      </c>
      <c r="E2911" s="295" t="s">
        <v>3992</v>
      </c>
      <c r="F2911" s="1579" t="s">
        <v>3604</v>
      </c>
      <c r="G2911" s="1212" t="s">
        <v>4007</v>
      </c>
      <c r="H2911" s="1566" t="s">
        <v>3909</v>
      </c>
      <c r="I2911" s="1566" t="s">
        <v>1843</v>
      </c>
    </row>
    <row r="2912" spans="1:119" ht="16.5">
      <c r="A2912" s="1580" t="s">
        <v>3993</v>
      </c>
      <c r="B2912" s="1581">
        <v>15</v>
      </c>
      <c r="C2912" s="1586">
        <v>10</v>
      </c>
      <c r="D2912" s="1582" t="s">
        <v>4006</v>
      </c>
      <c r="E2912" s="1583" t="s">
        <v>3994</v>
      </c>
      <c r="F2912" s="1489">
        <f>ROUNDUP(G2912/0.7/115,2)</f>
        <v>5.0599999999999996</v>
      </c>
      <c r="G2912" s="1585">
        <v>407</v>
      </c>
      <c r="H2912" s="1568">
        <f t="shared" ref="H2912:H2931" si="47">((F2912*I2912)-G2912)/(F2912*I2912)</f>
        <v>0.30056710775047257</v>
      </c>
      <c r="I2912" s="1569">
        <v>115</v>
      </c>
      <c r="J2912" s="1584" t="s">
        <v>3995</v>
      </c>
    </row>
    <row r="2913" spans="1:10" ht="16.5">
      <c r="A2913" s="1580" t="s">
        <v>3993</v>
      </c>
      <c r="B2913" s="1581">
        <v>25</v>
      </c>
      <c r="C2913" s="1586">
        <v>10</v>
      </c>
      <c r="D2913" s="1582" t="s">
        <v>4006</v>
      </c>
      <c r="E2913" s="1583" t="s">
        <v>3994</v>
      </c>
      <c r="F2913" s="1489">
        <f>ROUNDUP(G2913/0.7/115,2)</f>
        <v>6.54</v>
      </c>
      <c r="G2913" s="1585">
        <v>526</v>
      </c>
      <c r="H2913" s="1568">
        <f t="shared" si="47"/>
        <v>0.3006249168993485</v>
      </c>
      <c r="I2913" s="1569">
        <v>115</v>
      </c>
      <c r="J2913" s="1584" t="s">
        <v>3995</v>
      </c>
    </row>
    <row r="2914" spans="1:10" ht="16.5">
      <c r="A2914" s="1580" t="s">
        <v>3993</v>
      </c>
      <c r="B2914" s="1581">
        <v>38</v>
      </c>
      <c r="C2914" s="1586">
        <v>10</v>
      </c>
      <c r="D2914" s="1582" t="s">
        <v>4006</v>
      </c>
      <c r="E2914" s="1583" t="s">
        <v>3994</v>
      </c>
      <c r="F2914" s="1489">
        <f>ROUNDUP(G2914/0.7/115,2)</f>
        <v>11.41</v>
      </c>
      <c r="G2914" s="1585">
        <v>918</v>
      </c>
      <c r="H2914" s="1568">
        <f t="shared" si="47"/>
        <v>0.30038486453530472</v>
      </c>
      <c r="I2914" s="1569">
        <v>115</v>
      </c>
      <c r="J2914" s="1584" t="s">
        <v>3995</v>
      </c>
    </row>
    <row r="2915" spans="1:10" ht="16.5">
      <c r="A2915" s="1580" t="s">
        <v>3993</v>
      </c>
      <c r="B2915" s="1581">
        <v>50</v>
      </c>
      <c r="C2915" s="1586">
        <v>10</v>
      </c>
      <c r="D2915" s="1582" t="s">
        <v>4006</v>
      </c>
      <c r="E2915" s="1583" t="s">
        <v>3994</v>
      </c>
      <c r="F2915" s="1489">
        <f>ROUNDUP(G2915/0.7/115,2)</f>
        <v>15.43</v>
      </c>
      <c r="G2915" s="1585">
        <v>1242</v>
      </c>
      <c r="H2915" s="1568">
        <f t="shared" si="47"/>
        <v>0.30006480881399872</v>
      </c>
      <c r="I2915" s="1569">
        <v>115</v>
      </c>
      <c r="J2915" s="1584" t="s">
        <v>3995</v>
      </c>
    </row>
    <row r="2916" spans="1:10" ht="16.5">
      <c r="A2916" s="1580" t="s">
        <v>3993</v>
      </c>
      <c r="B2916" s="1581">
        <v>75</v>
      </c>
      <c r="C2916" s="1586">
        <v>10</v>
      </c>
      <c r="D2916" s="1582" t="s">
        <v>4006</v>
      </c>
      <c r="E2916" s="1583" t="s">
        <v>3994</v>
      </c>
      <c r="F2916" s="1489">
        <f>ROUNDUP(G2916/0.7/115,2)</f>
        <v>18.560000000000002</v>
      </c>
      <c r="G2916" s="1585">
        <v>1494</v>
      </c>
      <c r="H2916" s="1568">
        <f t="shared" si="47"/>
        <v>0.30003748125937035</v>
      </c>
      <c r="I2916" s="1569">
        <v>115</v>
      </c>
      <c r="J2916" s="1584" t="s">
        <v>3995</v>
      </c>
    </row>
    <row r="2917" spans="1:10" ht="16.5">
      <c r="A2917" s="1580" t="s">
        <v>3996</v>
      </c>
      <c r="B2917" s="1581">
        <v>100</v>
      </c>
      <c r="C2917" s="1586">
        <v>10</v>
      </c>
      <c r="D2917" s="1582" t="s">
        <v>211</v>
      </c>
      <c r="E2917" s="1583" t="s">
        <v>3994</v>
      </c>
      <c r="F2917" s="1489">
        <f t="shared" ref="F2917:F2953" si="48">ROUNDUP(G2917/0.7/115,2)</f>
        <v>23.53</v>
      </c>
      <c r="G2917" s="1585">
        <v>1894</v>
      </c>
      <c r="H2917" s="1568">
        <f t="shared" si="47"/>
        <v>0.30006097673645121</v>
      </c>
      <c r="I2917" s="1569">
        <v>115</v>
      </c>
      <c r="J2917" s="1584" t="s">
        <v>3995</v>
      </c>
    </row>
    <row r="2918" spans="1:10" ht="16.5">
      <c r="A2918" s="1580" t="s">
        <v>3997</v>
      </c>
      <c r="B2918" s="1581">
        <v>15</v>
      </c>
      <c r="C2918" s="1586">
        <v>10</v>
      </c>
      <c r="D2918" s="1582" t="s">
        <v>211</v>
      </c>
      <c r="E2918" s="1583" t="s">
        <v>3998</v>
      </c>
      <c r="F2918" s="1489">
        <f t="shared" si="48"/>
        <v>5.56</v>
      </c>
      <c r="G2918" s="1585">
        <v>447</v>
      </c>
      <c r="H2918" s="1568">
        <f t="shared" si="47"/>
        <v>0.30090710040663121</v>
      </c>
      <c r="I2918" s="1569">
        <v>115</v>
      </c>
      <c r="J2918" s="1584" t="s">
        <v>3995</v>
      </c>
    </row>
    <row r="2919" spans="1:10" ht="16.5">
      <c r="A2919" s="1580" t="s">
        <v>3997</v>
      </c>
      <c r="B2919" s="1581">
        <v>25</v>
      </c>
      <c r="C2919" s="1586">
        <v>10</v>
      </c>
      <c r="D2919" s="1582" t="s">
        <v>211</v>
      </c>
      <c r="E2919" s="1583" t="s">
        <v>3998</v>
      </c>
      <c r="F2919" s="1489">
        <f t="shared" si="48"/>
        <v>8.2799999999999994</v>
      </c>
      <c r="G2919" s="1585">
        <v>666</v>
      </c>
      <c r="H2919" s="1568">
        <f t="shared" si="47"/>
        <v>0.30056710775047252</v>
      </c>
      <c r="I2919" s="1569">
        <v>115</v>
      </c>
      <c r="J2919" s="1584" t="s">
        <v>3995</v>
      </c>
    </row>
    <row r="2920" spans="1:10" ht="16.5">
      <c r="A2920" s="1580" t="s">
        <v>3997</v>
      </c>
      <c r="B2920" s="1581">
        <v>38</v>
      </c>
      <c r="C2920" s="1586">
        <v>10</v>
      </c>
      <c r="D2920" s="1582" t="s">
        <v>211</v>
      </c>
      <c r="E2920" s="1583" t="s">
        <v>3998</v>
      </c>
      <c r="F2920" s="1489">
        <f t="shared" si="48"/>
        <v>13.78</v>
      </c>
      <c r="G2920" s="1585">
        <v>1109</v>
      </c>
      <c r="H2920" s="1568">
        <f t="shared" si="47"/>
        <v>0.30018299993689651</v>
      </c>
      <c r="I2920" s="1569">
        <v>115</v>
      </c>
      <c r="J2920" s="1584" t="s">
        <v>3995</v>
      </c>
    </row>
    <row r="2921" spans="1:10" ht="16.5">
      <c r="A2921" s="1580" t="s">
        <v>3997</v>
      </c>
      <c r="B2921" s="1581">
        <v>50</v>
      </c>
      <c r="C2921" s="1586">
        <v>10</v>
      </c>
      <c r="D2921" s="1582" t="s">
        <v>211</v>
      </c>
      <c r="E2921" s="1583" t="s">
        <v>3998</v>
      </c>
      <c r="F2921" s="1489">
        <f t="shared" si="48"/>
        <v>16.78</v>
      </c>
      <c r="G2921" s="1585">
        <v>1350</v>
      </c>
      <c r="H2921" s="1568">
        <f t="shared" si="47"/>
        <v>0.30040939006063122</v>
      </c>
      <c r="I2921" s="1569">
        <v>115</v>
      </c>
      <c r="J2921" s="1584" t="s">
        <v>3995</v>
      </c>
    </row>
    <row r="2922" spans="1:10" ht="16.5">
      <c r="A2922" s="1580" t="s">
        <v>3997</v>
      </c>
      <c r="B2922" s="1581">
        <v>75</v>
      </c>
      <c r="C2922" s="1586">
        <v>10</v>
      </c>
      <c r="D2922" s="1582" t="s">
        <v>211</v>
      </c>
      <c r="E2922" s="1583" t="s">
        <v>3998</v>
      </c>
      <c r="F2922" s="1489">
        <f t="shared" si="48"/>
        <v>23.71</v>
      </c>
      <c r="G2922" s="1585">
        <v>1908</v>
      </c>
      <c r="H2922" s="1568">
        <f t="shared" si="47"/>
        <v>0.30024022151724644</v>
      </c>
      <c r="I2922" s="1569">
        <v>115</v>
      </c>
      <c r="J2922" s="1584" t="s">
        <v>3995</v>
      </c>
    </row>
    <row r="2923" spans="1:10" ht="16.5">
      <c r="A2923" s="1580" t="s">
        <v>3999</v>
      </c>
      <c r="B2923" s="1581">
        <v>15</v>
      </c>
      <c r="C2923" s="1586">
        <v>3</v>
      </c>
      <c r="D2923" s="1582" t="s">
        <v>211</v>
      </c>
      <c r="E2923" s="1583" t="s">
        <v>4000</v>
      </c>
      <c r="F2923" s="1489">
        <f t="shared" si="48"/>
        <v>18.970000000000002</v>
      </c>
      <c r="G2923" s="1585">
        <v>1527</v>
      </c>
      <c r="H2923" s="1568">
        <f t="shared" si="47"/>
        <v>0.30003896312255052</v>
      </c>
      <c r="I2923" s="1569">
        <v>115</v>
      </c>
      <c r="J2923" s="1584" t="s">
        <v>3995</v>
      </c>
    </row>
    <row r="2924" spans="1:10" ht="16.5">
      <c r="A2924" s="1580" t="s">
        <v>3999</v>
      </c>
      <c r="B2924" s="1581">
        <v>25</v>
      </c>
      <c r="C2924" s="1586">
        <v>3</v>
      </c>
      <c r="D2924" s="1582" t="s">
        <v>211</v>
      </c>
      <c r="E2924" s="1583" t="s">
        <v>4000</v>
      </c>
      <c r="F2924" s="1489">
        <f t="shared" si="48"/>
        <v>23.67</v>
      </c>
      <c r="G2924" s="1585">
        <v>1905</v>
      </c>
      <c r="H2924" s="1568">
        <f t="shared" si="47"/>
        <v>0.3001598060285447</v>
      </c>
      <c r="I2924" s="1569">
        <v>115</v>
      </c>
      <c r="J2924" s="1584" t="s">
        <v>3995</v>
      </c>
    </row>
    <row r="2925" spans="1:10" ht="16.5">
      <c r="A2925" s="1580" t="s">
        <v>3999</v>
      </c>
      <c r="B2925" s="1581">
        <v>38</v>
      </c>
      <c r="C2925" s="1586">
        <v>3</v>
      </c>
      <c r="D2925" s="1582" t="s">
        <v>211</v>
      </c>
      <c r="E2925" s="1583" t="s">
        <v>4000</v>
      </c>
      <c r="F2925" s="1489">
        <f t="shared" si="48"/>
        <v>37.449999999999996</v>
      </c>
      <c r="G2925" s="1585">
        <v>3014</v>
      </c>
      <c r="H2925" s="1568">
        <f t="shared" si="47"/>
        <v>0.30016834039589002</v>
      </c>
      <c r="I2925" s="1569">
        <v>115</v>
      </c>
      <c r="J2925" s="1584" t="s">
        <v>3995</v>
      </c>
    </row>
    <row r="2926" spans="1:10" ht="16.5">
      <c r="A2926" s="1580" t="s">
        <v>4001</v>
      </c>
      <c r="B2926" s="1581">
        <v>12</v>
      </c>
      <c r="C2926" s="1586">
        <v>10</v>
      </c>
      <c r="D2926" s="1582" t="s">
        <v>211</v>
      </c>
      <c r="E2926" s="1583" t="s">
        <v>4002</v>
      </c>
      <c r="F2926" s="1489">
        <f t="shared" si="48"/>
        <v>4.4799999999999995</v>
      </c>
      <c r="G2926" s="1585">
        <v>360</v>
      </c>
      <c r="H2926" s="1568">
        <f t="shared" si="47"/>
        <v>0.30124223602484462</v>
      </c>
      <c r="I2926" s="1569">
        <v>115</v>
      </c>
      <c r="J2926" s="1584" t="s">
        <v>3995</v>
      </c>
    </row>
    <row r="2927" spans="1:10" ht="16.5">
      <c r="A2927" s="1580" t="s">
        <v>4001</v>
      </c>
      <c r="B2927" s="1581">
        <v>18</v>
      </c>
      <c r="C2927" s="1586">
        <v>10</v>
      </c>
      <c r="D2927" s="1582" t="s">
        <v>211</v>
      </c>
      <c r="E2927" s="1583" t="s">
        <v>4002</v>
      </c>
      <c r="F2927" s="1489">
        <f t="shared" si="48"/>
        <v>6.3999999999999995</v>
      </c>
      <c r="G2927" s="1585">
        <v>515</v>
      </c>
      <c r="H2927" s="1568">
        <f t="shared" si="47"/>
        <v>0.3002717391304347</v>
      </c>
      <c r="I2927" s="1569">
        <v>115</v>
      </c>
      <c r="J2927" s="1584" t="s">
        <v>3995</v>
      </c>
    </row>
    <row r="2928" spans="1:10" ht="16.5">
      <c r="A2928" s="1580" t="s">
        <v>4001</v>
      </c>
      <c r="B2928" s="1581">
        <v>26</v>
      </c>
      <c r="C2928" s="1586">
        <v>10</v>
      </c>
      <c r="D2928" s="1582" t="s">
        <v>211</v>
      </c>
      <c r="E2928" s="1583" t="s">
        <v>4002</v>
      </c>
      <c r="F2928" s="1489">
        <f t="shared" si="48"/>
        <v>8.73</v>
      </c>
      <c r="G2928" s="1585">
        <v>702</v>
      </c>
      <c r="H2928" s="1568">
        <f t="shared" si="47"/>
        <v>0.30076199013895116</v>
      </c>
      <c r="I2928" s="1569">
        <v>115</v>
      </c>
      <c r="J2928" s="1584" t="s">
        <v>3995</v>
      </c>
    </row>
    <row r="2929" spans="1:10" ht="16.5">
      <c r="A2929" s="1580" t="s">
        <v>4003</v>
      </c>
      <c r="B2929" s="1581">
        <v>12</v>
      </c>
      <c r="C2929" s="1586">
        <v>10</v>
      </c>
      <c r="D2929" s="1582" t="s">
        <v>211</v>
      </c>
      <c r="E2929" s="1583" t="s">
        <v>4002</v>
      </c>
      <c r="F2929" s="1489">
        <f t="shared" si="48"/>
        <v>4.4799999999999995</v>
      </c>
      <c r="G2929" s="1585">
        <v>360</v>
      </c>
      <c r="H2929" s="1568">
        <f t="shared" si="47"/>
        <v>0.30124223602484462</v>
      </c>
      <c r="I2929" s="1569">
        <v>115</v>
      </c>
      <c r="J2929" s="1584" t="s">
        <v>3995</v>
      </c>
    </row>
    <row r="2930" spans="1:10" ht="16.5">
      <c r="A2930" s="1580" t="s">
        <v>4003</v>
      </c>
      <c r="B2930" s="1581">
        <v>18</v>
      </c>
      <c r="C2930" s="1586">
        <v>10</v>
      </c>
      <c r="D2930" s="1582" t="s">
        <v>211</v>
      </c>
      <c r="E2930" s="1583" t="s">
        <v>4002</v>
      </c>
      <c r="F2930" s="1489">
        <f t="shared" si="48"/>
        <v>6.3999999999999995</v>
      </c>
      <c r="G2930" s="1585">
        <v>515</v>
      </c>
      <c r="H2930" s="1568">
        <f t="shared" si="47"/>
        <v>0.3002717391304347</v>
      </c>
      <c r="I2930" s="1569">
        <v>115</v>
      </c>
      <c r="J2930" s="1584" t="s">
        <v>3995</v>
      </c>
    </row>
    <row r="2931" spans="1:10" ht="16.5">
      <c r="A2931" s="1580" t="s">
        <v>4003</v>
      </c>
      <c r="B2931" s="1581">
        <v>26</v>
      </c>
      <c r="C2931" s="1586">
        <v>10</v>
      </c>
      <c r="D2931" s="1582" t="s">
        <v>211</v>
      </c>
      <c r="E2931" s="1583" t="s">
        <v>4002</v>
      </c>
      <c r="F2931" s="1489">
        <f t="shared" si="48"/>
        <v>8.73</v>
      </c>
      <c r="G2931" s="1585">
        <v>702</v>
      </c>
      <c r="H2931" s="1568">
        <f t="shared" si="47"/>
        <v>0.30076199013895116</v>
      </c>
      <c r="I2931" s="1569">
        <v>115</v>
      </c>
      <c r="J2931" s="1584" t="s">
        <v>3995</v>
      </c>
    </row>
    <row r="2932" spans="1:10" s="337" customFormat="1" ht="12.75">
      <c r="A2932" s="1580" t="s">
        <v>4012</v>
      </c>
      <c r="B2932" s="1581">
        <v>9</v>
      </c>
      <c r="C2932" s="1586">
        <v>20</v>
      </c>
      <c r="D2932" s="1582" t="s">
        <v>211</v>
      </c>
      <c r="E2932" s="1583" t="s">
        <v>4008</v>
      </c>
      <c r="F2932" s="1489">
        <f t="shared" si="48"/>
        <v>5</v>
      </c>
      <c r="G2932" s="376">
        <v>402</v>
      </c>
      <c r="H2932" s="1568">
        <f t="shared" ref="H2932:H2953" si="49">((F2932*I2932)-G2932)/(F2932*I2932)</f>
        <v>0.30086956521739128</v>
      </c>
      <c r="I2932" s="1569">
        <v>115</v>
      </c>
    </row>
    <row r="2933" spans="1:10" s="337" customFormat="1" ht="12.75">
      <c r="A2933" s="1587" t="s">
        <v>4013</v>
      </c>
      <c r="B2933" s="1581">
        <v>15</v>
      </c>
      <c r="C2933" s="1586">
        <v>20</v>
      </c>
      <c r="D2933" s="1582" t="s">
        <v>211</v>
      </c>
      <c r="E2933" s="1583" t="s">
        <v>4008</v>
      </c>
      <c r="F2933" s="1489">
        <f t="shared" si="48"/>
        <v>6.14</v>
      </c>
      <c r="G2933" s="376">
        <v>494</v>
      </c>
      <c r="H2933" s="1568">
        <f t="shared" si="49"/>
        <v>0.30038238209885276</v>
      </c>
      <c r="I2933" s="1569">
        <v>115</v>
      </c>
    </row>
    <row r="2934" spans="1:10" s="337" customFormat="1" ht="12.75">
      <c r="A2934" s="1587" t="s">
        <v>4013</v>
      </c>
      <c r="B2934" s="1581">
        <v>25</v>
      </c>
      <c r="C2934" s="1586">
        <v>20</v>
      </c>
      <c r="D2934" s="1582" t="s">
        <v>211</v>
      </c>
      <c r="E2934" s="1583" t="s">
        <v>4008</v>
      </c>
      <c r="F2934" s="1489">
        <f t="shared" si="48"/>
        <v>9.92</v>
      </c>
      <c r="G2934" s="376">
        <v>798</v>
      </c>
      <c r="H2934" s="1568">
        <f t="shared" si="49"/>
        <v>0.30049088359046283</v>
      </c>
      <c r="I2934" s="1569">
        <v>115</v>
      </c>
    </row>
    <row r="2935" spans="1:10" s="337" customFormat="1" ht="12.75">
      <c r="A2935" s="1587" t="s">
        <v>4013</v>
      </c>
      <c r="B2935" s="1581">
        <v>38</v>
      </c>
      <c r="C2935" s="1586">
        <v>20</v>
      </c>
      <c r="D2935" s="1582" t="s">
        <v>211</v>
      </c>
      <c r="E2935" s="1583" t="s">
        <v>4008</v>
      </c>
      <c r="F2935" s="1489">
        <f t="shared" si="48"/>
        <v>15.68</v>
      </c>
      <c r="G2935" s="376">
        <v>1262</v>
      </c>
      <c r="H2935" s="1568">
        <f t="shared" si="49"/>
        <v>0.30013309671694766</v>
      </c>
      <c r="I2935" s="1569">
        <v>115</v>
      </c>
    </row>
    <row r="2936" spans="1:10" s="337" customFormat="1" ht="12.75">
      <c r="A2936" s="1587" t="s">
        <v>4013</v>
      </c>
      <c r="B2936" s="1581">
        <v>50</v>
      </c>
      <c r="C2936" s="1586">
        <v>20</v>
      </c>
      <c r="D2936" s="1582" t="s">
        <v>211</v>
      </c>
      <c r="E2936" s="1583" t="s">
        <v>4008</v>
      </c>
      <c r="F2936" s="1489">
        <f t="shared" si="48"/>
        <v>18.450000000000003</v>
      </c>
      <c r="G2936" s="376">
        <v>1485</v>
      </c>
      <c r="H2936" s="1568">
        <f t="shared" si="49"/>
        <v>0.30010604453870643</v>
      </c>
      <c r="I2936" s="1569">
        <v>115</v>
      </c>
    </row>
    <row r="2937" spans="1:10" s="337" customFormat="1" ht="12.75">
      <c r="A2937" s="1587" t="s">
        <v>4014</v>
      </c>
      <c r="B2937" s="1581">
        <v>6</v>
      </c>
      <c r="C2937" s="1586">
        <v>20</v>
      </c>
      <c r="D2937" s="1582" t="s">
        <v>211</v>
      </c>
      <c r="E2937" s="1583" t="s">
        <v>4009</v>
      </c>
      <c r="F2937" s="1489">
        <f t="shared" si="48"/>
        <v>4.4799999999999995</v>
      </c>
      <c r="G2937" s="376">
        <v>360</v>
      </c>
      <c r="H2937" s="1568">
        <f t="shared" si="49"/>
        <v>0.30124223602484462</v>
      </c>
      <c r="I2937" s="1569">
        <v>115</v>
      </c>
    </row>
    <row r="2938" spans="1:10" s="337" customFormat="1" ht="12.75">
      <c r="A2938" s="1587" t="s">
        <v>4014</v>
      </c>
      <c r="B2938" s="1581">
        <v>9</v>
      </c>
      <c r="C2938" s="1586">
        <v>20</v>
      </c>
      <c r="D2938" s="1582" t="s">
        <v>211</v>
      </c>
      <c r="E2938" s="1583" t="s">
        <v>4009</v>
      </c>
      <c r="F2938" s="1489">
        <f t="shared" si="48"/>
        <v>5.5299999999999994</v>
      </c>
      <c r="G2938" s="376">
        <v>445</v>
      </c>
      <c r="H2938" s="1568">
        <f t="shared" si="49"/>
        <v>0.30025945435961937</v>
      </c>
      <c r="I2938" s="1569">
        <v>115</v>
      </c>
    </row>
    <row r="2939" spans="1:10" s="337" customFormat="1" ht="12.75">
      <c r="A2939" s="1587" t="s">
        <v>4014</v>
      </c>
      <c r="B2939" s="1581">
        <v>15</v>
      </c>
      <c r="C2939" s="1586">
        <v>20</v>
      </c>
      <c r="D2939" s="1582" t="s">
        <v>211</v>
      </c>
      <c r="E2939" s="1583" t="s">
        <v>4009</v>
      </c>
      <c r="F2939" s="1489">
        <f t="shared" si="48"/>
        <v>8.44</v>
      </c>
      <c r="G2939" s="376">
        <v>679</v>
      </c>
      <c r="H2939" s="1568">
        <f t="shared" si="49"/>
        <v>0.30043272202761173</v>
      </c>
      <c r="I2939" s="1569">
        <v>115</v>
      </c>
    </row>
    <row r="2940" spans="1:10" s="337" customFormat="1" ht="12.75">
      <c r="A2940" s="1587" t="s">
        <v>4014</v>
      </c>
      <c r="B2940" s="1581">
        <v>25</v>
      </c>
      <c r="C2940" s="1586">
        <v>20</v>
      </c>
      <c r="D2940" s="1582" t="s">
        <v>211</v>
      </c>
      <c r="E2940" s="1583" t="s">
        <v>4009</v>
      </c>
      <c r="F2940" s="1489">
        <f t="shared" si="48"/>
        <v>12.14</v>
      </c>
      <c r="G2940" s="376">
        <v>977</v>
      </c>
      <c r="H2940" s="1568">
        <f t="shared" si="49"/>
        <v>0.30019339588854671</v>
      </c>
      <c r="I2940" s="1569">
        <v>115</v>
      </c>
    </row>
    <row r="2941" spans="1:10" s="337" customFormat="1" ht="12.75">
      <c r="A2941" s="1587" t="s">
        <v>4014</v>
      </c>
      <c r="B2941" s="1581">
        <v>38</v>
      </c>
      <c r="C2941" s="1586">
        <v>20</v>
      </c>
      <c r="D2941" s="1582" t="s">
        <v>211</v>
      </c>
      <c r="E2941" s="1583" t="s">
        <v>4009</v>
      </c>
      <c r="F2941" s="1489">
        <f t="shared" si="48"/>
        <v>16.760000000000002</v>
      </c>
      <c r="G2941" s="376">
        <v>1349</v>
      </c>
      <c r="H2941" s="1568">
        <f t="shared" si="49"/>
        <v>0.30009339005914709</v>
      </c>
      <c r="I2941" s="1569">
        <v>115</v>
      </c>
    </row>
    <row r="2942" spans="1:10" s="337" customFormat="1" ht="12.75">
      <c r="A2942" s="1587" t="s">
        <v>4014</v>
      </c>
      <c r="B2942" s="1581">
        <v>50</v>
      </c>
      <c r="C2942" s="1586">
        <v>20</v>
      </c>
      <c r="D2942" s="1582" t="s">
        <v>211</v>
      </c>
      <c r="E2942" s="1583" t="s">
        <v>4009</v>
      </c>
      <c r="F2942" s="1489">
        <f t="shared" si="48"/>
        <v>21.990000000000002</v>
      </c>
      <c r="G2942" s="376">
        <v>1770</v>
      </c>
      <c r="H2942" s="1568">
        <f t="shared" si="49"/>
        <v>0.300077110148882</v>
      </c>
      <c r="I2942" s="1569">
        <v>115</v>
      </c>
    </row>
    <row r="2943" spans="1:10" s="337" customFormat="1" ht="12.75">
      <c r="A2943" s="1587" t="s">
        <v>4015</v>
      </c>
      <c r="B2943" s="1581">
        <v>9</v>
      </c>
      <c r="C2943" s="1586">
        <v>20</v>
      </c>
      <c r="D2943" s="1582" t="s">
        <v>211</v>
      </c>
      <c r="E2943" s="1583" t="s">
        <v>4010</v>
      </c>
      <c r="F2943" s="1489">
        <f t="shared" si="48"/>
        <v>4.1499999999999995</v>
      </c>
      <c r="G2943" s="376">
        <v>334</v>
      </c>
      <c r="H2943" s="1568">
        <f t="shared" si="49"/>
        <v>0.30015715034049234</v>
      </c>
      <c r="I2943" s="1569">
        <v>115</v>
      </c>
    </row>
    <row r="2944" spans="1:10" s="337" customFormat="1" ht="12.75">
      <c r="A2944" s="1587" t="s">
        <v>4015</v>
      </c>
      <c r="B2944" s="1581">
        <v>15</v>
      </c>
      <c r="C2944" s="1586">
        <v>20</v>
      </c>
      <c r="D2944" s="1582" t="s">
        <v>211</v>
      </c>
      <c r="E2944" s="1583" t="s">
        <v>4010</v>
      </c>
      <c r="F2944" s="1489">
        <f t="shared" si="48"/>
        <v>5</v>
      </c>
      <c r="G2944" s="376">
        <v>402</v>
      </c>
      <c r="H2944" s="1568">
        <f t="shared" si="49"/>
        <v>0.30086956521739128</v>
      </c>
      <c r="I2944" s="1569">
        <v>115</v>
      </c>
    </row>
    <row r="2945" spans="1:9" s="337" customFormat="1" ht="12.75">
      <c r="A2945" s="1587" t="s">
        <v>4015</v>
      </c>
      <c r="B2945" s="1581">
        <v>25</v>
      </c>
      <c r="C2945" s="1586">
        <v>20</v>
      </c>
      <c r="D2945" s="1582" t="s">
        <v>211</v>
      </c>
      <c r="E2945" s="1583" t="s">
        <v>4010</v>
      </c>
      <c r="F2945" s="1489">
        <f t="shared" si="48"/>
        <v>7.05</v>
      </c>
      <c r="G2945" s="376">
        <v>567</v>
      </c>
      <c r="H2945" s="1568">
        <f t="shared" si="49"/>
        <v>0.30064754856614245</v>
      </c>
      <c r="I2945" s="1569">
        <v>115</v>
      </c>
    </row>
    <row r="2946" spans="1:9" s="337" customFormat="1" ht="12.75">
      <c r="A2946" s="1587" t="s">
        <v>4015</v>
      </c>
      <c r="B2946" s="1581">
        <v>38</v>
      </c>
      <c r="C2946" s="1586">
        <v>20</v>
      </c>
      <c r="D2946" s="1582" t="s">
        <v>211</v>
      </c>
      <c r="E2946" s="1583" t="s">
        <v>4010</v>
      </c>
      <c r="F2946" s="1489">
        <f t="shared" si="48"/>
        <v>11.61</v>
      </c>
      <c r="G2946" s="376">
        <v>934</v>
      </c>
      <c r="H2946" s="1568">
        <f t="shared" si="49"/>
        <v>0.30045313260682316</v>
      </c>
      <c r="I2946" s="1569">
        <v>115</v>
      </c>
    </row>
    <row r="2947" spans="1:9" s="337" customFormat="1" ht="12.75">
      <c r="A2947" s="1587" t="s">
        <v>4015</v>
      </c>
      <c r="B2947" s="1581">
        <v>50</v>
      </c>
      <c r="C2947" s="1586">
        <v>20</v>
      </c>
      <c r="D2947" s="1582" t="s">
        <v>211</v>
      </c>
      <c r="E2947" s="1583" t="s">
        <v>4010</v>
      </c>
      <c r="F2947" s="1489">
        <f t="shared" si="48"/>
        <v>15.97</v>
      </c>
      <c r="G2947" s="376">
        <v>1285</v>
      </c>
      <c r="H2947" s="1568">
        <f t="shared" si="49"/>
        <v>0.30031853203016534</v>
      </c>
      <c r="I2947" s="1569">
        <v>115</v>
      </c>
    </row>
    <row r="2948" spans="1:9" s="337" customFormat="1" ht="12.75">
      <c r="A2948" s="1587" t="s">
        <v>4016</v>
      </c>
      <c r="B2948" s="1581">
        <v>6</v>
      </c>
      <c r="C2948" s="1586">
        <v>20</v>
      </c>
      <c r="D2948" s="1582" t="s">
        <v>211</v>
      </c>
      <c r="E2948" s="1583" t="s">
        <v>4011</v>
      </c>
      <c r="F2948" s="1489">
        <f t="shared" si="48"/>
        <v>3.82</v>
      </c>
      <c r="G2948" s="376">
        <v>307</v>
      </c>
      <c r="H2948" s="1568">
        <f t="shared" si="49"/>
        <v>0.30116093785567943</v>
      </c>
      <c r="I2948" s="1569">
        <v>115</v>
      </c>
    </row>
    <row r="2949" spans="1:9" s="337" customFormat="1" ht="12.75">
      <c r="A2949" s="1587" t="s">
        <v>4016</v>
      </c>
      <c r="B2949" s="1581">
        <v>9</v>
      </c>
      <c r="C2949" s="1586">
        <v>20</v>
      </c>
      <c r="D2949" s="1582" t="s">
        <v>211</v>
      </c>
      <c r="E2949" s="1583" t="s">
        <v>4011</v>
      </c>
      <c r="F2949" s="1489">
        <f t="shared" si="48"/>
        <v>5.1099999999999994</v>
      </c>
      <c r="G2949" s="376">
        <v>411</v>
      </c>
      <c r="H2949" s="1568">
        <f t="shared" si="49"/>
        <v>0.30060410108057517</v>
      </c>
      <c r="I2949" s="1569">
        <v>115</v>
      </c>
    </row>
    <row r="2950" spans="1:9" s="337" customFormat="1" ht="12.75">
      <c r="A2950" s="1587" t="s">
        <v>4016</v>
      </c>
      <c r="B2950" s="1581">
        <v>15</v>
      </c>
      <c r="C2950" s="1586">
        <v>20</v>
      </c>
      <c r="D2950" s="1582" t="s">
        <v>211</v>
      </c>
      <c r="E2950" s="1583" t="s">
        <v>4011</v>
      </c>
      <c r="F2950" s="1489">
        <f t="shared" si="48"/>
        <v>7.2299999999999995</v>
      </c>
      <c r="G2950" s="376">
        <v>582</v>
      </c>
      <c r="H2950" s="1568">
        <f t="shared" si="49"/>
        <v>0.300018040772145</v>
      </c>
      <c r="I2950" s="1569">
        <v>115</v>
      </c>
    </row>
    <row r="2951" spans="1:9" s="337" customFormat="1" ht="12.75">
      <c r="A2951" s="1587" t="s">
        <v>4016</v>
      </c>
      <c r="B2951" s="1581">
        <v>25</v>
      </c>
      <c r="C2951" s="1586">
        <v>20</v>
      </c>
      <c r="D2951" s="1582" t="s">
        <v>211</v>
      </c>
      <c r="E2951" s="1583" t="s">
        <v>4011</v>
      </c>
      <c r="F2951" s="1489">
        <f t="shared" si="48"/>
        <v>11.69</v>
      </c>
      <c r="G2951" s="376">
        <v>941</v>
      </c>
      <c r="H2951" s="1568">
        <f t="shared" si="49"/>
        <v>0.3000334734258191</v>
      </c>
      <c r="I2951" s="1569">
        <v>115</v>
      </c>
    </row>
    <row r="2952" spans="1:9" s="337" customFormat="1" ht="12.75">
      <c r="A2952" s="1587" t="s">
        <v>4016</v>
      </c>
      <c r="B2952" s="1581">
        <v>38</v>
      </c>
      <c r="C2952" s="1586">
        <v>20</v>
      </c>
      <c r="D2952" s="1582" t="s">
        <v>211</v>
      </c>
      <c r="E2952" s="1583" t="s">
        <v>4011</v>
      </c>
      <c r="F2952" s="1489">
        <f t="shared" si="48"/>
        <v>17.89</v>
      </c>
      <c r="G2952" s="376">
        <v>1440</v>
      </c>
      <c r="H2952" s="1568">
        <f t="shared" si="49"/>
        <v>0.30007047901426587</v>
      </c>
      <c r="I2952" s="1569">
        <v>115</v>
      </c>
    </row>
    <row r="2953" spans="1:9" s="337" customFormat="1" ht="12.75">
      <c r="A2953" s="1587" t="s">
        <v>4016</v>
      </c>
      <c r="B2953" s="1581">
        <v>50</v>
      </c>
      <c r="C2953" s="1586">
        <v>20</v>
      </c>
      <c r="D2953" s="1582" t="s">
        <v>211</v>
      </c>
      <c r="E2953" s="1583" t="s">
        <v>4011</v>
      </c>
      <c r="F2953" s="1489">
        <f t="shared" si="48"/>
        <v>22.900000000000002</v>
      </c>
      <c r="G2953" s="376">
        <v>1843</v>
      </c>
      <c r="H2953" s="1568">
        <f t="shared" si="49"/>
        <v>0.30017087526105957</v>
      </c>
      <c r="I2953" s="1569">
        <v>115</v>
      </c>
    </row>
    <row r="2954" spans="1:9">
      <c r="A2954" s="1580">
        <v>2200</v>
      </c>
      <c r="B2954" s="1588">
        <v>4</v>
      </c>
      <c r="C2954" s="1586">
        <v>15</v>
      </c>
      <c r="D2954" s="1582" t="s">
        <v>211</v>
      </c>
      <c r="E2954" s="1580" t="s">
        <v>4017</v>
      </c>
      <c r="F2954" s="1489">
        <f t="shared" ref="F2954:F2962" si="50">ROUNDUP(G2954/0.2/115,2)</f>
        <v>1.17</v>
      </c>
      <c r="G2954" s="264">
        <v>26.8</v>
      </c>
      <c r="H2954" s="1568">
        <f t="shared" ref="H2954:H2962" si="51">((F2954*I2954)-G2954)/(F2954*I2954)</f>
        <v>0.80081753994797478</v>
      </c>
      <c r="I2954" s="1569">
        <v>115</v>
      </c>
    </row>
    <row r="2955" spans="1:9">
      <c r="A2955" s="1580">
        <v>2200</v>
      </c>
      <c r="B2955" s="1588">
        <v>6</v>
      </c>
      <c r="C2955" s="1586">
        <v>15</v>
      </c>
      <c r="D2955" s="1582" t="s">
        <v>211</v>
      </c>
      <c r="E2955" s="1580" t="s">
        <v>4017</v>
      </c>
      <c r="F2955" s="1489">
        <f t="shared" si="50"/>
        <v>1.36</v>
      </c>
      <c r="G2955" s="264">
        <v>31.2</v>
      </c>
      <c r="H2955" s="1568">
        <f t="shared" si="51"/>
        <v>0.80051150895140666</v>
      </c>
      <c r="I2955" s="1569">
        <v>115</v>
      </c>
    </row>
    <row r="2956" spans="1:9">
      <c r="A2956" s="1580">
        <v>2200</v>
      </c>
      <c r="B2956" s="1588">
        <v>9</v>
      </c>
      <c r="C2956" s="1586">
        <v>15</v>
      </c>
      <c r="D2956" s="1582" t="s">
        <v>211</v>
      </c>
      <c r="E2956" s="1580" t="s">
        <v>4017</v>
      </c>
      <c r="F2956" s="1489">
        <f t="shared" si="50"/>
        <v>1.93</v>
      </c>
      <c r="G2956" s="264">
        <v>44.266599999999997</v>
      </c>
      <c r="H2956" s="1568">
        <f t="shared" si="51"/>
        <v>0.80055598107681913</v>
      </c>
      <c r="I2956" s="1569">
        <v>115</v>
      </c>
    </row>
    <row r="2957" spans="1:9">
      <c r="A2957" s="1580">
        <v>2200</v>
      </c>
      <c r="B2957" s="1588">
        <v>12</v>
      </c>
      <c r="C2957" s="1586">
        <v>15</v>
      </c>
      <c r="D2957" s="1582" t="s">
        <v>211</v>
      </c>
      <c r="E2957" s="1580" t="s">
        <v>4017</v>
      </c>
      <c r="F2957" s="1489">
        <f t="shared" si="50"/>
        <v>2.4</v>
      </c>
      <c r="G2957" s="264">
        <v>55.066600000000001</v>
      </c>
      <c r="H2957" s="1568">
        <f t="shared" si="51"/>
        <v>0.80048333333333332</v>
      </c>
      <c r="I2957" s="1569">
        <v>115</v>
      </c>
    </row>
    <row r="2958" spans="1:9">
      <c r="A2958" s="1580">
        <v>2200</v>
      </c>
      <c r="B2958" s="1588">
        <v>15</v>
      </c>
      <c r="C2958" s="1586">
        <v>15</v>
      </c>
      <c r="D2958" s="1582" t="s">
        <v>211</v>
      </c>
      <c r="E2958" s="1580" t="s">
        <v>4017</v>
      </c>
      <c r="F2958" s="1489">
        <f t="shared" si="50"/>
        <v>3.05</v>
      </c>
      <c r="G2958" s="265">
        <v>70</v>
      </c>
      <c r="H2958" s="1568">
        <f t="shared" si="51"/>
        <v>0.8004276550249465</v>
      </c>
      <c r="I2958" s="1569">
        <v>115</v>
      </c>
    </row>
    <row r="2959" spans="1:9">
      <c r="A2959" s="1580">
        <v>2200</v>
      </c>
      <c r="B2959" s="1588">
        <v>18</v>
      </c>
      <c r="C2959" s="1586">
        <v>15</v>
      </c>
      <c r="D2959" s="1582" t="s">
        <v>211</v>
      </c>
      <c r="E2959" s="1580" t="s">
        <v>4017</v>
      </c>
      <c r="F2959" s="1489">
        <f t="shared" si="50"/>
        <v>3.5599999999999996</v>
      </c>
      <c r="G2959" s="264">
        <v>81.8</v>
      </c>
      <c r="H2959" s="1568">
        <f t="shared" si="51"/>
        <v>0.80019540791402044</v>
      </c>
      <c r="I2959" s="1569">
        <v>115</v>
      </c>
    </row>
    <row r="2960" spans="1:9">
      <c r="A2960" s="1580">
        <v>2200</v>
      </c>
      <c r="B2960" s="1588">
        <v>24</v>
      </c>
      <c r="C2960" s="1586">
        <v>15</v>
      </c>
      <c r="D2960" s="1582" t="s">
        <v>211</v>
      </c>
      <c r="E2960" s="1580" t="s">
        <v>4017</v>
      </c>
      <c r="F2960" s="1489">
        <f t="shared" si="50"/>
        <v>4.51</v>
      </c>
      <c r="G2960" s="264">
        <v>103.5333</v>
      </c>
      <c r="H2960" s="1568">
        <f t="shared" si="51"/>
        <v>0.80037925383206399</v>
      </c>
      <c r="I2960" s="1569">
        <v>115</v>
      </c>
    </row>
    <row r="2961" spans="1:9">
      <c r="A2961" s="1580">
        <v>2200</v>
      </c>
      <c r="B2961" s="1588">
        <v>36</v>
      </c>
      <c r="C2961" s="1586">
        <v>15</v>
      </c>
      <c r="D2961" s="1582" t="s">
        <v>211</v>
      </c>
      <c r="E2961" s="1580" t="s">
        <v>4017</v>
      </c>
      <c r="F2961" s="1489">
        <f t="shared" si="50"/>
        <v>7.16</v>
      </c>
      <c r="G2961" s="264">
        <v>164.4666</v>
      </c>
      <c r="H2961" s="1568">
        <f t="shared" si="51"/>
        <v>0.80025916929803254</v>
      </c>
      <c r="I2961" s="1569">
        <v>115</v>
      </c>
    </row>
    <row r="2962" spans="1:9">
      <c r="A2962" s="1580">
        <v>2200</v>
      </c>
      <c r="B2962" s="1588">
        <v>50</v>
      </c>
      <c r="C2962" s="1586">
        <v>15</v>
      </c>
      <c r="D2962" s="1582" t="s">
        <v>211</v>
      </c>
      <c r="E2962" s="1580" t="s">
        <v>4017</v>
      </c>
      <c r="F2962" s="1489">
        <f t="shared" si="50"/>
        <v>9.83</v>
      </c>
      <c r="G2962" s="265">
        <v>226</v>
      </c>
      <c r="H2962" s="1568">
        <f t="shared" si="51"/>
        <v>0.80007961431288421</v>
      </c>
      <c r="I2962" s="1569">
        <v>115</v>
      </c>
    </row>
    <row r="2965" spans="1:9">
      <c r="A2965" t="s">
        <v>4018</v>
      </c>
    </row>
    <row r="2966" spans="1:9" s="369" customFormat="1">
      <c r="A2966" s="295" t="s">
        <v>40</v>
      </c>
      <c r="B2966" s="312" t="s">
        <v>16</v>
      </c>
      <c r="C2966" s="312" t="s">
        <v>3915</v>
      </c>
      <c r="D2966" s="1552" t="s">
        <v>3604</v>
      </c>
      <c r="E2966" s="368" t="s">
        <v>3913</v>
      </c>
      <c r="F2966" s="1547" t="s">
        <v>3909</v>
      </c>
      <c r="G2966" s="1547" t="s">
        <v>1843</v>
      </c>
    </row>
    <row r="2967" spans="1:9" s="369" customFormat="1">
      <c r="A2967" s="366" t="s">
        <v>4019</v>
      </c>
      <c r="B2967" s="366" t="s">
        <v>4020</v>
      </c>
      <c r="C2967" s="366" t="s">
        <v>3917</v>
      </c>
      <c r="D2967" s="370">
        <f>ROUNDUP(E2967/0.7/120,2)</f>
        <v>22.150000000000002</v>
      </c>
      <c r="E2967" s="371">
        <v>1860</v>
      </c>
      <c r="F2967" s="1548">
        <f>((D2967*G2967)-E2967)/(D2967*G2967)</f>
        <v>0.30022573363431165</v>
      </c>
      <c r="G2967" s="1549">
        <v>120</v>
      </c>
    </row>
    <row r="2968" spans="1:9" s="369" customFormat="1">
      <c r="A2968" s="366" t="s">
        <v>4019</v>
      </c>
      <c r="B2968" s="366" t="s">
        <v>4020</v>
      </c>
      <c r="C2968" s="366" t="s">
        <v>4021</v>
      </c>
      <c r="D2968" s="370">
        <f>ROUNDUP(E2968/0.7/120,2)</f>
        <v>25.720000000000002</v>
      </c>
      <c r="E2968" s="371">
        <f>1860+300</f>
        <v>2160</v>
      </c>
      <c r="F2968" s="1548">
        <f>((D2968*G2968)-E2968)/(D2968*G2968)</f>
        <v>0.30015552099533438</v>
      </c>
      <c r="G2968" s="1549">
        <v>120</v>
      </c>
    </row>
    <row r="2969" spans="1:9" s="369" customFormat="1">
      <c r="A2969" s="366" t="s">
        <v>289</v>
      </c>
      <c r="B2969" s="366" t="s">
        <v>4020</v>
      </c>
      <c r="C2969" s="372" t="s">
        <v>4023</v>
      </c>
      <c r="D2969" s="370">
        <f>ROUNDUP(E2969/0.7/120,2)</f>
        <v>22.150000000000002</v>
      </c>
      <c r="E2969" s="371">
        <v>1860</v>
      </c>
      <c r="F2969" s="1548">
        <f>((D2969*G2969)-E2969)/(D2969*G2969)</f>
        <v>0.30022573363431165</v>
      </c>
      <c r="G2969" s="1549">
        <v>120</v>
      </c>
    </row>
    <row r="2970" spans="1:9" s="369" customFormat="1">
      <c r="A2970" s="366" t="s">
        <v>289</v>
      </c>
      <c r="B2970" s="366" t="s">
        <v>4020</v>
      </c>
      <c r="C2970" s="372" t="s">
        <v>4022</v>
      </c>
      <c r="D2970" s="370">
        <f>ROUNDUP(E2970/0.7/120,2)</f>
        <v>25.720000000000002</v>
      </c>
      <c r="E2970" s="371">
        <f>1860+300</f>
        <v>2160</v>
      </c>
      <c r="F2970" s="1548">
        <f>((D2970*G2970)-E2970)/(D2970*G2970)</f>
        <v>0.30015552099533438</v>
      </c>
      <c r="G2970" s="1549">
        <v>120</v>
      </c>
    </row>
    <row r="2973" spans="1:9">
      <c r="A2973" t="s">
        <v>4062</v>
      </c>
    </row>
    <row r="2974" spans="1:9" s="369" customFormat="1">
      <c r="A2974" s="295" t="s">
        <v>40</v>
      </c>
      <c r="B2974" s="312" t="s">
        <v>16</v>
      </c>
      <c r="C2974" s="312" t="s">
        <v>3915</v>
      </c>
      <c r="D2974" s="1552" t="s">
        <v>3604</v>
      </c>
      <c r="E2974" s="368" t="s">
        <v>3913</v>
      </c>
      <c r="F2974" s="1547" t="s">
        <v>3909</v>
      </c>
      <c r="G2974" s="1547" t="s">
        <v>1843</v>
      </c>
    </row>
    <row r="2975" spans="1:9" s="369" customFormat="1">
      <c r="A2975" s="366" t="s">
        <v>4019</v>
      </c>
      <c r="B2975" s="366" t="s">
        <v>4020</v>
      </c>
      <c r="C2975" s="366" t="s">
        <v>3917</v>
      </c>
      <c r="D2975" s="370">
        <f>ROUNDUP(E2975/0.77/120,2)</f>
        <v>20.130000000000003</v>
      </c>
      <c r="E2975" s="371">
        <v>1860</v>
      </c>
      <c r="F2975" s="1548">
        <f>((D2975*G2975)-E2975)/(D2975*G2975)</f>
        <v>0.23000496770988585</v>
      </c>
      <c r="G2975" s="1549">
        <v>120</v>
      </c>
    </row>
    <row r="2976" spans="1:9" s="369" customFormat="1">
      <c r="A2976" s="366" t="s">
        <v>4019</v>
      </c>
      <c r="B2976" s="366" t="s">
        <v>4020</v>
      </c>
      <c r="C2976" s="366" t="s">
        <v>4021</v>
      </c>
      <c r="D2976" s="370">
        <f>ROUNDUP(E2976/0.77/120,2)</f>
        <v>23.380000000000003</v>
      </c>
      <c r="E2976" s="371">
        <f>1860+300</f>
        <v>2160</v>
      </c>
      <c r="F2976" s="1548">
        <f>((D2976*G2976)-E2976)/(D2976*G2976)</f>
        <v>0.23011120615911046</v>
      </c>
      <c r="G2976" s="1549">
        <v>120</v>
      </c>
    </row>
    <row r="2977" spans="1:8" s="369" customFormat="1">
      <c r="A2977" s="366" t="s">
        <v>289</v>
      </c>
      <c r="B2977" s="366" t="s">
        <v>4020</v>
      </c>
      <c r="C2977" s="372" t="s">
        <v>4023</v>
      </c>
      <c r="D2977" s="370">
        <f>ROUNDUP(E2977/0.77/120,2)</f>
        <v>20.130000000000003</v>
      </c>
      <c r="E2977" s="371">
        <v>1860</v>
      </c>
      <c r="F2977" s="1548">
        <f>((D2977*G2977)-E2977)/(D2977*G2977)</f>
        <v>0.23000496770988585</v>
      </c>
      <c r="G2977" s="1549">
        <v>120</v>
      </c>
    </row>
    <row r="2978" spans="1:8" s="369" customFormat="1">
      <c r="A2978" s="366" t="s">
        <v>289</v>
      </c>
      <c r="B2978" s="366" t="s">
        <v>4020</v>
      </c>
      <c r="C2978" s="372" t="s">
        <v>3921</v>
      </c>
      <c r="D2978" s="370">
        <f>ROUNDUP(E2978/0.77/120,2)</f>
        <v>23.380000000000003</v>
      </c>
      <c r="E2978" s="371">
        <f>1860+300</f>
        <v>2160</v>
      </c>
      <c r="F2978" s="1548">
        <f>((D2978*G2978)-E2978)/(D2978*G2978)</f>
        <v>0.23011120615911046</v>
      </c>
      <c r="G2978" s="1549">
        <v>120</v>
      </c>
    </row>
    <row r="2982" spans="1:8">
      <c r="A2982" s="289" t="s">
        <v>99</v>
      </c>
      <c r="B2982" s="289" t="s">
        <v>3654</v>
      </c>
      <c r="C2982" s="289" t="s">
        <v>203</v>
      </c>
      <c r="D2982" s="289" t="s">
        <v>163</v>
      </c>
      <c r="E2982" s="289" t="s">
        <v>197</v>
      </c>
      <c r="F2982" s="289" t="s">
        <v>198</v>
      </c>
      <c r="G2982" s="1541" t="s">
        <v>242</v>
      </c>
    </row>
    <row r="2983" spans="1:8">
      <c r="A2983" s="41">
        <v>5636</v>
      </c>
      <c r="B2983" s="42" t="s">
        <v>1808</v>
      </c>
      <c r="C2983" s="41" t="s">
        <v>3690</v>
      </c>
      <c r="D2983" s="296">
        <v>50</v>
      </c>
      <c r="E2983" s="297">
        <v>2</v>
      </c>
      <c r="F2983" s="298">
        <f>D2983*E2983</f>
        <v>100</v>
      </c>
      <c r="G2983" s="1184">
        <v>0.46</v>
      </c>
    </row>
    <row r="2984" spans="1:8">
      <c r="A2984" s="41"/>
      <c r="B2984" s="136"/>
      <c r="C2984" s="136" t="s">
        <v>218</v>
      </c>
      <c r="D2984" s="292"/>
      <c r="E2984" s="297"/>
      <c r="F2984" s="292">
        <v>1</v>
      </c>
      <c r="G2984" s="1181">
        <v>12</v>
      </c>
    </row>
    <row r="2986" spans="1:8" s="337" customFormat="1" ht="12.75">
      <c r="A2986" s="337" t="s">
        <v>4028</v>
      </c>
    </row>
    <row r="2987" spans="1:8" s="1423" customFormat="1" ht="38.25">
      <c r="A2987" s="1435" t="s">
        <v>174</v>
      </c>
      <c r="B2987" s="1421" t="s">
        <v>3608</v>
      </c>
      <c r="C2987" s="1418" t="s">
        <v>4026</v>
      </c>
      <c r="D2987" s="1421" t="s">
        <v>4027</v>
      </c>
      <c r="E2987" s="1589" t="s">
        <v>4029</v>
      </c>
      <c r="F2987" s="1547" t="s">
        <v>4030</v>
      </c>
      <c r="G2987" s="1547" t="s">
        <v>4031</v>
      </c>
      <c r="H2987" s="1547" t="s">
        <v>1843</v>
      </c>
    </row>
    <row r="2988" spans="1:8" s="1423" customFormat="1" ht="24" customHeight="1">
      <c r="A2988" s="361" t="s">
        <v>3602</v>
      </c>
      <c r="B2988" s="361" t="s">
        <v>3603</v>
      </c>
      <c r="C2988" s="1427">
        <f>ROUNDUP(E2988/0.8/120,2)</f>
        <v>15.11</v>
      </c>
      <c r="D2988" s="1427">
        <f>ROUNDUP((E2988+300)/0.8/120,2)</f>
        <v>18.23</v>
      </c>
      <c r="E2988" s="1590">
        <f>1420+30</f>
        <v>1450</v>
      </c>
      <c r="F2988" s="1591">
        <f>(C2988-(E2988/H2988))/C2988</f>
        <v>0.20030884623869397</v>
      </c>
      <c r="G2988" s="1591">
        <f>(D2988-((E2988+300)/H2988))/D2988</f>
        <v>0.20003656975681111</v>
      </c>
      <c r="H2988" s="1549">
        <v>120</v>
      </c>
    </row>
    <row r="2992" spans="1:8">
      <c r="A2992" s="289" t="s">
        <v>99</v>
      </c>
      <c r="B2992" s="289" t="s">
        <v>203</v>
      </c>
      <c r="C2992" s="289" t="s">
        <v>18</v>
      </c>
      <c r="D2992" s="1541" t="s">
        <v>242</v>
      </c>
      <c r="E2992" s="1541" t="s">
        <v>301</v>
      </c>
    </row>
    <row r="2993" spans="1:5" ht="15">
      <c r="A2993" s="1598">
        <v>71658</v>
      </c>
      <c r="B2993" s="1593" t="s">
        <v>4039</v>
      </c>
      <c r="C2993" s="55">
        <v>3</v>
      </c>
      <c r="D2993" s="597">
        <v>2.1399999999999997</v>
      </c>
      <c r="E2993" s="598">
        <f t="shared" ref="E2993:E3003" si="52">D2993*C2993</f>
        <v>6.419999999999999</v>
      </c>
    </row>
    <row r="2994" spans="1:5" ht="15">
      <c r="A2994" s="1598">
        <v>71623</v>
      </c>
      <c r="B2994" s="1593" t="s">
        <v>4039</v>
      </c>
      <c r="C2994" s="55">
        <v>3</v>
      </c>
      <c r="D2994" s="597">
        <v>4.6899999999999995</v>
      </c>
      <c r="E2994" s="598">
        <f t="shared" si="52"/>
        <v>14.069999999999999</v>
      </c>
    </row>
    <row r="2995" spans="1:5" ht="15">
      <c r="A2995" s="1598">
        <v>71633</v>
      </c>
      <c r="B2995" s="1593" t="s">
        <v>4039</v>
      </c>
      <c r="C2995" s="55">
        <v>3</v>
      </c>
      <c r="D2995" s="597">
        <v>4.3499999999999996</v>
      </c>
      <c r="E2995" s="598">
        <f t="shared" si="52"/>
        <v>13.049999999999999</v>
      </c>
    </row>
    <row r="2996" spans="1:5" ht="15">
      <c r="A2996" s="1598">
        <v>71637</v>
      </c>
      <c r="B2996" s="1593" t="s">
        <v>4040</v>
      </c>
      <c r="C2996" s="55">
        <v>3</v>
      </c>
      <c r="D2996" s="597">
        <v>4.12</v>
      </c>
      <c r="E2996" s="598">
        <f t="shared" si="52"/>
        <v>12.36</v>
      </c>
    </row>
    <row r="2997" spans="1:5" ht="15">
      <c r="A2997" s="1598">
        <v>71680</v>
      </c>
      <c r="B2997" s="1593" t="s">
        <v>4040</v>
      </c>
      <c r="C2997" s="55">
        <v>3</v>
      </c>
      <c r="D2997" s="597">
        <v>3.28</v>
      </c>
      <c r="E2997" s="598">
        <f t="shared" si="52"/>
        <v>9.84</v>
      </c>
    </row>
    <row r="2998" spans="1:5" ht="15">
      <c r="A2998" s="1598">
        <v>71634</v>
      </c>
      <c r="B2998" s="1593" t="s">
        <v>4039</v>
      </c>
      <c r="C2998" s="55">
        <v>3</v>
      </c>
      <c r="D2998" s="597">
        <v>5.24</v>
      </c>
      <c r="E2998" s="598">
        <f t="shared" si="52"/>
        <v>15.72</v>
      </c>
    </row>
    <row r="2999" spans="1:5" ht="15">
      <c r="A2999" s="1599">
        <v>24509</v>
      </c>
      <c r="B2999" s="1593" t="s">
        <v>4039</v>
      </c>
      <c r="C2999" s="55">
        <v>3</v>
      </c>
      <c r="D2999" s="597">
        <v>2.3499999999999996</v>
      </c>
      <c r="E2999" s="598">
        <f t="shared" si="52"/>
        <v>7.0499999999999989</v>
      </c>
    </row>
    <row r="3000" spans="1:5" ht="15">
      <c r="A3000" s="1599">
        <v>24409</v>
      </c>
      <c r="B3000" s="1593" t="s">
        <v>4039</v>
      </c>
      <c r="C3000" s="55">
        <v>3</v>
      </c>
      <c r="D3000" s="597">
        <v>3.1399999999999997</v>
      </c>
      <c r="E3000" s="598">
        <f t="shared" si="52"/>
        <v>9.4199999999999982</v>
      </c>
    </row>
    <row r="3001" spans="1:5" ht="15">
      <c r="A3001" s="1599">
        <v>71574</v>
      </c>
      <c r="B3001" s="1593" t="s">
        <v>4039</v>
      </c>
      <c r="C3001" s="55">
        <v>3</v>
      </c>
      <c r="D3001" s="597">
        <v>2.71</v>
      </c>
      <c r="E3001" s="598">
        <f t="shared" si="52"/>
        <v>8.129999999999999</v>
      </c>
    </row>
    <row r="3002" spans="1:5" ht="15">
      <c r="A3002" s="1599">
        <v>71571</v>
      </c>
      <c r="B3002" s="1593" t="s">
        <v>4039</v>
      </c>
      <c r="C3002" s="55">
        <v>3</v>
      </c>
      <c r="D3002" s="597">
        <v>2.6599999999999997</v>
      </c>
      <c r="E3002" s="598">
        <f t="shared" si="52"/>
        <v>7.9799999999999986</v>
      </c>
    </row>
    <row r="3003" spans="1:5" ht="15">
      <c r="A3003" s="1599" t="s">
        <v>4038</v>
      </c>
      <c r="B3003" s="1593" t="s">
        <v>4041</v>
      </c>
      <c r="C3003" s="55">
        <v>3</v>
      </c>
      <c r="D3003" s="597">
        <v>2.2399999999999998</v>
      </c>
      <c r="E3003" s="598">
        <f t="shared" si="52"/>
        <v>6.7199999999999989</v>
      </c>
    </row>
    <row r="3004" spans="1:5" ht="15">
      <c r="A3004" s="1600">
        <v>77015</v>
      </c>
      <c r="B3004" s="1593" t="s">
        <v>4041</v>
      </c>
      <c r="C3004" s="55">
        <v>3</v>
      </c>
      <c r="D3004" s="597">
        <v>2.8</v>
      </c>
      <c r="E3004" s="598">
        <f t="shared" ref="E3004:E3010" si="53">D3004*C3004</f>
        <v>8.3999999999999986</v>
      </c>
    </row>
    <row r="3005" spans="1:5" ht="15">
      <c r="A3005" s="741">
        <v>24308</v>
      </c>
      <c r="B3005" s="1593" t="s">
        <v>4039</v>
      </c>
      <c r="C3005" s="55">
        <v>3</v>
      </c>
      <c r="D3005" s="597">
        <v>2.88</v>
      </c>
      <c r="E3005" s="598">
        <f t="shared" si="53"/>
        <v>8.64</v>
      </c>
    </row>
    <row r="3006" spans="1:5" ht="15">
      <c r="A3006" s="1600" t="s">
        <v>4035</v>
      </c>
      <c r="B3006" s="1593" t="s">
        <v>4040</v>
      </c>
      <c r="C3006" s="55">
        <v>3</v>
      </c>
      <c r="D3006" s="597">
        <v>3.75</v>
      </c>
      <c r="E3006" s="598">
        <f t="shared" si="53"/>
        <v>11.25</v>
      </c>
    </row>
    <row r="3007" spans="1:5" ht="15">
      <c r="A3007" s="741">
        <v>24259</v>
      </c>
      <c r="B3007" s="1593" t="s">
        <v>4039</v>
      </c>
      <c r="C3007" s="55">
        <v>3</v>
      </c>
      <c r="D3007" s="597">
        <v>5.42</v>
      </c>
      <c r="E3007" s="598">
        <f t="shared" si="53"/>
        <v>16.259999999999998</v>
      </c>
    </row>
    <row r="3008" spans="1:5" ht="15">
      <c r="A3008" s="1600">
        <v>24257</v>
      </c>
      <c r="B3008" s="1593" t="s">
        <v>4039</v>
      </c>
      <c r="C3008" s="55">
        <v>3</v>
      </c>
      <c r="D3008" s="597">
        <v>5.39</v>
      </c>
      <c r="E3008" s="598">
        <f t="shared" si="53"/>
        <v>16.169999999999998</v>
      </c>
    </row>
    <row r="3009" spans="1:8" ht="15">
      <c r="A3009" s="203" t="s">
        <v>4036</v>
      </c>
      <c r="B3009" s="1593" t="s">
        <v>4040</v>
      </c>
      <c r="C3009" s="55">
        <v>3</v>
      </c>
      <c r="D3009" s="597">
        <v>2.2999999999999998</v>
      </c>
      <c r="E3009" s="598">
        <f t="shared" si="53"/>
        <v>6.8999999999999995</v>
      </c>
    </row>
    <row r="3010" spans="1:8" ht="15">
      <c r="A3010" s="1601" t="s">
        <v>4037</v>
      </c>
      <c r="B3010" s="1593" t="s">
        <v>4040</v>
      </c>
      <c r="C3010" s="55">
        <v>3</v>
      </c>
      <c r="D3010" s="597">
        <v>2.44</v>
      </c>
      <c r="E3010" s="598">
        <f t="shared" si="53"/>
        <v>7.32</v>
      </c>
    </row>
    <row r="3011" spans="1:8" ht="15">
      <c r="A3011" s="21"/>
      <c r="B3011" s="38" t="s">
        <v>218</v>
      </c>
      <c r="C3011" s="39">
        <v>1</v>
      </c>
      <c r="D3011" s="611">
        <v>12</v>
      </c>
      <c r="E3011" s="598">
        <f>D3011*C3011</f>
        <v>12</v>
      </c>
    </row>
    <row r="3012" spans="1:8" ht="15.75">
      <c r="D3012" s="1541" t="s">
        <v>4042</v>
      </c>
      <c r="E3012" s="986">
        <f>SUM(E2993:E3011)</f>
        <v>197.7</v>
      </c>
    </row>
    <row r="3014" spans="1:8">
      <c r="A3014" s="289" t="s">
        <v>4050</v>
      </c>
      <c r="B3014" s="289" t="s">
        <v>99</v>
      </c>
      <c r="C3014" s="289" t="s">
        <v>4051</v>
      </c>
      <c r="D3014" s="289" t="s">
        <v>203</v>
      </c>
      <c r="E3014" s="289" t="s">
        <v>198</v>
      </c>
      <c r="F3014" s="1541" t="s">
        <v>242</v>
      </c>
      <c r="G3014" s="1541" t="s">
        <v>4052</v>
      </c>
    </row>
    <row r="3015" spans="1:8">
      <c r="A3015" s="4" t="s">
        <v>4054</v>
      </c>
      <c r="B3015" s="1400" t="s">
        <v>3623</v>
      </c>
      <c r="C3015" s="1604" t="s">
        <v>3624</v>
      </c>
      <c r="D3015" s="41" t="s">
        <v>4043</v>
      </c>
      <c r="E3015" s="298">
        <v>20</v>
      </c>
      <c r="F3015" s="1181">
        <v>18.23</v>
      </c>
      <c r="G3015" s="1605" t="s">
        <v>4053</v>
      </c>
    </row>
    <row r="3016" spans="1:8">
      <c r="A3016" s="4" t="s">
        <v>4054</v>
      </c>
      <c r="B3016" s="41"/>
      <c r="C3016" s="136"/>
      <c r="D3016" s="136" t="s">
        <v>218</v>
      </c>
      <c r="E3016" s="292">
        <v>1</v>
      </c>
      <c r="F3016" s="1181">
        <v>12</v>
      </c>
      <c r="G3016" s="1276"/>
    </row>
    <row r="3018" spans="1:8" s="337" customFormat="1" ht="12.75">
      <c r="A3018" s="337" t="s">
        <v>4028</v>
      </c>
    </row>
    <row r="3019" spans="1:8" s="1423" customFormat="1" ht="38.25">
      <c r="A3019" s="1435" t="s">
        <v>174</v>
      </c>
      <c r="B3019" s="1421" t="s">
        <v>3608</v>
      </c>
      <c r="C3019" s="1418" t="s">
        <v>4026</v>
      </c>
      <c r="D3019" s="1421" t="s">
        <v>4027</v>
      </c>
      <c r="E3019" s="1589" t="s">
        <v>4029</v>
      </c>
      <c r="F3019" s="1547" t="s">
        <v>4030</v>
      </c>
      <c r="G3019" s="1547" t="s">
        <v>4031</v>
      </c>
      <c r="H3019" s="1547" t="s">
        <v>1843</v>
      </c>
    </row>
    <row r="3020" spans="1:8" s="1423" customFormat="1" ht="24" customHeight="1">
      <c r="A3020" s="361" t="s">
        <v>3602</v>
      </c>
      <c r="B3020" s="361" t="s">
        <v>3603</v>
      </c>
      <c r="C3020" s="1427">
        <f>ROUNDUP(E3020/0.8/120,2)</f>
        <v>15.11</v>
      </c>
      <c r="D3020" s="1427">
        <f>ROUNDUP((E3020+300)/0.8/120,2)</f>
        <v>18.23</v>
      </c>
      <c r="E3020" s="1590">
        <f>1420+30</f>
        <v>1450</v>
      </c>
      <c r="F3020" s="1591">
        <f>(C3020-(E3020/H3020))/C3020</f>
        <v>0.20030884623869397</v>
      </c>
      <c r="G3020" s="1591">
        <f>(D3020-((E3020+300)/H3020))/D3020</f>
        <v>0.20003656975681111</v>
      </c>
      <c r="H3020" s="1549">
        <v>120</v>
      </c>
    </row>
    <row r="3023" spans="1:8" s="337" customFormat="1" ht="12.75">
      <c r="A3023" s="337" t="s">
        <v>4056</v>
      </c>
    </row>
    <row r="3024" spans="1:8" s="1423" customFormat="1" ht="38.25">
      <c r="A3024" s="1435" t="s">
        <v>174</v>
      </c>
      <c r="B3024" s="1421" t="s">
        <v>3608</v>
      </c>
      <c r="C3024" s="1418" t="s">
        <v>4026</v>
      </c>
      <c r="D3024" s="1421" t="s">
        <v>4027</v>
      </c>
      <c r="E3024" s="1589" t="s">
        <v>4029</v>
      </c>
      <c r="F3024" s="1547" t="s">
        <v>4030</v>
      </c>
      <c r="G3024" s="1547" t="s">
        <v>4031</v>
      </c>
      <c r="H3024" s="1547" t="s">
        <v>1843</v>
      </c>
    </row>
    <row r="3025" spans="1:9" s="1423" customFormat="1" ht="24" customHeight="1">
      <c r="A3025" s="361" t="s">
        <v>4057</v>
      </c>
      <c r="B3025" s="361" t="s">
        <v>4058</v>
      </c>
      <c r="C3025" s="1427">
        <f>ROUNDUP(E3025/0.8/120,2)</f>
        <v>9.07</v>
      </c>
      <c r="D3025" s="1427">
        <f>ROUNDUP((E3025+300)/0.8/120,2)</f>
        <v>12.19</v>
      </c>
      <c r="E3025" s="1590">
        <f>840+30</f>
        <v>870</v>
      </c>
      <c r="F3025" s="1591">
        <f>(C3025-(E3025/H3025))/C3025</f>
        <v>0.20066152149944877</v>
      </c>
      <c r="G3025" s="1591">
        <f>(D3025-((E3025+300)/H3025))/D3025</f>
        <v>0.20016406890894173</v>
      </c>
      <c r="H3025" s="1549">
        <v>120</v>
      </c>
    </row>
    <row r="3026" spans="1:9" s="1423" customFormat="1" ht="24" customHeight="1">
      <c r="A3026" s="361" t="s">
        <v>4059</v>
      </c>
      <c r="B3026" s="361" t="s">
        <v>4060</v>
      </c>
      <c r="C3026" s="1427">
        <f>ROUNDUP(E3026/0.8/120,2)</f>
        <v>7.71</v>
      </c>
      <c r="D3026" s="1427">
        <f>ROUNDUP((E3026+300)/0.8/120,2)</f>
        <v>10.84</v>
      </c>
      <c r="E3026" s="1590">
        <f>710+30</f>
        <v>740</v>
      </c>
      <c r="F3026" s="1591">
        <f>(C3026-(E3026/H3026))/C3026</f>
        <v>0.20017293558149585</v>
      </c>
      <c r="G3026" s="1591">
        <f>(D3026-((E3026+300)/H3026))/D3026</f>
        <v>0.20049200492004923</v>
      </c>
      <c r="H3026" s="1549">
        <v>120</v>
      </c>
    </row>
    <row r="3027" spans="1:9" s="1423" customFormat="1" ht="24" customHeight="1">
      <c r="A3027" s="361" t="s">
        <v>4061</v>
      </c>
      <c r="B3027" s="361" t="s">
        <v>4060</v>
      </c>
      <c r="C3027" s="1427">
        <f>ROUNDUP(E3027/0.8/120,2)</f>
        <v>7.71</v>
      </c>
      <c r="D3027" s="1427">
        <f>ROUNDUP((E3027+300)/0.8/120,2)</f>
        <v>10.84</v>
      </c>
      <c r="E3027" s="1590">
        <f>710+30</f>
        <v>740</v>
      </c>
      <c r="F3027" s="1591">
        <f>(C3027-(E3027/H3027))/C3027</f>
        <v>0.20017293558149585</v>
      </c>
      <c r="G3027" s="1591">
        <f>(D3027-((E3027+300)/H3027))/D3027</f>
        <v>0.20049200492004923</v>
      </c>
      <c r="H3027" s="1549">
        <v>120</v>
      </c>
    </row>
    <row r="3031" spans="1:9">
      <c r="A3031" s="289" t="s">
        <v>99</v>
      </c>
      <c r="B3031" s="289" t="s">
        <v>4066</v>
      </c>
      <c r="C3031" s="289" t="s">
        <v>203</v>
      </c>
      <c r="D3031" s="289" t="s">
        <v>163</v>
      </c>
      <c r="E3031" s="289" t="s">
        <v>197</v>
      </c>
      <c r="F3031" s="289" t="s">
        <v>198</v>
      </c>
      <c r="G3031" s="1606" t="s">
        <v>4067</v>
      </c>
    </row>
    <row r="3032" spans="1:9">
      <c r="A3032" s="1417" t="s">
        <v>3529</v>
      </c>
      <c r="B3032" s="42" t="s">
        <v>2491</v>
      </c>
      <c r="C3032" s="41" t="s">
        <v>4064</v>
      </c>
      <c r="D3032" s="296">
        <v>44</v>
      </c>
      <c r="E3032" s="297">
        <v>1</v>
      </c>
      <c r="F3032" s="298">
        <f>D3032*E3032</f>
        <v>44</v>
      </c>
      <c r="G3032" s="1184">
        <v>23.38</v>
      </c>
    </row>
    <row r="3033" spans="1:9">
      <c r="A3033" s="41"/>
      <c r="B3033" s="136"/>
      <c r="C3033" s="136" t="s">
        <v>218</v>
      </c>
      <c r="D3033" s="292"/>
      <c r="E3033" s="297"/>
      <c r="F3033" s="292">
        <v>1</v>
      </c>
      <c r="G3033" s="1181">
        <v>12</v>
      </c>
    </row>
    <row r="3036" spans="1:9">
      <c r="A3036" s="1520" t="s">
        <v>4075</v>
      </c>
    </row>
    <row r="3037" spans="1:9" ht="15">
      <c r="A3037" s="1527" t="s">
        <v>192</v>
      </c>
      <c r="B3037" s="1527" t="s">
        <v>90</v>
      </c>
      <c r="C3037" s="1527" t="s">
        <v>3847</v>
      </c>
      <c r="D3037" s="1528" t="s">
        <v>4068</v>
      </c>
      <c r="E3037" s="1528" t="s">
        <v>4069</v>
      </c>
      <c r="F3037" s="1408" t="s">
        <v>3849</v>
      </c>
      <c r="G3037" s="1408" t="s">
        <v>3851</v>
      </c>
      <c r="H3037" s="1607" t="s">
        <v>4070</v>
      </c>
      <c r="I3037" s="1608" t="s">
        <v>4071</v>
      </c>
    </row>
    <row r="3038" spans="1:9" ht="38.25">
      <c r="A3038" s="41" t="s">
        <v>4074</v>
      </c>
      <c r="B3038" s="1609">
        <v>10</v>
      </c>
      <c r="C3038" s="1463" t="s">
        <v>4076</v>
      </c>
      <c r="D3038" s="41" t="s">
        <v>4072</v>
      </c>
      <c r="E3038" s="1405">
        <v>0.84</v>
      </c>
      <c r="F3038" s="41" t="s">
        <v>4073</v>
      </c>
      <c r="G3038" s="1405">
        <v>180</v>
      </c>
      <c r="H3038" s="1525">
        <v>47</v>
      </c>
      <c r="I3038" s="1523">
        <v>18000</v>
      </c>
    </row>
    <row r="3041" spans="1:8" ht="15">
      <c r="A3041" s="1527" t="s">
        <v>192</v>
      </c>
      <c r="B3041" s="1527" t="s">
        <v>90</v>
      </c>
      <c r="C3041" s="1527" t="s">
        <v>45</v>
      </c>
      <c r="D3041" s="1528" t="s">
        <v>150</v>
      </c>
      <c r="E3041" s="1528" t="s">
        <v>3604</v>
      </c>
      <c r="F3041" s="1408" t="s">
        <v>3851</v>
      </c>
      <c r="G3041" s="1607" t="s">
        <v>4070</v>
      </c>
      <c r="H3041" s="1608" t="s">
        <v>4071</v>
      </c>
    </row>
    <row r="3042" spans="1:8">
      <c r="A3042" s="41" t="s">
        <v>4074</v>
      </c>
      <c r="B3042" s="1609">
        <v>10</v>
      </c>
      <c r="C3042" s="1463" t="s">
        <v>4077</v>
      </c>
      <c r="D3042" s="41" t="s">
        <v>4072</v>
      </c>
      <c r="E3042" s="1405">
        <v>0.84</v>
      </c>
      <c r="F3042" s="1405">
        <v>180</v>
      </c>
      <c r="G3042" s="1525">
        <v>47</v>
      </c>
      <c r="H3042" s="1523">
        <v>18000</v>
      </c>
    </row>
    <row r="3043" spans="1:8">
      <c r="A3043" s="41"/>
      <c r="B3043" s="136"/>
      <c r="C3043" s="136" t="s">
        <v>4078</v>
      </c>
      <c r="D3043" s="292">
        <v>1</v>
      </c>
      <c r="E3043" s="1405">
        <v>180</v>
      </c>
      <c r="F3043" s="292">
        <v>1</v>
      </c>
      <c r="G3043" s="1181">
        <v>12</v>
      </c>
    </row>
    <row r="3044" spans="1:8">
      <c r="A3044" s="41"/>
      <c r="B3044" s="136"/>
      <c r="C3044" s="136" t="s">
        <v>218</v>
      </c>
      <c r="D3044" s="292">
        <v>1</v>
      </c>
      <c r="E3044" s="1405">
        <v>12</v>
      </c>
      <c r="F3044" s="292">
        <v>1</v>
      </c>
      <c r="G3044" s="1181">
        <v>12</v>
      </c>
    </row>
    <row r="3047" spans="1:8" ht="15" thickBot="1">
      <c r="A3047" s="247" t="s">
        <v>4079</v>
      </c>
    </row>
    <row r="3048" spans="1:8" ht="17.25" thickBot="1">
      <c r="A3048" s="2069" t="s">
        <v>4096</v>
      </c>
      <c r="B3048" s="2070"/>
      <c r="F3048" s="2071" t="s">
        <v>4080</v>
      </c>
      <c r="G3048" s="2072"/>
    </row>
    <row r="3049" spans="1:8" ht="17.25" thickBot="1">
      <c r="A3049" s="1490" t="s">
        <v>298</v>
      </c>
      <c r="B3049" s="1491" t="s">
        <v>4107</v>
      </c>
      <c r="F3049" s="1610" t="s">
        <v>4082</v>
      </c>
      <c r="G3049" s="1611" t="s">
        <v>4081</v>
      </c>
    </row>
    <row r="3050" spans="1:8" ht="17.25" thickBot="1">
      <c r="A3050" s="1490" t="s">
        <v>299</v>
      </c>
      <c r="B3050" s="1491" t="s">
        <v>4108</v>
      </c>
      <c r="F3050" s="1610" t="s">
        <v>4083</v>
      </c>
      <c r="G3050" s="1611" t="s">
        <v>4084</v>
      </c>
    </row>
    <row r="3051" spans="1:8" ht="17.25" thickBot="1">
      <c r="A3051" s="1615" t="s">
        <v>4109</v>
      </c>
      <c r="B3051" s="1491" t="s">
        <v>4102</v>
      </c>
      <c r="F3051" s="1610" t="s">
        <v>4085</v>
      </c>
      <c r="G3051" s="1611" t="s">
        <v>4086</v>
      </c>
    </row>
    <row r="3052" spans="1:8" ht="17.25" thickBot="1">
      <c r="A3052" s="1615" t="s">
        <v>4098</v>
      </c>
      <c r="B3052" s="1491" t="s">
        <v>4097</v>
      </c>
      <c r="F3052" s="1610" t="s">
        <v>4087</v>
      </c>
      <c r="G3052" s="1611" t="s">
        <v>4088</v>
      </c>
    </row>
    <row r="3053" spans="1:8" ht="17.25" thickBot="1">
      <c r="A3053" s="1615" t="s">
        <v>4099</v>
      </c>
      <c r="B3053" s="1491" t="s">
        <v>4097</v>
      </c>
      <c r="F3053" s="1610" t="s">
        <v>4089</v>
      </c>
      <c r="G3053" s="1612" t="s">
        <v>4090</v>
      </c>
    </row>
    <row r="3054" spans="1:8" ht="17.25" thickBot="1">
      <c r="A3054" s="1615" t="s">
        <v>4100</v>
      </c>
      <c r="B3054" s="1491" t="s">
        <v>4110</v>
      </c>
      <c r="F3054" s="1610" t="s">
        <v>4091</v>
      </c>
      <c r="G3054" s="1613" t="s">
        <v>4092</v>
      </c>
    </row>
    <row r="3055" spans="1:8" ht="17.25" thickBot="1">
      <c r="A3055" s="1615" t="s">
        <v>4101</v>
      </c>
      <c r="B3055" s="1491" t="s">
        <v>4106</v>
      </c>
      <c r="D3055" s="1547" t="s">
        <v>3909</v>
      </c>
      <c r="E3055" s="1547" t="s">
        <v>1843</v>
      </c>
      <c r="F3055" s="1610" t="s">
        <v>4093</v>
      </c>
      <c r="G3055" s="1614">
        <v>2860</v>
      </c>
    </row>
    <row r="3056" spans="1:8" ht="17.25" thickBot="1">
      <c r="A3056" s="1615" t="s">
        <v>4103</v>
      </c>
      <c r="B3056" s="1617">
        <f>ROUNDUP(C3056/0.8/120,2)</f>
        <v>29.8</v>
      </c>
      <c r="C3056" s="1535">
        <f>2860</f>
        <v>2860</v>
      </c>
      <c r="D3056" s="1591">
        <f>(B3056-(C3056/E3056))/B3056</f>
        <v>0.20022371364653249</v>
      </c>
      <c r="E3056" s="1616">
        <v>120</v>
      </c>
      <c r="F3056" s="1610" t="s">
        <v>4094</v>
      </c>
      <c r="G3056" s="1614">
        <v>1650</v>
      </c>
    </row>
    <row r="3057" spans="1:8" ht="17.25" thickBot="1">
      <c r="A3057" s="1615" t="s">
        <v>4104</v>
      </c>
      <c r="B3057" s="1617">
        <f>ROUNDUP(C3057/0.8/120,2)</f>
        <v>17.190000000000001</v>
      </c>
      <c r="C3057" s="1535">
        <v>1650</v>
      </c>
      <c r="D3057" s="1591">
        <f>(B3057-(C3057/E3057))/B3057</f>
        <v>0.20011634671320541</v>
      </c>
      <c r="E3057" s="1616">
        <v>120</v>
      </c>
      <c r="F3057" s="1610" t="s">
        <v>4095</v>
      </c>
      <c r="G3057" s="1614">
        <v>1420</v>
      </c>
    </row>
    <row r="3058" spans="1:8" ht="14.25" thickBot="1">
      <c r="A3058" s="1615" t="s">
        <v>4105</v>
      </c>
      <c r="B3058" s="1617">
        <f>ROUNDUP(C3058/0.8/120,2)</f>
        <v>15.11</v>
      </c>
      <c r="C3058" s="1535">
        <f>1420+30</f>
        <v>1450</v>
      </c>
      <c r="D3058" s="1591">
        <f>(B3058-(C3058/E3058))/B3058</f>
        <v>0.20030884623869397</v>
      </c>
      <c r="E3058" s="1616">
        <v>120</v>
      </c>
    </row>
    <row r="3062" spans="1:8" s="337" customFormat="1" ht="12.75">
      <c r="A3062" s="337" t="s">
        <v>4111</v>
      </c>
    </row>
    <row r="3063" spans="1:8" s="1423" customFormat="1">
      <c r="A3063" s="1435" t="s">
        <v>174</v>
      </c>
      <c r="B3063" s="1418" t="s">
        <v>4114</v>
      </c>
      <c r="C3063" s="1589" t="s">
        <v>4113</v>
      </c>
      <c r="D3063" s="1547" t="s">
        <v>3909</v>
      </c>
      <c r="E3063" s="1547" t="s">
        <v>1843</v>
      </c>
    </row>
    <row r="3064" spans="1:8" s="1423" customFormat="1" ht="24" customHeight="1">
      <c r="A3064" s="361" t="s">
        <v>4112</v>
      </c>
      <c r="B3064" s="1427">
        <f>ROUNDUP(C3064/0.8/125,2)</f>
        <v>81.040000000000006</v>
      </c>
      <c r="C3064" s="1590">
        <v>8104</v>
      </c>
      <c r="D3064" s="1591">
        <f>(B3064-(C3064/E3064))/B3064</f>
        <v>0.20000000000000015</v>
      </c>
      <c r="E3064" s="1616">
        <v>125</v>
      </c>
    </row>
    <row r="3065" spans="1:8" s="1423" customFormat="1" ht="51.75" customHeight="1">
      <c r="A3065" s="361" t="s">
        <v>4115</v>
      </c>
      <c r="B3065" s="1427">
        <f>ROUNDUP(C3065/0.8/125,2)</f>
        <v>43.5</v>
      </c>
      <c r="C3065" s="1590">
        <v>4350</v>
      </c>
      <c r="D3065" s="1591">
        <f>(B3065-(C3065/E3065))/B3065</f>
        <v>0.20000000000000007</v>
      </c>
      <c r="E3065" s="1616">
        <v>125</v>
      </c>
    </row>
    <row r="3066" spans="1:8" s="1423" customFormat="1" ht="39" customHeight="1">
      <c r="A3066" s="361" t="s">
        <v>4116</v>
      </c>
      <c r="B3066" s="1427">
        <f>ROUNDUP(C3066/0.8/125,2)</f>
        <v>49.5</v>
      </c>
      <c r="C3066" s="1590">
        <v>4950</v>
      </c>
      <c r="D3066" s="1591">
        <f>(B3066-(C3066/E3066))/B3066</f>
        <v>0.19999999999999998</v>
      </c>
      <c r="E3066" s="1616">
        <v>125</v>
      </c>
    </row>
    <row r="3069" spans="1:8">
      <c r="A3069" s="1435" t="s">
        <v>4119</v>
      </c>
      <c r="B3069" s="289" t="s">
        <v>99</v>
      </c>
      <c r="C3069" s="289" t="s">
        <v>203</v>
      </c>
      <c r="D3069" s="289" t="s">
        <v>163</v>
      </c>
      <c r="E3069" s="289" t="s">
        <v>197</v>
      </c>
      <c r="F3069" s="289" t="s">
        <v>198</v>
      </c>
      <c r="G3069" s="1606" t="s">
        <v>3604</v>
      </c>
      <c r="H3069" s="688"/>
    </row>
    <row r="3070" spans="1:8">
      <c r="A3070" s="314" t="s">
        <v>4118</v>
      </c>
      <c r="B3070" s="1182" t="s">
        <v>2280</v>
      </c>
      <c r="C3070" s="41" t="s">
        <v>25</v>
      </c>
      <c r="D3070" s="1624">
        <v>13.7</v>
      </c>
      <c r="E3070" s="1625">
        <v>7</v>
      </c>
      <c r="F3070" s="1626">
        <f>D3070*E3070</f>
        <v>95.899999999999991</v>
      </c>
      <c r="G3070" s="1468">
        <v>5.94</v>
      </c>
      <c r="H3070" s="1276">
        <f>G3070*F3070</f>
        <v>569.64599999999996</v>
      </c>
    </row>
    <row r="3071" spans="1:8">
      <c r="A3071" s="314" t="s">
        <v>4118</v>
      </c>
      <c r="B3071" s="1182" t="s">
        <v>2280</v>
      </c>
      <c r="C3071" s="41" t="s">
        <v>25</v>
      </c>
      <c r="D3071" s="1624">
        <v>10.7</v>
      </c>
      <c r="E3071" s="1625">
        <v>1</v>
      </c>
      <c r="F3071" s="1626">
        <f>D3071*E3071</f>
        <v>10.7</v>
      </c>
      <c r="G3071" s="1468">
        <v>5.94</v>
      </c>
      <c r="H3071" s="1276">
        <f>G3071*F3071</f>
        <v>63.558</v>
      </c>
    </row>
    <row r="3074" spans="1:121" ht="18.95" customHeight="1">
      <c r="A3074" t="s">
        <v>4126</v>
      </c>
    </row>
    <row r="3076" spans="1:121" s="359" customFormat="1" ht="25.5">
      <c r="A3076" s="379" t="s">
        <v>171</v>
      </c>
      <c r="B3076" s="380" t="s">
        <v>16</v>
      </c>
      <c r="C3076" s="381" t="s">
        <v>4121</v>
      </c>
      <c r="D3076" s="382" t="s">
        <v>204</v>
      </c>
      <c r="E3076" s="326" t="s">
        <v>3357</v>
      </c>
      <c r="F3076" s="1565" t="s">
        <v>176</v>
      </c>
      <c r="G3076" s="1566" t="s">
        <v>3909</v>
      </c>
      <c r="H3076" s="1566" t="s">
        <v>1843</v>
      </c>
    </row>
    <row r="3077" spans="1:121" s="337" customFormat="1" ht="15" customHeight="1">
      <c r="A3077" s="355" t="s">
        <v>4120</v>
      </c>
      <c r="B3077" s="1627">
        <v>6</v>
      </c>
      <c r="C3077" s="356">
        <v>20</v>
      </c>
      <c r="D3077" s="357" t="s">
        <v>211</v>
      </c>
      <c r="E3077" s="1184">
        <f>ROUNDUP(F3077/0.58/125,2)</f>
        <v>1.2</v>
      </c>
      <c r="F3077" s="261">
        <v>87</v>
      </c>
      <c r="G3077" s="1568">
        <f t="shared" ref="G3077:G3084" si="54">((E3077*H3077)-F3077)/(E3077*H3077)</f>
        <v>0.42</v>
      </c>
      <c r="H3077" s="1569">
        <v>125</v>
      </c>
      <c r="I3077" s="1570"/>
      <c r="J3077" s="1570"/>
      <c r="K3077" s="1570"/>
      <c r="L3077" s="1570"/>
      <c r="M3077" s="1570"/>
      <c r="N3077" s="1570"/>
      <c r="O3077" s="1570"/>
      <c r="P3077" s="1570"/>
      <c r="Q3077" s="1570"/>
      <c r="R3077" s="1570"/>
      <c r="S3077" s="1570"/>
      <c r="T3077" s="1570"/>
      <c r="U3077" s="1570"/>
      <c r="V3077" s="1570"/>
      <c r="W3077" s="1570"/>
      <c r="X3077" s="1570"/>
      <c r="Y3077" s="1570"/>
      <c r="Z3077" s="1570"/>
      <c r="AA3077" s="1570"/>
      <c r="AB3077" s="1570"/>
      <c r="AC3077" s="1570"/>
      <c r="AD3077" s="1570"/>
      <c r="AE3077" s="1570"/>
      <c r="AF3077" s="1570"/>
      <c r="AG3077" s="1570"/>
      <c r="AH3077" s="1570"/>
      <c r="AI3077" s="1570"/>
      <c r="AJ3077" s="1570"/>
      <c r="AK3077" s="1570"/>
      <c r="AL3077" s="1570"/>
      <c r="AM3077" s="1570"/>
      <c r="AN3077" s="1570"/>
      <c r="AO3077" s="1570"/>
      <c r="AP3077" s="1570"/>
      <c r="AQ3077" s="1570"/>
      <c r="AR3077" s="1570"/>
      <c r="AS3077" s="1570"/>
      <c r="AT3077" s="1570"/>
      <c r="AU3077" s="1570"/>
      <c r="AV3077" s="1570"/>
      <c r="AW3077" s="1570"/>
      <c r="AX3077" s="1570"/>
      <c r="AY3077" s="1570"/>
      <c r="AZ3077" s="1570"/>
      <c r="BA3077" s="1570"/>
      <c r="BB3077" s="1570"/>
      <c r="BC3077" s="1570"/>
      <c r="BD3077" s="1570"/>
      <c r="BE3077" s="1570"/>
      <c r="BF3077" s="1570"/>
      <c r="BG3077" s="1570"/>
      <c r="BH3077" s="1570"/>
      <c r="BI3077" s="1570"/>
      <c r="BJ3077" s="1570"/>
      <c r="BK3077" s="1570"/>
      <c r="BL3077" s="1570"/>
      <c r="BM3077" s="1570"/>
      <c r="BN3077" s="1570"/>
      <c r="BO3077" s="1570"/>
      <c r="BP3077" s="1570"/>
      <c r="BQ3077" s="1570"/>
      <c r="BR3077" s="1570"/>
      <c r="BS3077" s="1570"/>
      <c r="BT3077" s="1570"/>
      <c r="BU3077" s="1570"/>
      <c r="BV3077" s="1570"/>
      <c r="BW3077" s="1570"/>
      <c r="BX3077" s="1570"/>
      <c r="BY3077" s="1570"/>
      <c r="BZ3077" s="1570"/>
      <c r="CA3077" s="1570"/>
      <c r="CB3077" s="1570"/>
      <c r="CC3077" s="1570"/>
      <c r="CD3077" s="1570"/>
      <c r="CE3077" s="1570"/>
      <c r="CF3077" s="1570"/>
      <c r="CG3077" s="1570"/>
      <c r="CH3077" s="1570"/>
      <c r="CI3077" s="1570"/>
      <c r="CJ3077" s="1570"/>
      <c r="CK3077" s="1570"/>
      <c r="CL3077" s="1570"/>
      <c r="CM3077" s="1570"/>
      <c r="CN3077" s="1570"/>
      <c r="CO3077" s="1570"/>
      <c r="CP3077" s="1570"/>
      <c r="CQ3077" s="1570"/>
      <c r="CR3077" s="1570"/>
      <c r="CS3077" s="1570"/>
      <c r="CT3077" s="1570"/>
      <c r="CU3077" s="1570"/>
      <c r="CV3077" s="1570"/>
      <c r="CW3077" s="1570"/>
      <c r="CX3077" s="1570"/>
      <c r="CY3077" s="1570"/>
      <c r="CZ3077" s="1570"/>
      <c r="DA3077" s="1570"/>
      <c r="DB3077" s="1570"/>
      <c r="DC3077" s="1570"/>
      <c r="DD3077" s="1570"/>
      <c r="DE3077" s="1570"/>
      <c r="DF3077" s="1570"/>
      <c r="DG3077" s="1570"/>
      <c r="DH3077" s="1570"/>
      <c r="DI3077" s="1570"/>
      <c r="DJ3077" s="1570"/>
      <c r="DK3077" s="1570"/>
      <c r="DL3077" s="1570"/>
      <c r="DM3077" s="1570"/>
      <c r="DN3077" s="1570"/>
    </row>
    <row r="3078" spans="1:121" s="1423" customFormat="1" ht="15" customHeight="1">
      <c r="A3078" s="355" t="s">
        <v>4120</v>
      </c>
      <c r="B3078" s="1627">
        <v>9</v>
      </c>
      <c r="C3078" s="356">
        <v>20</v>
      </c>
      <c r="D3078" s="357" t="s">
        <v>211</v>
      </c>
      <c r="E3078" s="1184">
        <v>1.33</v>
      </c>
      <c r="F3078" s="261">
        <v>97</v>
      </c>
      <c r="G3078" s="1568">
        <f t="shared" si="54"/>
        <v>0.41654135338345866</v>
      </c>
      <c r="H3078" s="1569">
        <v>125</v>
      </c>
      <c r="I3078" s="1570"/>
      <c r="J3078" s="1570"/>
      <c r="K3078" s="1570"/>
      <c r="L3078" s="1570"/>
      <c r="M3078" s="1570"/>
      <c r="N3078" s="1570"/>
      <c r="O3078" s="1570"/>
      <c r="P3078" s="1570"/>
      <c r="Q3078" s="1570"/>
      <c r="R3078" s="1570"/>
      <c r="S3078" s="1570"/>
      <c r="T3078" s="1570"/>
      <c r="U3078" s="1570"/>
      <c r="V3078" s="1570"/>
      <c r="W3078" s="1570"/>
      <c r="X3078" s="1570"/>
      <c r="Y3078" s="1570"/>
      <c r="Z3078" s="1570"/>
      <c r="AA3078" s="1570"/>
      <c r="AB3078" s="1570"/>
      <c r="AC3078" s="1570"/>
      <c r="AD3078" s="1570"/>
      <c r="AE3078" s="1570"/>
      <c r="AF3078" s="1570"/>
      <c r="AG3078" s="1570"/>
      <c r="AH3078" s="1570"/>
      <c r="AI3078" s="1570"/>
      <c r="AJ3078" s="1570"/>
      <c r="AK3078" s="1570"/>
      <c r="AL3078" s="1570"/>
      <c r="AM3078" s="1570"/>
      <c r="AN3078" s="1570"/>
      <c r="AO3078" s="1570"/>
      <c r="AP3078" s="1570"/>
      <c r="AQ3078" s="1570"/>
      <c r="AR3078" s="1570"/>
      <c r="AS3078" s="1570"/>
      <c r="AT3078" s="1570"/>
      <c r="AU3078" s="1570"/>
      <c r="AV3078" s="1570"/>
      <c r="AW3078" s="1570"/>
      <c r="AX3078" s="1570"/>
      <c r="AY3078" s="1570"/>
      <c r="AZ3078" s="1570"/>
      <c r="BA3078" s="1570"/>
      <c r="BB3078" s="1570"/>
      <c r="BC3078" s="1570"/>
      <c r="BD3078" s="1570"/>
      <c r="BE3078" s="1570"/>
      <c r="BF3078" s="1570"/>
      <c r="BG3078" s="1570"/>
      <c r="BH3078" s="1570"/>
      <c r="BI3078" s="1570"/>
      <c r="BJ3078" s="1570"/>
      <c r="BK3078" s="1570"/>
      <c r="BL3078" s="1570"/>
      <c r="BM3078" s="1570"/>
      <c r="BN3078" s="1570"/>
      <c r="BO3078" s="1570"/>
      <c r="BP3078" s="1570"/>
      <c r="BQ3078" s="1570"/>
      <c r="BR3078" s="1570"/>
      <c r="BS3078" s="1570"/>
      <c r="BT3078" s="1570"/>
      <c r="BU3078" s="1570"/>
      <c r="BV3078" s="1570"/>
      <c r="BW3078" s="1570"/>
      <c r="BX3078" s="1570"/>
      <c r="BY3078" s="1570"/>
      <c r="BZ3078" s="1570"/>
      <c r="CA3078" s="1570"/>
      <c r="CB3078" s="1570"/>
      <c r="CC3078" s="1570"/>
      <c r="CD3078" s="1570"/>
      <c r="CE3078" s="1570"/>
      <c r="CF3078" s="1570"/>
      <c r="CG3078" s="1570"/>
      <c r="CH3078" s="1570"/>
      <c r="CI3078" s="1570"/>
      <c r="CJ3078" s="1570"/>
      <c r="CK3078" s="1570"/>
      <c r="CL3078" s="1570"/>
      <c r="CM3078" s="1570"/>
      <c r="CN3078" s="1570"/>
      <c r="CO3078" s="1570"/>
      <c r="CP3078" s="1570"/>
      <c r="CQ3078" s="1570"/>
      <c r="CR3078" s="1570"/>
      <c r="CS3078" s="1570"/>
      <c r="CT3078" s="1570"/>
      <c r="CU3078" s="1570"/>
      <c r="CV3078" s="1570"/>
      <c r="CW3078" s="1570"/>
      <c r="CX3078" s="1570"/>
      <c r="CY3078" s="1570"/>
      <c r="CZ3078" s="1570"/>
      <c r="DA3078" s="1570"/>
      <c r="DB3078" s="1570"/>
      <c r="DC3078" s="1570"/>
      <c r="DD3078" s="1570"/>
      <c r="DE3078" s="1570"/>
      <c r="DF3078" s="1570"/>
      <c r="DG3078" s="1570"/>
      <c r="DH3078" s="1570"/>
      <c r="DI3078" s="1570"/>
      <c r="DJ3078" s="1570"/>
      <c r="DK3078" s="1570"/>
      <c r="DL3078" s="1570"/>
      <c r="DM3078" s="1570"/>
      <c r="DN3078" s="1570"/>
      <c r="DO3078" s="1570"/>
      <c r="DP3078" s="1570"/>
      <c r="DQ3078" s="1570"/>
    </row>
    <row r="3079" spans="1:121">
      <c r="A3079" s="355" t="s">
        <v>4120</v>
      </c>
      <c r="B3079" s="1627">
        <v>12</v>
      </c>
      <c r="C3079" s="356">
        <v>20</v>
      </c>
      <c r="D3079" s="357" t="s">
        <v>211</v>
      </c>
      <c r="E3079" s="1184">
        <f t="shared" ref="E3079:E3084" si="55">ROUNDUP(F3079/0.58/125,2)</f>
        <v>1.52</v>
      </c>
      <c r="F3079" s="261">
        <v>110</v>
      </c>
      <c r="G3079" s="1568">
        <f t="shared" si="54"/>
        <v>0.42105263157894735</v>
      </c>
      <c r="H3079" s="1569">
        <v>125</v>
      </c>
    </row>
    <row r="3080" spans="1:121">
      <c r="A3080" s="355" t="s">
        <v>4120</v>
      </c>
      <c r="B3080" s="1627">
        <v>18</v>
      </c>
      <c r="C3080" s="356">
        <v>20</v>
      </c>
      <c r="D3080" s="357" t="s">
        <v>211</v>
      </c>
      <c r="E3080" s="1184">
        <f t="shared" si="55"/>
        <v>1.74</v>
      </c>
      <c r="F3080" s="261">
        <v>126</v>
      </c>
      <c r="G3080" s="1568">
        <f t="shared" si="54"/>
        <v>0.4206896551724138</v>
      </c>
      <c r="H3080" s="1569">
        <v>125</v>
      </c>
    </row>
    <row r="3081" spans="1:121">
      <c r="A3081" s="355" t="s">
        <v>4120</v>
      </c>
      <c r="B3081" s="1627">
        <v>24</v>
      </c>
      <c r="C3081" s="356">
        <v>20</v>
      </c>
      <c r="D3081" s="357" t="s">
        <v>211</v>
      </c>
      <c r="E3081" s="1184">
        <f t="shared" si="55"/>
        <v>2.0499999999999998</v>
      </c>
      <c r="F3081" s="261">
        <v>148</v>
      </c>
      <c r="G3081" s="1568">
        <f t="shared" si="54"/>
        <v>0.42243902439024389</v>
      </c>
      <c r="H3081" s="1569">
        <v>125</v>
      </c>
    </row>
    <row r="3082" spans="1:121">
      <c r="A3082" s="355" t="s">
        <v>4120</v>
      </c>
      <c r="B3082" s="1627" t="s">
        <v>4122</v>
      </c>
      <c r="C3082" s="356">
        <v>20</v>
      </c>
      <c r="D3082" s="357" t="s">
        <v>211</v>
      </c>
      <c r="E3082" s="1184">
        <f t="shared" si="55"/>
        <v>1.56</v>
      </c>
      <c r="F3082" s="261">
        <v>113</v>
      </c>
      <c r="G3082" s="1568">
        <f t="shared" si="54"/>
        <v>0.42051282051282052</v>
      </c>
      <c r="H3082" s="1569">
        <v>125</v>
      </c>
    </row>
    <row r="3083" spans="1:121">
      <c r="A3083" s="355" t="s">
        <v>4120</v>
      </c>
      <c r="B3083" s="1576" t="s">
        <v>4123</v>
      </c>
      <c r="C3083" s="356">
        <v>20</v>
      </c>
      <c r="D3083" s="357" t="s">
        <v>211</v>
      </c>
      <c r="E3083" s="1184">
        <f t="shared" si="55"/>
        <v>1.74</v>
      </c>
      <c r="F3083" s="261">
        <v>126</v>
      </c>
      <c r="G3083" s="1568">
        <f t="shared" si="54"/>
        <v>0.4206896551724138</v>
      </c>
      <c r="H3083" s="1569">
        <v>125</v>
      </c>
    </row>
    <row r="3084" spans="1:121">
      <c r="A3084" s="355" t="s">
        <v>4120</v>
      </c>
      <c r="B3084" s="1576" t="s">
        <v>4124</v>
      </c>
      <c r="C3084" s="356">
        <v>20</v>
      </c>
      <c r="D3084" s="357" t="s">
        <v>211</v>
      </c>
      <c r="E3084" s="1184">
        <f t="shared" si="55"/>
        <v>2.0499999999999998</v>
      </c>
      <c r="F3084" s="261">
        <v>148</v>
      </c>
      <c r="G3084" s="1568">
        <f t="shared" si="54"/>
        <v>0.42243902439024389</v>
      </c>
      <c r="H3084" s="1569">
        <v>125</v>
      </c>
    </row>
    <row r="3085" spans="1:121">
      <c r="A3085" s="355"/>
      <c r="B3085" s="1576"/>
      <c r="C3085" s="356"/>
      <c r="D3085" s="357"/>
      <c r="E3085" s="1184"/>
      <c r="F3085" s="261"/>
      <c r="G3085" s="1568"/>
      <c r="H3085" s="1569"/>
    </row>
    <row r="3086" spans="1:121">
      <c r="A3086" s="355" t="s">
        <v>4125</v>
      </c>
      <c r="B3086" s="1627">
        <v>6</v>
      </c>
      <c r="C3086" s="356">
        <v>30</v>
      </c>
      <c r="D3086" s="357" t="s">
        <v>211</v>
      </c>
      <c r="E3086" s="1184">
        <f t="shared" ref="E3086:E3092" si="56">ROUNDUP(F3086/0.55/125,2)</f>
        <v>0.2</v>
      </c>
      <c r="F3086" s="261">
        <f>411/30</f>
        <v>13.7</v>
      </c>
      <c r="G3086" s="1568">
        <f t="shared" ref="G3086:G3092" si="57">((E3086*H3086)-F3086)/(E3086*H3086)</f>
        <v>0.45200000000000001</v>
      </c>
      <c r="H3086" s="1569">
        <v>125</v>
      </c>
    </row>
    <row r="3087" spans="1:121">
      <c r="A3087" s="355" t="s">
        <v>4125</v>
      </c>
      <c r="B3087" s="1627">
        <v>9</v>
      </c>
      <c r="C3087" s="356">
        <v>30</v>
      </c>
      <c r="D3087" s="357" t="s">
        <v>211</v>
      </c>
      <c r="E3087" s="1184">
        <f t="shared" si="56"/>
        <v>0.24000000000000002</v>
      </c>
      <c r="F3087" s="261">
        <f>484/30</f>
        <v>16.133333333333333</v>
      </c>
      <c r="G3087" s="1568">
        <f t="shared" si="57"/>
        <v>0.46222222222222231</v>
      </c>
      <c r="H3087" s="1569">
        <v>125</v>
      </c>
    </row>
    <row r="3088" spans="1:121">
      <c r="A3088" s="355" t="s">
        <v>4125</v>
      </c>
      <c r="B3088" s="1627">
        <v>12</v>
      </c>
      <c r="C3088" s="356">
        <v>30</v>
      </c>
      <c r="D3088" s="357" t="s">
        <v>211</v>
      </c>
      <c r="E3088" s="1184">
        <f t="shared" si="56"/>
        <v>0.3</v>
      </c>
      <c r="F3088" s="261">
        <f>605/30</f>
        <v>20.166666666666668</v>
      </c>
      <c r="G3088" s="1568">
        <f t="shared" si="57"/>
        <v>0.4622222222222222</v>
      </c>
      <c r="H3088" s="1569">
        <v>125</v>
      </c>
    </row>
    <row r="3089" spans="1:8">
      <c r="A3089" s="355" t="s">
        <v>4125</v>
      </c>
      <c r="B3089" s="1627">
        <v>15</v>
      </c>
      <c r="C3089" s="356">
        <v>30</v>
      </c>
      <c r="D3089" s="357" t="s">
        <v>211</v>
      </c>
      <c r="E3089" s="1184">
        <f t="shared" si="56"/>
        <v>0.36</v>
      </c>
      <c r="F3089" s="261">
        <f>726/30</f>
        <v>24.2</v>
      </c>
      <c r="G3089" s="1568">
        <f t="shared" si="57"/>
        <v>0.46222222222222226</v>
      </c>
      <c r="H3089" s="1569">
        <v>125</v>
      </c>
    </row>
    <row r="3090" spans="1:8">
      <c r="A3090" s="355" t="s">
        <v>4125</v>
      </c>
      <c r="B3090" s="1627">
        <v>19</v>
      </c>
      <c r="C3090" s="356">
        <v>30</v>
      </c>
      <c r="D3090" s="357" t="s">
        <v>211</v>
      </c>
      <c r="E3090" s="1184">
        <f t="shared" si="56"/>
        <v>0.42</v>
      </c>
      <c r="F3090" s="261">
        <f>847/30</f>
        <v>28.233333333333334</v>
      </c>
      <c r="G3090" s="1568">
        <f t="shared" si="57"/>
        <v>0.4622222222222222</v>
      </c>
      <c r="H3090" s="1569">
        <v>125</v>
      </c>
    </row>
    <row r="3091" spans="1:8">
      <c r="A3091" s="355" t="s">
        <v>4125</v>
      </c>
      <c r="B3091" s="1627">
        <v>25</v>
      </c>
      <c r="C3091" s="356">
        <v>30</v>
      </c>
      <c r="D3091" s="357" t="s">
        <v>211</v>
      </c>
      <c r="E3091" s="1184">
        <f t="shared" si="56"/>
        <v>0.53</v>
      </c>
      <c r="F3091" s="261">
        <f>1089/30</f>
        <v>36.299999999999997</v>
      </c>
      <c r="G3091" s="1568">
        <f t="shared" si="57"/>
        <v>0.45207547169811324</v>
      </c>
      <c r="H3091" s="1569">
        <v>125</v>
      </c>
    </row>
    <row r="3092" spans="1:8">
      <c r="A3092" s="355" t="s">
        <v>4125</v>
      </c>
      <c r="B3092" s="1627">
        <v>32</v>
      </c>
      <c r="C3092" s="356">
        <v>30</v>
      </c>
      <c r="D3092" s="357" t="s">
        <v>211</v>
      </c>
      <c r="E3092" s="1184">
        <f t="shared" si="56"/>
        <v>0.71</v>
      </c>
      <c r="F3092" s="261">
        <f>1452/30</f>
        <v>48.4</v>
      </c>
      <c r="G3092" s="1568">
        <f t="shared" si="57"/>
        <v>0.45464788732394368</v>
      </c>
      <c r="H3092" s="1569">
        <v>125</v>
      </c>
    </row>
    <row r="3093" spans="1:8">
      <c r="E3093" s="1628"/>
    </row>
    <row r="3095" spans="1:8">
      <c r="A3095" s="1629"/>
    </row>
    <row r="3097" spans="1:8" s="337" customFormat="1" ht="12.75">
      <c r="A3097" s="337" t="s">
        <v>4133</v>
      </c>
    </row>
    <row r="3098" spans="1:8" s="1423" customFormat="1" ht="38.25">
      <c r="A3098" s="1435" t="s">
        <v>174</v>
      </c>
      <c r="B3098" s="1421" t="s">
        <v>3608</v>
      </c>
      <c r="C3098" s="1418" t="s">
        <v>4026</v>
      </c>
      <c r="D3098" s="1421" t="s">
        <v>4027</v>
      </c>
      <c r="E3098" s="1589" t="s">
        <v>4029</v>
      </c>
      <c r="F3098" s="1547" t="s">
        <v>4030</v>
      </c>
      <c r="G3098" s="1547" t="s">
        <v>4031</v>
      </c>
      <c r="H3098" s="1547" t="s">
        <v>1843</v>
      </c>
    </row>
    <row r="3099" spans="1:8" s="1423" customFormat="1" ht="24" customHeight="1">
      <c r="A3099" s="361" t="s">
        <v>4134</v>
      </c>
      <c r="B3099" s="361" t="s">
        <v>3603</v>
      </c>
      <c r="C3099" s="1427">
        <f>ROUNDUP(E3099/0.8/120,2)</f>
        <v>15.11</v>
      </c>
      <c r="D3099" s="1427">
        <f>ROUNDUP((E3099+300)/0.8/120,2)</f>
        <v>18.23</v>
      </c>
      <c r="E3099" s="1590">
        <f>1420+30</f>
        <v>1450</v>
      </c>
      <c r="F3099" s="1591">
        <f>(C3099-(E3099/H3099))/C3099</f>
        <v>0.20030884623869397</v>
      </c>
      <c r="G3099" s="1591">
        <f>(D3099-((E3099+300)/H3099))/D3099</f>
        <v>0.20003656975681111</v>
      </c>
      <c r="H3099" s="1549">
        <v>120</v>
      </c>
    </row>
    <row r="3100" spans="1:8" s="1423" customFormat="1" ht="24" customHeight="1">
      <c r="A3100" s="361" t="s">
        <v>4134</v>
      </c>
      <c r="B3100" s="361" t="s">
        <v>3603</v>
      </c>
      <c r="C3100" s="1427">
        <f>ROUNDUP(E3100/0.8/120,2)</f>
        <v>14.48</v>
      </c>
      <c r="D3100" s="1427" t="s">
        <v>4175</v>
      </c>
      <c r="E3100" s="1590">
        <f>1360+30</f>
        <v>1390</v>
      </c>
      <c r="F3100" s="1591">
        <f>(C3100-(E3100/H3100))/C3100</f>
        <v>0.20004604051565375</v>
      </c>
      <c r="G3100" s="1591" t="e">
        <f>(D3100-((E3100+300)/H3100))/D3100</f>
        <v>#VALUE!</v>
      </c>
      <c r="H3100" s="1549">
        <v>120</v>
      </c>
    </row>
    <row r="3101" spans="1:8" s="1423" customFormat="1" ht="24" customHeight="1">
      <c r="A3101" s="361" t="s">
        <v>4134</v>
      </c>
      <c r="B3101" s="361" t="s">
        <v>3603</v>
      </c>
      <c r="C3101" s="1427">
        <f>ROUNDUP(E3101/0.8/120,2)</f>
        <v>13.959999999999999</v>
      </c>
      <c r="D3101" s="1427" t="s">
        <v>4176</v>
      </c>
      <c r="E3101" s="1590">
        <f>1310+30</f>
        <v>1340</v>
      </c>
      <c r="F3101" s="1591">
        <f>(C3101-(E3101/H3101))/C3101</f>
        <v>0.20009551098376313</v>
      </c>
      <c r="G3101" s="1591" t="e">
        <f>(D3101-((E3101+300)/H3101))/D3101</f>
        <v>#VALUE!</v>
      </c>
      <c r="H3101" s="1549">
        <v>120</v>
      </c>
    </row>
    <row r="3104" spans="1:8">
      <c r="A3104" s="1633" t="s">
        <v>4149</v>
      </c>
    </row>
    <row r="3105" spans="1:7" ht="14.25" thickBot="1">
      <c r="A3105" s="1630"/>
    </row>
    <row r="3106" spans="1:7" ht="14.25" thickBot="1">
      <c r="A3106" s="348" t="s">
        <v>4146</v>
      </c>
      <c r="B3106" s="1631" t="s">
        <v>3654</v>
      </c>
      <c r="C3106" s="1631" t="s">
        <v>4135</v>
      </c>
      <c r="D3106" s="348" t="s">
        <v>4136</v>
      </c>
    </row>
    <row r="3107" spans="1:7" ht="14.25" thickBot="1">
      <c r="A3107" s="351" t="s">
        <v>4145</v>
      </c>
      <c r="B3107" s="351" t="s">
        <v>4138</v>
      </c>
      <c r="C3107" s="1632" t="s">
        <v>4142</v>
      </c>
      <c r="D3107" s="351" t="s">
        <v>4139</v>
      </c>
    </row>
    <row r="3108" spans="1:7" ht="14.25" thickBot="1">
      <c r="A3108" s="351" t="s">
        <v>4137</v>
      </c>
      <c r="B3108" s="351" t="s">
        <v>4138</v>
      </c>
      <c r="C3108" s="1632" t="s">
        <v>4143</v>
      </c>
      <c r="D3108" s="351" t="s">
        <v>4140</v>
      </c>
    </row>
    <row r="3109" spans="1:7" ht="14.25" thickBot="1">
      <c r="A3109" s="351" t="s">
        <v>4141</v>
      </c>
      <c r="B3109" s="351" t="s">
        <v>4138</v>
      </c>
      <c r="C3109" s="1632" t="s">
        <v>4142</v>
      </c>
      <c r="D3109" s="351" t="s">
        <v>4139</v>
      </c>
    </row>
    <row r="3110" spans="1:7" ht="14.25" thickBot="1">
      <c r="A3110" s="351" t="s">
        <v>4141</v>
      </c>
      <c r="B3110" s="351" t="s">
        <v>4138</v>
      </c>
      <c r="C3110" s="1632" t="s">
        <v>4143</v>
      </c>
      <c r="D3110" s="351" t="s">
        <v>4140</v>
      </c>
    </row>
    <row r="3111" spans="1:7">
      <c r="A3111" s="1520" t="s">
        <v>4144</v>
      </c>
    </row>
    <row r="3112" spans="1:7">
      <c r="A3112" s="2061" t="s">
        <v>4147</v>
      </c>
      <c r="B3112" s="2062"/>
      <c r="C3112" s="2062"/>
    </row>
    <row r="3113" spans="1:7">
      <c r="A3113" s="2062" t="s">
        <v>4148</v>
      </c>
      <c r="B3113" s="2062"/>
      <c r="C3113" s="2062"/>
    </row>
    <row r="3117" spans="1:7">
      <c r="A3117" s="289" t="s">
        <v>99</v>
      </c>
      <c r="B3117" s="289" t="s">
        <v>3654</v>
      </c>
      <c r="C3117" s="289" t="s">
        <v>203</v>
      </c>
      <c r="D3117" s="289" t="s">
        <v>163</v>
      </c>
      <c r="E3117" s="289" t="s">
        <v>197</v>
      </c>
      <c r="F3117" s="289" t="s">
        <v>198</v>
      </c>
      <c r="G3117" s="1541" t="s">
        <v>242</v>
      </c>
    </row>
    <row r="3118" spans="1:7">
      <c r="A3118" s="41">
        <v>4141</v>
      </c>
      <c r="B3118" s="1283">
        <v>6</v>
      </c>
      <c r="C3118" s="41" t="s">
        <v>4151</v>
      </c>
      <c r="D3118" s="1624">
        <v>20</v>
      </c>
      <c r="E3118" s="1625">
        <v>1</v>
      </c>
      <c r="F3118" s="1634">
        <f t="shared" ref="F3118:F3143" si="58">D3118*E3118</f>
        <v>20</v>
      </c>
      <c r="G3118" s="1468">
        <v>1.2</v>
      </c>
    </row>
    <row r="3119" spans="1:7">
      <c r="A3119" s="41">
        <v>4141</v>
      </c>
      <c r="B3119" s="1283">
        <v>9</v>
      </c>
      <c r="C3119" s="41" t="s">
        <v>4151</v>
      </c>
      <c r="D3119" s="1624">
        <v>20</v>
      </c>
      <c r="E3119" s="1625">
        <v>1</v>
      </c>
      <c r="F3119" s="1634">
        <f t="shared" si="58"/>
        <v>20</v>
      </c>
      <c r="G3119" s="1468">
        <v>1.33</v>
      </c>
    </row>
    <row r="3120" spans="1:7">
      <c r="A3120" s="41">
        <v>4141</v>
      </c>
      <c r="B3120" s="1283">
        <v>6</v>
      </c>
      <c r="C3120" s="41" t="s">
        <v>4152</v>
      </c>
      <c r="D3120" s="1624">
        <v>20</v>
      </c>
      <c r="E3120" s="1625">
        <v>1</v>
      </c>
      <c r="F3120" s="1634">
        <f t="shared" si="58"/>
        <v>20</v>
      </c>
      <c r="G3120" s="1468">
        <v>1.2</v>
      </c>
    </row>
    <row r="3121" spans="1:7">
      <c r="A3121" s="41">
        <v>4141</v>
      </c>
      <c r="B3121" s="1283">
        <v>9</v>
      </c>
      <c r="C3121" s="41" t="s">
        <v>4152</v>
      </c>
      <c r="D3121" s="1624">
        <v>20</v>
      </c>
      <c r="E3121" s="1625">
        <v>1</v>
      </c>
      <c r="F3121" s="1634">
        <f t="shared" si="58"/>
        <v>20</v>
      </c>
      <c r="G3121" s="1468">
        <v>1.33</v>
      </c>
    </row>
    <row r="3122" spans="1:7">
      <c r="A3122" s="41">
        <v>4141</v>
      </c>
      <c r="B3122" s="1283">
        <v>6</v>
      </c>
      <c r="C3122" s="41" t="s">
        <v>4153</v>
      </c>
      <c r="D3122" s="1624">
        <v>20</v>
      </c>
      <c r="E3122" s="1625">
        <v>1</v>
      </c>
      <c r="F3122" s="1634">
        <f t="shared" si="58"/>
        <v>20</v>
      </c>
      <c r="G3122" s="1468">
        <v>1.2</v>
      </c>
    </row>
    <row r="3123" spans="1:7">
      <c r="A3123" s="41">
        <v>4141</v>
      </c>
      <c r="B3123" s="1283">
        <v>9</v>
      </c>
      <c r="C3123" s="41" t="s">
        <v>4153</v>
      </c>
      <c r="D3123" s="1624">
        <v>20</v>
      </c>
      <c r="E3123" s="1625">
        <v>1</v>
      </c>
      <c r="F3123" s="1634">
        <f t="shared" si="58"/>
        <v>20</v>
      </c>
      <c r="G3123" s="1468">
        <v>1.33</v>
      </c>
    </row>
    <row r="3124" spans="1:7">
      <c r="A3124" s="41">
        <v>4141</v>
      </c>
      <c r="B3124" s="1283">
        <v>6</v>
      </c>
      <c r="C3124" s="41" t="s">
        <v>4154</v>
      </c>
      <c r="D3124" s="1624">
        <v>20</v>
      </c>
      <c r="E3124" s="1625">
        <v>1</v>
      </c>
      <c r="F3124" s="1634">
        <f t="shared" si="58"/>
        <v>20</v>
      </c>
      <c r="G3124" s="1468">
        <v>1.2</v>
      </c>
    </row>
    <row r="3125" spans="1:7">
      <c r="A3125" s="41">
        <v>4141</v>
      </c>
      <c r="B3125" s="1283">
        <v>9</v>
      </c>
      <c r="C3125" s="41" t="s">
        <v>4154</v>
      </c>
      <c r="D3125" s="1624">
        <v>20</v>
      </c>
      <c r="E3125" s="1625">
        <v>1</v>
      </c>
      <c r="F3125" s="1634">
        <f t="shared" si="58"/>
        <v>20</v>
      </c>
      <c r="G3125" s="1468">
        <v>1.33</v>
      </c>
    </row>
    <row r="3126" spans="1:7">
      <c r="A3126" s="41">
        <v>4141</v>
      </c>
      <c r="B3126" s="1283">
        <v>6</v>
      </c>
      <c r="C3126" s="41" t="s">
        <v>4155</v>
      </c>
      <c r="D3126" s="1624">
        <v>20</v>
      </c>
      <c r="E3126" s="1625">
        <v>1</v>
      </c>
      <c r="F3126" s="1634">
        <f t="shared" si="58"/>
        <v>20</v>
      </c>
      <c r="G3126" s="1468">
        <v>1.2</v>
      </c>
    </row>
    <row r="3127" spans="1:7">
      <c r="A3127" s="41">
        <v>4141</v>
      </c>
      <c r="B3127" s="1283">
        <v>9</v>
      </c>
      <c r="C3127" s="41" t="s">
        <v>4155</v>
      </c>
      <c r="D3127" s="1624">
        <v>20</v>
      </c>
      <c r="E3127" s="1625">
        <v>1</v>
      </c>
      <c r="F3127" s="1634">
        <f t="shared" si="58"/>
        <v>20</v>
      </c>
      <c r="G3127" s="1468">
        <v>1.33</v>
      </c>
    </row>
    <row r="3128" spans="1:7">
      <c r="A3128" s="41">
        <v>4141</v>
      </c>
      <c r="B3128" s="1283">
        <v>6</v>
      </c>
      <c r="C3128" s="1636" t="s">
        <v>4164</v>
      </c>
      <c r="D3128" s="1624">
        <v>20</v>
      </c>
      <c r="E3128" s="1625">
        <v>1</v>
      </c>
      <c r="F3128" s="1634">
        <f t="shared" si="58"/>
        <v>20</v>
      </c>
      <c r="G3128" s="1468">
        <v>1.2</v>
      </c>
    </row>
    <row r="3129" spans="1:7">
      <c r="A3129" s="41">
        <v>4141</v>
      </c>
      <c r="B3129" s="1283">
        <v>9</v>
      </c>
      <c r="C3129" s="1636" t="s">
        <v>4164</v>
      </c>
      <c r="D3129" s="1624">
        <v>20</v>
      </c>
      <c r="E3129" s="1625">
        <v>1</v>
      </c>
      <c r="F3129" s="1634">
        <f t="shared" si="58"/>
        <v>20</v>
      </c>
      <c r="G3129" s="1468">
        <v>1.33</v>
      </c>
    </row>
    <row r="3130" spans="1:7">
      <c r="A3130" s="41">
        <v>4141</v>
      </c>
      <c r="B3130" s="1283">
        <v>6</v>
      </c>
      <c r="C3130" s="41" t="s">
        <v>4156</v>
      </c>
      <c r="D3130" s="1624">
        <v>20</v>
      </c>
      <c r="E3130" s="1625">
        <v>1</v>
      </c>
      <c r="F3130" s="1634">
        <f t="shared" si="58"/>
        <v>20</v>
      </c>
      <c r="G3130" s="1468">
        <v>1.2</v>
      </c>
    </row>
    <row r="3131" spans="1:7">
      <c r="A3131" s="41">
        <v>4141</v>
      </c>
      <c r="B3131" s="1283">
        <v>9</v>
      </c>
      <c r="C3131" s="41" t="s">
        <v>4156</v>
      </c>
      <c r="D3131" s="1624">
        <v>20</v>
      </c>
      <c r="E3131" s="1625">
        <v>1</v>
      </c>
      <c r="F3131" s="1634">
        <f t="shared" si="58"/>
        <v>20</v>
      </c>
      <c r="G3131" s="1468">
        <v>1.33</v>
      </c>
    </row>
    <row r="3132" spans="1:7">
      <c r="A3132" s="41">
        <v>4141</v>
      </c>
      <c r="B3132" s="1283">
        <v>6</v>
      </c>
      <c r="C3132" s="41" t="s">
        <v>4157</v>
      </c>
      <c r="D3132" s="1624">
        <v>20</v>
      </c>
      <c r="E3132" s="1625">
        <v>1</v>
      </c>
      <c r="F3132" s="1634">
        <f t="shared" si="58"/>
        <v>20</v>
      </c>
      <c r="G3132" s="1468">
        <v>1.2</v>
      </c>
    </row>
    <row r="3133" spans="1:7">
      <c r="A3133" s="41">
        <v>4141</v>
      </c>
      <c r="B3133" s="1283">
        <v>9</v>
      </c>
      <c r="C3133" s="41" t="s">
        <v>4157</v>
      </c>
      <c r="D3133" s="1624">
        <v>20</v>
      </c>
      <c r="E3133" s="1625">
        <v>1</v>
      </c>
      <c r="F3133" s="1634">
        <f t="shared" si="58"/>
        <v>20</v>
      </c>
      <c r="G3133" s="1468">
        <v>1.33</v>
      </c>
    </row>
    <row r="3134" spans="1:7">
      <c r="A3134" s="41">
        <v>4141</v>
      </c>
      <c r="B3134" s="1283">
        <v>6</v>
      </c>
      <c r="C3134" s="41" t="s">
        <v>4158</v>
      </c>
      <c r="D3134" s="1624">
        <v>20</v>
      </c>
      <c r="E3134" s="1625">
        <v>1</v>
      </c>
      <c r="F3134" s="1634">
        <f t="shared" si="58"/>
        <v>20</v>
      </c>
      <c r="G3134" s="1468">
        <v>1.2</v>
      </c>
    </row>
    <row r="3135" spans="1:7">
      <c r="A3135" s="41">
        <v>4141</v>
      </c>
      <c r="B3135" s="1283">
        <v>9</v>
      </c>
      <c r="C3135" s="41" t="s">
        <v>4158</v>
      </c>
      <c r="D3135" s="1624">
        <v>20</v>
      </c>
      <c r="E3135" s="1625">
        <v>1</v>
      </c>
      <c r="F3135" s="1634">
        <f t="shared" si="58"/>
        <v>20</v>
      </c>
      <c r="G3135" s="1468">
        <v>1.33</v>
      </c>
    </row>
    <row r="3136" spans="1:7">
      <c r="A3136" s="41">
        <v>4141</v>
      </c>
      <c r="B3136" s="1283">
        <v>6</v>
      </c>
      <c r="C3136" s="41" t="s">
        <v>4159</v>
      </c>
      <c r="D3136" s="1624">
        <v>20</v>
      </c>
      <c r="E3136" s="1625">
        <v>1</v>
      </c>
      <c r="F3136" s="1634">
        <f t="shared" si="58"/>
        <v>20</v>
      </c>
      <c r="G3136" s="1468">
        <v>1.2</v>
      </c>
    </row>
    <row r="3137" spans="1:8">
      <c r="A3137" s="41">
        <v>4141</v>
      </c>
      <c r="B3137" s="1283">
        <v>9</v>
      </c>
      <c r="C3137" s="41" t="s">
        <v>4159</v>
      </c>
      <c r="D3137" s="1624">
        <v>20</v>
      </c>
      <c r="E3137" s="1625">
        <v>1</v>
      </c>
      <c r="F3137" s="1634">
        <f t="shared" si="58"/>
        <v>20</v>
      </c>
      <c r="G3137" s="1468">
        <v>1.33</v>
      </c>
    </row>
    <row r="3138" spans="1:8">
      <c r="A3138" s="41">
        <v>4141</v>
      </c>
      <c r="B3138" s="1283">
        <v>6</v>
      </c>
      <c r="C3138" s="41" t="s">
        <v>4160</v>
      </c>
      <c r="D3138" s="1624">
        <v>20</v>
      </c>
      <c r="E3138" s="1625">
        <v>1</v>
      </c>
      <c r="F3138" s="1634">
        <f t="shared" si="58"/>
        <v>20</v>
      </c>
      <c r="G3138" s="1468">
        <v>1.2</v>
      </c>
    </row>
    <row r="3139" spans="1:8">
      <c r="A3139" s="41">
        <v>4141</v>
      </c>
      <c r="B3139" s="1283">
        <v>9</v>
      </c>
      <c r="C3139" s="41" t="s">
        <v>4160</v>
      </c>
      <c r="D3139" s="1624">
        <v>20</v>
      </c>
      <c r="E3139" s="1625">
        <v>1</v>
      </c>
      <c r="F3139" s="1634">
        <f t="shared" si="58"/>
        <v>20</v>
      </c>
      <c r="G3139" s="1468">
        <v>1.33</v>
      </c>
    </row>
    <row r="3140" spans="1:8">
      <c r="A3140" s="41">
        <v>4141</v>
      </c>
      <c r="B3140" s="1283">
        <v>6</v>
      </c>
      <c r="C3140" s="41" t="s">
        <v>4161</v>
      </c>
      <c r="D3140" s="1624">
        <v>20</v>
      </c>
      <c r="E3140" s="1625">
        <v>1</v>
      </c>
      <c r="F3140" s="1634">
        <f t="shared" si="58"/>
        <v>20</v>
      </c>
      <c r="G3140" s="1468">
        <v>1.2</v>
      </c>
    </row>
    <row r="3141" spans="1:8">
      <c r="A3141" s="41">
        <v>4141</v>
      </c>
      <c r="B3141" s="1283">
        <v>9</v>
      </c>
      <c r="C3141" s="41" t="s">
        <v>4161</v>
      </c>
      <c r="D3141" s="1624">
        <v>20</v>
      </c>
      <c r="E3141" s="1625">
        <v>1</v>
      </c>
      <c r="F3141" s="1634">
        <f t="shared" si="58"/>
        <v>20</v>
      </c>
      <c r="G3141" s="1468">
        <v>1.33</v>
      </c>
    </row>
    <row r="3142" spans="1:8">
      <c r="A3142" s="41">
        <v>4141</v>
      </c>
      <c r="B3142" s="1283">
        <v>6</v>
      </c>
      <c r="C3142" s="41" t="s">
        <v>4162</v>
      </c>
      <c r="D3142" s="1624">
        <v>20</v>
      </c>
      <c r="E3142" s="1625">
        <v>1</v>
      </c>
      <c r="F3142" s="1634">
        <f t="shared" si="58"/>
        <v>20</v>
      </c>
      <c r="G3142" s="1468">
        <v>1.2</v>
      </c>
    </row>
    <row r="3143" spans="1:8">
      <c r="A3143" s="41">
        <v>4141</v>
      </c>
      <c r="B3143" s="1283">
        <v>9</v>
      </c>
      <c r="C3143" s="41" t="s">
        <v>4162</v>
      </c>
      <c r="D3143" s="1624">
        <v>20</v>
      </c>
      <c r="E3143" s="1625">
        <v>1</v>
      </c>
      <c r="F3143" s="1634">
        <f t="shared" si="58"/>
        <v>20</v>
      </c>
      <c r="G3143" s="1468">
        <v>1.33</v>
      </c>
    </row>
    <row r="3144" spans="1:8">
      <c r="A3144" s="41"/>
      <c r="B3144" s="136"/>
      <c r="C3144" s="136" t="s">
        <v>218</v>
      </c>
      <c r="D3144" s="1635"/>
      <c r="E3144" s="1625"/>
      <c r="F3144" s="1635">
        <v>1</v>
      </c>
      <c r="G3144" s="1187">
        <v>12</v>
      </c>
    </row>
    <row r="3147" spans="1:8">
      <c r="A3147" t="s">
        <v>4165</v>
      </c>
    </row>
    <row r="3148" spans="1:8" s="1423" customFormat="1" ht="38.25">
      <c r="A3148" s="1435" t="s">
        <v>174</v>
      </c>
      <c r="B3148" s="1421" t="s">
        <v>3608</v>
      </c>
      <c r="C3148" s="1418" t="s">
        <v>4026</v>
      </c>
      <c r="D3148" s="1421" t="s">
        <v>4027</v>
      </c>
      <c r="E3148" s="1589" t="s">
        <v>4029</v>
      </c>
      <c r="F3148" s="1547" t="s">
        <v>4030</v>
      </c>
      <c r="G3148" s="1547" t="s">
        <v>4031</v>
      </c>
      <c r="H3148" s="1547" t="s">
        <v>1843</v>
      </c>
    </row>
    <row r="3149" spans="1:8" s="1423" customFormat="1" ht="24" customHeight="1">
      <c r="A3149" s="361" t="s">
        <v>4166</v>
      </c>
      <c r="B3149" s="361" t="s">
        <v>4167</v>
      </c>
      <c r="C3149" s="1427">
        <f>ROUNDUP(E3149/0.75/145,2)</f>
        <v>12.51</v>
      </c>
      <c r="D3149" s="1427">
        <f>ROUNDUP((E3149+300)/0.75/145,2)</f>
        <v>15.27</v>
      </c>
      <c r="E3149" s="1590">
        <f>1330+30</f>
        <v>1360</v>
      </c>
      <c r="F3149" s="1591">
        <f>(C3149-(E3149/H3149))/C3149</f>
        <v>0.25025496843904194</v>
      </c>
      <c r="G3149" s="1591">
        <f>(D3149-((E3149+300)/H3149))/D3149</f>
        <v>0.25027662985795895</v>
      </c>
      <c r="H3149" s="1549">
        <v>145</v>
      </c>
    </row>
    <row r="3150" spans="1:8" s="1423" customFormat="1" ht="24" customHeight="1">
      <c r="A3150" s="361" t="s">
        <v>4168</v>
      </c>
      <c r="B3150" s="361" t="s">
        <v>4167</v>
      </c>
      <c r="C3150" s="1427">
        <f>ROUNDUP(E3150/0.75/145,2)</f>
        <v>12.51</v>
      </c>
      <c r="D3150" s="1427">
        <f>ROUNDUP((E3150+300)/0.75/145,2)</f>
        <v>15.27</v>
      </c>
      <c r="E3150" s="1590">
        <f>1330+30</f>
        <v>1360</v>
      </c>
      <c r="F3150" s="1591">
        <f>(C3150-(E3150/H3150))/C3150</f>
        <v>0.25025496843904194</v>
      </c>
      <c r="G3150" s="1591">
        <f>(D3150-((E3150+300)/H3150))/D3150</f>
        <v>0.25027662985795895</v>
      </c>
      <c r="H3150" s="1549">
        <v>145</v>
      </c>
    </row>
    <row r="3151" spans="1:8" s="1423" customFormat="1" ht="24" customHeight="1">
      <c r="A3151" s="361" t="s">
        <v>4169</v>
      </c>
      <c r="B3151" s="361" t="s">
        <v>4167</v>
      </c>
      <c r="C3151" s="1427">
        <f>ROUNDUP(E3151/0.75/145,2)</f>
        <v>10.86</v>
      </c>
      <c r="D3151" s="1427">
        <f>ROUNDUP((E3151+300)/0.75/145,2)</f>
        <v>13.61</v>
      </c>
      <c r="E3151" s="1590">
        <f>1150+30</f>
        <v>1180</v>
      </c>
      <c r="F3151" s="1591">
        <f>(C3151-(E3151/H3151))/C3151</f>
        <v>0.25065091763510511</v>
      </c>
      <c r="G3151" s="1591">
        <f>(D3151-((E3151+300)/H3151))/D3151</f>
        <v>0.25004433859484648</v>
      </c>
      <c r="H3151" s="1549">
        <v>145</v>
      </c>
    </row>
    <row r="3152" spans="1:8" s="1423" customFormat="1" ht="24" customHeight="1">
      <c r="A3152" s="361" t="s">
        <v>4170</v>
      </c>
      <c r="B3152" s="361" t="s">
        <v>4171</v>
      </c>
      <c r="C3152" s="1427">
        <f>ROUNDUP(E3152/0.75/145,2)</f>
        <v>12.23</v>
      </c>
      <c r="D3152" s="1427">
        <f>ROUNDUP((E3152+400)/0.75/145,2)</f>
        <v>15.91</v>
      </c>
      <c r="E3152" s="1590">
        <f>1300+30</f>
        <v>1330</v>
      </c>
      <c r="F3152" s="1591">
        <f>(C3152-(E3152/H3152))/C3152</f>
        <v>0.25000704880593227</v>
      </c>
      <c r="G3152" s="1591">
        <f>(D3152-((E3152+300)/H3152))/D3152</f>
        <v>0.293439389670344</v>
      </c>
      <c r="H3152" s="1549">
        <v>145</v>
      </c>
    </row>
    <row r="3155" spans="1:7">
      <c r="A3155" s="1633" t="s">
        <v>4149</v>
      </c>
    </row>
    <row r="3156" spans="1:7" ht="14.25" thickBot="1">
      <c r="A3156" s="1630"/>
    </row>
    <row r="3157" spans="1:7" ht="14.25" thickBot="1">
      <c r="A3157" s="348" t="s">
        <v>4146</v>
      </c>
      <c r="B3157" s="1631" t="s">
        <v>3654</v>
      </c>
      <c r="C3157" s="1631" t="s">
        <v>4135</v>
      </c>
      <c r="D3157" s="348" t="s">
        <v>4136</v>
      </c>
      <c r="E3157" s="1639" t="s">
        <v>3609</v>
      </c>
      <c r="F3157" s="1640" t="s">
        <v>3909</v>
      </c>
      <c r="G3157" s="1640" t="s">
        <v>1843</v>
      </c>
    </row>
    <row r="3158" spans="1:7" ht="15" thickBot="1">
      <c r="A3158" s="351" t="s">
        <v>4019</v>
      </c>
      <c r="B3158" s="351" t="s">
        <v>4138</v>
      </c>
      <c r="C3158" s="1632" t="s">
        <v>4142</v>
      </c>
      <c r="D3158" s="1638">
        <v>20.13</v>
      </c>
      <c r="E3158" s="1641">
        <v>1860</v>
      </c>
      <c r="F3158" s="1642">
        <f>(D3158-(E3158/G3158))/D3158</f>
        <v>0.23000496770988571</v>
      </c>
      <c r="G3158" s="1643">
        <v>120</v>
      </c>
    </row>
    <row r="3159" spans="1:7" ht="15" thickBot="1">
      <c r="A3159" s="351" t="s">
        <v>4137</v>
      </c>
      <c r="B3159" s="351" t="s">
        <v>4138</v>
      </c>
      <c r="C3159" s="1632" t="s">
        <v>4143</v>
      </c>
      <c r="D3159" s="1638">
        <v>23.38</v>
      </c>
      <c r="E3159" s="1641">
        <f>1860+300</f>
        <v>2160</v>
      </c>
      <c r="F3159" s="1642">
        <f>(D3159-(E3159/G3159))/D3159</f>
        <v>0.23011120615911032</v>
      </c>
      <c r="G3159" s="1643">
        <v>120</v>
      </c>
    </row>
    <row r="3160" spans="1:7" ht="15" thickBot="1">
      <c r="A3160" s="351" t="s">
        <v>4141</v>
      </c>
      <c r="B3160" s="351" t="s">
        <v>4138</v>
      </c>
      <c r="C3160" s="1632" t="s">
        <v>4142</v>
      </c>
      <c r="D3160" s="1638">
        <v>20.13</v>
      </c>
      <c r="E3160" s="1641">
        <v>1860</v>
      </c>
      <c r="F3160" s="1642">
        <f>(D3160-(E3160/G3160))/D3160</f>
        <v>0.23000496770988571</v>
      </c>
      <c r="G3160" s="1643">
        <v>120</v>
      </c>
    </row>
    <row r="3161" spans="1:7" ht="15" thickBot="1">
      <c r="A3161" s="351" t="s">
        <v>4141</v>
      </c>
      <c r="B3161" s="351" t="s">
        <v>4138</v>
      </c>
      <c r="C3161" s="1632" t="s">
        <v>4143</v>
      </c>
      <c r="D3161" s="1638">
        <v>23.38</v>
      </c>
      <c r="E3161" s="1641">
        <f>1860+300</f>
        <v>2160</v>
      </c>
      <c r="F3161" s="1642">
        <f>(D3161-(E3161/G3161))/D3161</f>
        <v>0.23011120615911032</v>
      </c>
      <c r="G3161" s="1643">
        <v>120</v>
      </c>
    </row>
    <row r="3162" spans="1:7">
      <c r="A3162" s="1520" t="s">
        <v>4144</v>
      </c>
    </row>
    <row r="3163" spans="1:7">
      <c r="A3163" s="2061" t="s">
        <v>4147</v>
      </c>
      <c r="B3163" s="2062"/>
      <c r="C3163" s="2062"/>
    </row>
    <row r="3164" spans="1:7">
      <c r="A3164" s="2062" t="s">
        <v>4148</v>
      </c>
      <c r="B3164" s="2062"/>
      <c r="C3164" s="2062"/>
    </row>
    <row r="3167" spans="1:7">
      <c r="A3167" s="1633" t="s">
        <v>4177</v>
      </c>
    </row>
    <row r="3169" spans="1:8">
      <c r="A3169" s="289" t="s">
        <v>4146</v>
      </c>
      <c r="B3169" s="1647" t="s">
        <v>3654</v>
      </c>
      <c r="C3169" s="1647" t="s">
        <v>4135</v>
      </c>
      <c r="D3169" s="289" t="s">
        <v>4136</v>
      </c>
      <c r="E3169" s="1637" t="s">
        <v>3609</v>
      </c>
      <c r="F3169" s="1644" t="s">
        <v>3909</v>
      </c>
      <c r="G3169" s="1644" t="s">
        <v>1843</v>
      </c>
    </row>
    <row r="3170" spans="1:8" ht="25.5">
      <c r="A3170" s="1400" t="s">
        <v>4179</v>
      </c>
      <c r="B3170" s="41" t="s">
        <v>4138</v>
      </c>
      <c r="C3170" s="1463" t="s">
        <v>4178</v>
      </c>
      <c r="D3170" s="1648">
        <v>19.73</v>
      </c>
      <c r="E3170" s="78">
        <v>1860</v>
      </c>
      <c r="F3170" s="1645">
        <f>(D3170-(E3170/G3170))/D3170</f>
        <v>0.34984357795760002</v>
      </c>
      <c r="G3170" s="1646">
        <v>145</v>
      </c>
    </row>
    <row r="3173" spans="1:8">
      <c r="A3173" s="289" t="s">
        <v>99</v>
      </c>
      <c r="B3173" s="289" t="s">
        <v>90</v>
      </c>
      <c r="C3173" s="289" t="s">
        <v>203</v>
      </c>
      <c r="D3173" s="289" t="s">
        <v>163</v>
      </c>
      <c r="E3173" s="289" t="s">
        <v>197</v>
      </c>
      <c r="F3173" s="289" t="s">
        <v>198</v>
      </c>
      <c r="G3173" s="1541" t="s">
        <v>242</v>
      </c>
    </row>
    <row r="3174" spans="1:8">
      <c r="A3174" s="1400" t="s">
        <v>4134</v>
      </c>
      <c r="B3174" s="300" t="s">
        <v>3624</v>
      </c>
      <c r="C3174" s="41" t="s">
        <v>4174</v>
      </c>
      <c r="D3174" s="298">
        <v>58</v>
      </c>
      <c r="E3174" s="299">
        <v>1</v>
      </c>
      <c r="F3174" s="298">
        <f>D3174*E3174</f>
        <v>58</v>
      </c>
      <c r="G3174" s="1181">
        <v>15.11</v>
      </c>
    </row>
    <row r="3175" spans="1:8">
      <c r="A3175" s="41"/>
      <c r="B3175" s="136"/>
      <c r="C3175" s="136" t="s">
        <v>218</v>
      </c>
      <c r="D3175" s="292"/>
      <c r="E3175" s="297"/>
      <c r="F3175" s="292">
        <v>1</v>
      </c>
      <c r="G3175" s="1181">
        <v>12</v>
      </c>
    </row>
    <row r="3179" spans="1:8">
      <c r="A3179" s="289" t="s">
        <v>99</v>
      </c>
      <c r="B3179" s="289" t="s">
        <v>90</v>
      </c>
      <c r="C3179" s="289" t="s">
        <v>203</v>
      </c>
      <c r="D3179" s="289" t="s">
        <v>163</v>
      </c>
      <c r="E3179" s="289" t="s">
        <v>197</v>
      </c>
      <c r="F3179" s="289" t="s">
        <v>198</v>
      </c>
      <c r="G3179" s="1541" t="s">
        <v>242</v>
      </c>
      <c r="H3179" s="1541" t="s">
        <v>3739</v>
      </c>
    </row>
    <row r="3180" spans="1:8">
      <c r="A3180" s="41">
        <v>4141</v>
      </c>
      <c r="B3180" s="1264">
        <v>6</v>
      </c>
      <c r="C3180" s="41" t="s">
        <v>4181</v>
      </c>
      <c r="D3180" s="296">
        <v>20</v>
      </c>
      <c r="E3180" s="297">
        <v>5</v>
      </c>
      <c r="F3180" s="298">
        <f>D3180*E3180</f>
        <v>100</v>
      </c>
      <c r="G3180" s="1184">
        <v>1.2</v>
      </c>
      <c r="H3180" s="1276">
        <f>G3180*F3180</f>
        <v>120</v>
      </c>
    </row>
    <row r="3181" spans="1:8">
      <c r="A3181" s="41"/>
      <c r="B3181" s="136"/>
      <c r="C3181" s="136" t="s">
        <v>4182</v>
      </c>
      <c r="D3181" s="292"/>
      <c r="E3181" s="297"/>
      <c r="F3181" s="292">
        <v>1</v>
      </c>
      <c r="G3181" s="1181">
        <v>270</v>
      </c>
      <c r="H3181" s="1276">
        <f>G3181*F3181</f>
        <v>270</v>
      </c>
    </row>
    <row r="3182" spans="1:8">
      <c r="A3182" s="41">
        <v>4141</v>
      </c>
      <c r="B3182" s="1264">
        <v>9</v>
      </c>
      <c r="C3182" s="41" t="s">
        <v>4181</v>
      </c>
      <c r="D3182" s="296">
        <v>20</v>
      </c>
      <c r="E3182" s="297">
        <v>5</v>
      </c>
      <c r="F3182" s="298">
        <f>D3182*E3182</f>
        <v>100</v>
      </c>
      <c r="G3182" s="1184">
        <v>1.33</v>
      </c>
      <c r="H3182" s="1276">
        <f>G3182*F3182</f>
        <v>133</v>
      </c>
    </row>
    <row r="3183" spans="1:8">
      <c r="A3183" s="41"/>
      <c r="B3183" s="136"/>
      <c r="C3183" s="136" t="s">
        <v>4183</v>
      </c>
      <c r="D3183" s="292"/>
      <c r="E3183" s="297"/>
      <c r="F3183" s="292">
        <v>1</v>
      </c>
      <c r="G3183" s="1181">
        <v>220</v>
      </c>
      <c r="H3183" s="1276">
        <f>G3183*F3183</f>
        <v>220</v>
      </c>
    </row>
    <row r="3184" spans="1:8">
      <c r="A3184" s="41"/>
      <c r="B3184" s="136"/>
      <c r="C3184" s="136" t="s">
        <v>218</v>
      </c>
      <c r="D3184" s="292"/>
      <c r="E3184" s="297"/>
      <c r="F3184" s="292">
        <v>1</v>
      </c>
      <c r="G3184" s="1181">
        <v>12</v>
      </c>
      <c r="H3184" s="1276">
        <f>G3184*F3184</f>
        <v>12</v>
      </c>
    </row>
    <row r="3187" spans="1:2">
      <c r="A3187" t="s">
        <v>4206</v>
      </c>
    </row>
    <row r="3188" spans="1:2" ht="14.25" thickBot="1">
      <c r="A3188" s="1649" t="s">
        <v>4191</v>
      </c>
    </row>
    <row r="3189" spans="1:2" ht="14.25" thickBot="1">
      <c r="A3189" s="1650" t="s">
        <v>4201</v>
      </c>
      <c r="B3189" s="1651" t="s">
        <v>4186</v>
      </c>
    </row>
    <row r="3190" spans="1:2" ht="14.25" thickBot="1">
      <c r="A3190" s="1652" t="s">
        <v>4202</v>
      </c>
      <c r="B3190" s="1290" t="s">
        <v>4192</v>
      </c>
    </row>
    <row r="3191" spans="1:2" ht="26.25" customHeight="1" thickBot="1">
      <c r="A3191" s="1653" t="s">
        <v>4185</v>
      </c>
      <c r="B3191" s="1655" t="s">
        <v>4197</v>
      </c>
    </row>
    <row r="3192" spans="1:2" ht="14.25" thickBot="1">
      <c r="A3192" s="1653" t="s">
        <v>4187</v>
      </c>
      <c r="B3192" s="1290" t="s">
        <v>4184</v>
      </c>
    </row>
    <row r="3193" spans="1:2" ht="40.5" customHeight="1" thickBot="1">
      <c r="A3193" s="1653" t="s">
        <v>4205</v>
      </c>
      <c r="B3193" s="1655" t="s">
        <v>4198</v>
      </c>
    </row>
    <row r="3194" spans="1:2" ht="69" customHeight="1" thickBot="1">
      <c r="A3194" s="1656" t="s">
        <v>4188</v>
      </c>
      <c r="B3194" s="1655" t="s">
        <v>4200</v>
      </c>
    </row>
    <row r="3195" spans="1:2" ht="14.25" thickBot="1">
      <c r="A3195" s="1653" t="s">
        <v>4190</v>
      </c>
      <c r="B3195" s="1290" t="s">
        <v>4189</v>
      </c>
    </row>
    <row r="3196" spans="1:2" ht="14.25" thickBot="1">
      <c r="A3196" s="1653" t="s">
        <v>4193</v>
      </c>
      <c r="B3196" s="1290" t="s">
        <v>4196</v>
      </c>
    </row>
    <row r="3197" spans="1:2" ht="14.25" thickBot="1">
      <c r="A3197" s="1653" t="s">
        <v>4195</v>
      </c>
      <c r="B3197" s="1290" t="s">
        <v>4194</v>
      </c>
    </row>
    <row r="3198" spans="1:2">
      <c r="A3198" s="1460" t="s">
        <v>4203</v>
      </c>
      <c r="B3198" s="1657"/>
    </row>
    <row r="3199" spans="1:2">
      <c r="A3199" s="1460" t="s">
        <v>4204</v>
      </c>
      <c r="B3199" s="1657"/>
    </row>
    <row r="3200" spans="1:2" ht="38.25">
      <c r="A3200" s="1654" t="s">
        <v>4199</v>
      </c>
    </row>
    <row r="3204" spans="1:7">
      <c r="A3204" s="289" t="s">
        <v>99</v>
      </c>
      <c r="B3204" s="289" t="s">
        <v>90</v>
      </c>
      <c r="C3204" s="289" t="s">
        <v>203</v>
      </c>
      <c r="D3204" s="289" t="s">
        <v>163</v>
      </c>
      <c r="E3204" s="289" t="s">
        <v>197</v>
      </c>
      <c r="F3204" s="289" t="s">
        <v>198</v>
      </c>
      <c r="G3204" s="1541" t="s">
        <v>242</v>
      </c>
    </row>
    <row r="3205" spans="1:7">
      <c r="A3205" s="41">
        <v>4141</v>
      </c>
      <c r="B3205" s="1283">
        <v>6</v>
      </c>
      <c r="C3205" s="41" t="s">
        <v>4207</v>
      </c>
      <c r="D3205" s="1624">
        <v>20</v>
      </c>
      <c r="E3205" s="1625">
        <v>5</v>
      </c>
      <c r="F3205" s="1634">
        <f>D3205*E3205</f>
        <v>100</v>
      </c>
      <c r="G3205" s="1468">
        <v>1.2</v>
      </c>
    </row>
    <row r="3206" spans="1:7">
      <c r="A3206" s="41">
        <v>4141</v>
      </c>
      <c r="B3206" s="1283">
        <v>9</v>
      </c>
      <c r="C3206" s="41" t="s">
        <v>4207</v>
      </c>
      <c r="D3206" s="1624">
        <v>20</v>
      </c>
      <c r="E3206" s="1625">
        <v>5</v>
      </c>
      <c r="F3206" s="1634">
        <f>D3206*E3206</f>
        <v>100</v>
      </c>
      <c r="G3206" s="1468">
        <v>1.33</v>
      </c>
    </row>
    <row r="3207" spans="1:7">
      <c r="A3207" s="41"/>
      <c r="B3207" s="136"/>
      <c r="C3207" s="136" t="s">
        <v>218</v>
      </c>
      <c r="D3207" s="1635"/>
      <c r="E3207" s="1625"/>
      <c r="F3207" s="1635">
        <v>1</v>
      </c>
      <c r="G3207" s="1187">
        <v>12</v>
      </c>
    </row>
    <row r="3211" spans="1:7">
      <c r="A3211" s="289" t="s">
        <v>99</v>
      </c>
      <c r="B3211" s="289" t="s">
        <v>90</v>
      </c>
      <c r="C3211" s="289" t="s">
        <v>203</v>
      </c>
      <c r="D3211" s="289" t="s">
        <v>163</v>
      </c>
      <c r="E3211" s="289" t="s">
        <v>197</v>
      </c>
      <c r="F3211" s="289" t="s">
        <v>198</v>
      </c>
      <c r="G3211" s="1541" t="s">
        <v>242</v>
      </c>
    </row>
    <row r="3212" spans="1:7">
      <c r="A3212" s="1417" t="s">
        <v>4209</v>
      </c>
      <c r="B3212" s="42" t="s">
        <v>2491</v>
      </c>
      <c r="C3212" s="41" t="s">
        <v>2774</v>
      </c>
      <c r="D3212" s="296">
        <v>44</v>
      </c>
      <c r="E3212" s="297">
        <v>1</v>
      </c>
      <c r="F3212" s="298">
        <f>D3212*E3212</f>
        <v>44</v>
      </c>
      <c r="G3212" s="1184">
        <v>20.13</v>
      </c>
    </row>
    <row r="3213" spans="1:7">
      <c r="A3213" s="41"/>
      <c r="B3213" s="136"/>
      <c r="C3213" s="136" t="s">
        <v>218</v>
      </c>
      <c r="D3213" s="292"/>
      <c r="E3213" s="297"/>
      <c r="F3213" s="292">
        <v>1</v>
      </c>
      <c r="G3213" s="1181">
        <v>12</v>
      </c>
    </row>
    <row r="3215" spans="1:7">
      <c r="A3215" s="289" t="s">
        <v>99</v>
      </c>
      <c r="B3215" s="289" t="s">
        <v>90</v>
      </c>
      <c r="C3215" s="289" t="s">
        <v>203</v>
      </c>
      <c r="D3215" s="289" t="s">
        <v>163</v>
      </c>
      <c r="E3215" s="289" t="s">
        <v>197</v>
      </c>
      <c r="F3215" s="289" t="s">
        <v>198</v>
      </c>
      <c r="G3215" s="1541" t="s">
        <v>242</v>
      </c>
    </row>
    <row r="3216" spans="1:7">
      <c r="A3216" s="41">
        <v>4141</v>
      </c>
      <c r="B3216" s="1264">
        <v>9</v>
      </c>
      <c r="C3216" s="41" t="s">
        <v>4153</v>
      </c>
      <c r="D3216" s="296">
        <v>20</v>
      </c>
      <c r="E3216" s="297">
        <v>5</v>
      </c>
      <c r="F3216" s="298">
        <f>D3216*E3216</f>
        <v>100</v>
      </c>
      <c r="G3216" s="1184">
        <v>1.33</v>
      </c>
    </row>
    <row r="3217" spans="1:12">
      <c r="A3217" s="41"/>
      <c r="B3217" s="136"/>
      <c r="C3217" s="136" t="s">
        <v>218</v>
      </c>
      <c r="D3217" s="292"/>
      <c r="E3217" s="297"/>
      <c r="F3217" s="292">
        <v>1</v>
      </c>
      <c r="G3217" s="1181">
        <v>12</v>
      </c>
    </row>
    <row r="3222" spans="1:12">
      <c r="A3222" s="1658"/>
    </row>
    <row r="3223" spans="1:12" ht="15.75">
      <c r="A3223" s="1660" t="s">
        <v>4212</v>
      </c>
      <c r="B3223" s="1660" t="s">
        <v>4213</v>
      </c>
      <c r="C3223" s="1660" t="s">
        <v>4214</v>
      </c>
      <c r="D3223" s="1660" t="s">
        <v>4215</v>
      </c>
      <c r="E3223" s="1660" t="s">
        <v>4216</v>
      </c>
      <c r="F3223" s="1660" t="s">
        <v>4217</v>
      </c>
      <c r="G3223" s="1659"/>
      <c r="H3223" s="1659"/>
      <c r="I3223" s="1659"/>
      <c r="J3223" s="1659"/>
      <c r="K3223" s="1659"/>
      <c r="L3223" s="1659"/>
    </row>
    <row r="3224" spans="1:12" ht="15">
      <c r="A3224" s="1661" t="s">
        <v>4218</v>
      </c>
      <c r="B3224" s="1661" t="s">
        <v>4219</v>
      </c>
      <c r="C3224" s="1661" t="s">
        <v>4220</v>
      </c>
      <c r="D3224" s="1662" t="s">
        <v>4236</v>
      </c>
      <c r="E3224" s="1662" t="s">
        <v>4237</v>
      </c>
      <c r="F3224" s="1662" t="s">
        <v>4238</v>
      </c>
      <c r="G3224" s="1659"/>
      <c r="H3224" s="1659"/>
      <c r="I3224" s="1659"/>
      <c r="J3224" s="1659"/>
      <c r="K3224" s="1659"/>
      <c r="L3224" s="1659"/>
    </row>
    <row r="3225" spans="1:12" ht="15">
      <c r="A3225" s="1661" t="s">
        <v>4218</v>
      </c>
      <c r="B3225" s="1661" t="s">
        <v>4221</v>
      </c>
      <c r="C3225" s="1661" t="s">
        <v>4222</v>
      </c>
      <c r="D3225" s="1662" t="s">
        <v>4236</v>
      </c>
      <c r="E3225" s="1662" t="s">
        <v>4237</v>
      </c>
      <c r="F3225" s="1662" t="s">
        <v>4238</v>
      </c>
      <c r="G3225" s="1659"/>
      <c r="H3225" s="1659"/>
      <c r="I3225" s="1659"/>
      <c r="J3225" s="1659"/>
      <c r="K3225" s="1659"/>
      <c r="L3225" s="1659"/>
    </row>
    <row r="3226" spans="1:12" ht="15">
      <c r="A3226" s="1661" t="s">
        <v>4218</v>
      </c>
      <c r="B3226" s="1661" t="s">
        <v>4223</v>
      </c>
      <c r="C3226" s="1661" t="s">
        <v>4222</v>
      </c>
      <c r="D3226" s="1662" t="s">
        <v>4236</v>
      </c>
      <c r="E3226" s="1662" t="s">
        <v>4237</v>
      </c>
      <c r="F3226" s="1662" t="s">
        <v>4238</v>
      </c>
      <c r="G3226" s="1659"/>
      <c r="H3226" s="1659"/>
      <c r="I3226" s="1659"/>
      <c r="J3226" s="1659"/>
      <c r="K3226" s="1659"/>
      <c r="L3226" s="1659"/>
    </row>
    <row r="3227" spans="1:12" ht="15">
      <c r="A3227" s="1661" t="s">
        <v>4218</v>
      </c>
      <c r="B3227" s="1661" t="s">
        <v>4224</v>
      </c>
      <c r="C3227" s="1661" t="s">
        <v>4222</v>
      </c>
      <c r="D3227" s="1662" t="s">
        <v>4236</v>
      </c>
      <c r="E3227" s="1662" t="s">
        <v>4237</v>
      </c>
      <c r="F3227" s="1662" t="s">
        <v>4238</v>
      </c>
      <c r="G3227" s="1659"/>
      <c r="H3227" s="1659"/>
      <c r="I3227" s="1659"/>
      <c r="J3227" s="1659"/>
      <c r="K3227" s="1659"/>
      <c r="L3227" s="1659"/>
    </row>
    <row r="3228" spans="1:12" ht="15">
      <c r="A3228" s="1661" t="s">
        <v>4218</v>
      </c>
      <c r="B3228" s="1661" t="s">
        <v>4225</v>
      </c>
      <c r="C3228" s="1661" t="s">
        <v>4222</v>
      </c>
      <c r="D3228" s="1662" t="s">
        <v>4236</v>
      </c>
      <c r="E3228" s="1662" t="s">
        <v>4237</v>
      </c>
      <c r="F3228" s="1662" t="s">
        <v>4238</v>
      </c>
      <c r="G3228" s="1659"/>
      <c r="H3228" s="1659"/>
      <c r="I3228" s="1659"/>
      <c r="J3228" s="1659"/>
      <c r="K3228" s="1659"/>
      <c r="L3228" s="1659"/>
    </row>
    <row r="3229" spans="1:12" ht="15">
      <c r="A3229" s="1661" t="s">
        <v>4218</v>
      </c>
      <c r="B3229" s="1661" t="s">
        <v>4226</v>
      </c>
      <c r="C3229" s="1661" t="s">
        <v>4222</v>
      </c>
      <c r="D3229" s="1662" t="s">
        <v>4236</v>
      </c>
      <c r="E3229" s="1662" t="s">
        <v>4237</v>
      </c>
      <c r="F3229" s="1662" t="s">
        <v>4238</v>
      </c>
      <c r="G3229" s="1659"/>
      <c r="H3229" s="1659"/>
      <c r="I3229" s="1659"/>
      <c r="J3229" s="1659"/>
      <c r="K3229" s="1659"/>
      <c r="L3229" s="1659"/>
    </row>
    <row r="3230" spans="1:12" ht="15">
      <c r="A3230" s="1661" t="s">
        <v>4218</v>
      </c>
      <c r="B3230" s="1661" t="s">
        <v>4227</v>
      </c>
      <c r="C3230" s="1661" t="s">
        <v>4222</v>
      </c>
      <c r="D3230" s="1662" t="s">
        <v>4236</v>
      </c>
      <c r="E3230" s="1662" t="s">
        <v>4237</v>
      </c>
      <c r="F3230" s="1662" t="s">
        <v>4238</v>
      </c>
      <c r="G3230" s="1659"/>
      <c r="H3230" s="1659"/>
      <c r="I3230" s="1659"/>
      <c r="J3230" s="1659"/>
      <c r="K3230" s="1659"/>
      <c r="L3230" s="1659"/>
    </row>
    <row r="3231" spans="1:12" ht="15">
      <c r="A3231" s="1661" t="s">
        <v>4218</v>
      </c>
      <c r="B3231" s="1661" t="s">
        <v>4228</v>
      </c>
      <c r="C3231" s="1661" t="s">
        <v>4222</v>
      </c>
      <c r="D3231" s="1662" t="s">
        <v>4236</v>
      </c>
      <c r="E3231" s="1662" t="s">
        <v>4237</v>
      </c>
      <c r="F3231" s="1662" t="s">
        <v>4238</v>
      </c>
      <c r="G3231" s="1659"/>
      <c r="H3231" s="1659"/>
      <c r="I3231" s="1659"/>
      <c r="J3231" s="1659"/>
      <c r="K3231" s="1659"/>
      <c r="L3231" s="1659"/>
    </row>
    <row r="3232" spans="1:12" ht="15">
      <c r="A3232" s="1661" t="s">
        <v>4218</v>
      </c>
      <c r="B3232" s="1661" t="s">
        <v>4229</v>
      </c>
      <c r="C3232" s="1661" t="s">
        <v>4222</v>
      </c>
      <c r="D3232" s="1662" t="s">
        <v>4236</v>
      </c>
      <c r="E3232" s="1662" t="s">
        <v>4237</v>
      </c>
      <c r="F3232" s="1662" t="s">
        <v>4238</v>
      </c>
      <c r="G3232" s="1659"/>
      <c r="H3232" s="1659"/>
      <c r="I3232" s="1659"/>
      <c r="J3232" s="1659"/>
      <c r="K3232" s="1659"/>
      <c r="L3232" s="1659"/>
    </row>
    <row r="3233" spans="1:12" ht="15">
      <c r="A3233" s="1661" t="s">
        <v>4218</v>
      </c>
      <c r="B3233" s="1661" t="s">
        <v>4230</v>
      </c>
      <c r="C3233" s="1661" t="s">
        <v>4222</v>
      </c>
      <c r="D3233" s="1662" t="s">
        <v>4236</v>
      </c>
      <c r="E3233" s="1662" t="s">
        <v>4237</v>
      </c>
      <c r="F3233" s="1662" t="s">
        <v>4238</v>
      </c>
      <c r="G3233" s="1659"/>
      <c r="H3233" s="1659"/>
      <c r="I3233" s="1659"/>
      <c r="J3233" s="1659"/>
      <c r="K3233" s="1659"/>
      <c r="L3233" s="1659"/>
    </row>
    <row r="3234" spans="1:12" ht="15">
      <c r="A3234" s="1661" t="s">
        <v>4218</v>
      </c>
      <c r="B3234" s="1661" t="s">
        <v>4231</v>
      </c>
      <c r="C3234" s="1661" t="s">
        <v>4222</v>
      </c>
      <c r="D3234" s="1662" t="s">
        <v>4236</v>
      </c>
      <c r="E3234" s="1662" t="s">
        <v>4237</v>
      </c>
      <c r="F3234" s="1662" t="s">
        <v>4238</v>
      </c>
      <c r="G3234" s="1659"/>
      <c r="H3234" s="1659"/>
      <c r="I3234" s="1659"/>
      <c r="J3234" s="1659"/>
      <c r="K3234" s="1659"/>
      <c r="L3234" s="1659"/>
    </row>
    <row r="3235" spans="1:12" ht="15">
      <c r="A3235" s="1661" t="s">
        <v>4218</v>
      </c>
      <c r="B3235" s="1661" t="s">
        <v>4232</v>
      </c>
      <c r="C3235" s="1661" t="s">
        <v>4222</v>
      </c>
      <c r="D3235" s="1662" t="s">
        <v>4236</v>
      </c>
      <c r="E3235" s="1662" t="s">
        <v>4237</v>
      </c>
      <c r="F3235" s="1662" t="s">
        <v>4238</v>
      </c>
      <c r="G3235" s="1659"/>
      <c r="H3235" s="1659"/>
      <c r="I3235" s="1659"/>
      <c r="J3235" s="1659"/>
      <c r="K3235" s="1659"/>
      <c r="L3235" s="1659"/>
    </row>
    <row r="3236" spans="1:12" ht="15">
      <c r="A3236" s="1661" t="s">
        <v>4218</v>
      </c>
      <c r="B3236" s="1661" t="s">
        <v>4233</v>
      </c>
      <c r="C3236" s="1661" t="s">
        <v>4222</v>
      </c>
      <c r="D3236" s="1662" t="s">
        <v>4236</v>
      </c>
      <c r="E3236" s="1662" t="s">
        <v>4237</v>
      </c>
      <c r="F3236" s="1662" t="s">
        <v>4238</v>
      </c>
      <c r="G3236" s="1659"/>
      <c r="H3236" s="1659"/>
      <c r="I3236" s="1659"/>
      <c r="J3236" s="1659"/>
      <c r="K3236" s="1659"/>
      <c r="L3236" s="1659"/>
    </row>
    <row r="3237" spans="1:12" ht="15">
      <c r="A3237" s="1661" t="s">
        <v>4218</v>
      </c>
      <c r="B3237" s="1661" t="s">
        <v>4234</v>
      </c>
      <c r="C3237" s="1661" t="s">
        <v>4222</v>
      </c>
      <c r="D3237" s="1662" t="s">
        <v>4236</v>
      </c>
      <c r="E3237" s="1662" t="s">
        <v>4237</v>
      </c>
      <c r="F3237" s="1662" t="s">
        <v>4238</v>
      </c>
      <c r="G3237" s="1659"/>
      <c r="H3237" s="1659"/>
      <c r="I3237" s="1659"/>
      <c r="J3237" s="1659"/>
      <c r="K3237" s="1659"/>
      <c r="L3237" s="1659"/>
    </row>
    <row r="3238" spans="1:12" ht="15">
      <c r="A3238" s="1661" t="s">
        <v>4218</v>
      </c>
      <c r="B3238" s="1661" t="s">
        <v>4235</v>
      </c>
      <c r="C3238" s="1661" t="s">
        <v>4222</v>
      </c>
      <c r="D3238" s="1662" t="s">
        <v>4236</v>
      </c>
      <c r="E3238" s="1662" t="s">
        <v>4237</v>
      </c>
      <c r="F3238" s="1662" t="s">
        <v>4238</v>
      </c>
      <c r="G3238" s="1659"/>
      <c r="H3238" s="1659"/>
      <c r="I3238" s="1659"/>
      <c r="J3238" s="1659"/>
      <c r="K3238" s="1659"/>
      <c r="L3238" s="1659"/>
    </row>
    <row r="3239" spans="1:12">
      <c r="A3239" s="1658"/>
    </row>
    <row r="3240" spans="1:12" ht="15">
      <c r="D3240" s="1668" t="s">
        <v>4243</v>
      </c>
    </row>
    <row r="3241" spans="1:12" ht="15">
      <c r="A3241" s="1684" t="s">
        <v>4239</v>
      </c>
      <c r="B3241" s="1684" t="s">
        <v>4244</v>
      </c>
      <c r="C3241" s="1685" t="s">
        <v>4240</v>
      </c>
      <c r="D3241" s="1665">
        <f>ROUNDUP(560/0.8/140,2)</f>
        <v>5</v>
      </c>
      <c r="E3241" s="1666">
        <f>(((D3241*F3241)-560)/(D3241*F3241))</f>
        <v>0.2</v>
      </c>
      <c r="F3241" s="1667">
        <v>140</v>
      </c>
    </row>
    <row r="3242" spans="1:12" ht="15">
      <c r="A3242" s="1684"/>
      <c r="B3242" s="1684" t="s">
        <v>4245</v>
      </c>
      <c r="C3242" s="1685" t="s">
        <v>4241</v>
      </c>
      <c r="D3242" s="1665">
        <f>ROUNDUP(370/0.8/140,2)</f>
        <v>3.3099999999999996</v>
      </c>
      <c r="E3242" s="1666">
        <f>(((D3242*F3242)-370)/(D3242*F3242))</f>
        <v>0.20155373327578752</v>
      </c>
      <c r="F3242" s="1667">
        <v>140</v>
      </c>
    </row>
    <row r="3243" spans="1:12" ht="15">
      <c r="A3243" s="1684"/>
      <c r="B3243" s="1684" t="s">
        <v>4246</v>
      </c>
      <c r="C3243" s="1685" t="s">
        <v>4242</v>
      </c>
      <c r="D3243" s="1665">
        <f>ROUNDUP(230/0.8/140,2)</f>
        <v>2.0599999999999996</v>
      </c>
      <c r="E3243" s="1666">
        <f>(((D3243*F3243)-230)/(D3243*F3243))</f>
        <v>0.20249653259361974</v>
      </c>
      <c r="F3243" s="1667">
        <v>140</v>
      </c>
    </row>
    <row r="3244" spans="1:12" ht="15">
      <c r="A3244" s="1663"/>
      <c r="B3244" s="1663"/>
      <c r="C3244" s="1664"/>
      <c r="D3244" s="1669"/>
      <c r="E3244" s="1670"/>
      <c r="F3244" s="1671"/>
    </row>
    <row r="3245" spans="1:12">
      <c r="A3245" s="131"/>
      <c r="B3245" s="1481" t="s">
        <v>4252</v>
      </c>
      <c r="C3245" s="295" t="s">
        <v>4251</v>
      </c>
    </row>
    <row r="3246" spans="1:12" ht="15">
      <c r="A3246" s="302" t="s">
        <v>4239</v>
      </c>
      <c r="B3246" s="302" t="s">
        <v>4248</v>
      </c>
      <c r="C3246" s="1672">
        <f>ROUNDUP(560/0.8/140,2)</f>
        <v>5</v>
      </c>
    </row>
    <row r="3247" spans="1:12" ht="15">
      <c r="A3247" s="302" t="s">
        <v>4247</v>
      </c>
      <c r="B3247" s="302" t="s">
        <v>4249</v>
      </c>
      <c r="C3247" s="1672">
        <f>ROUNDUP(370/0.8/140,2)</f>
        <v>3.3099999999999996</v>
      </c>
    </row>
    <row r="3248" spans="1:12" ht="15">
      <c r="A3248" s="302"/>
      <c r="B3248" s="302" t="s">
        <v>4250</v>
      </c>
      <c r="C3248" s="1672">
        <f>ROUNDUP(230/0.8/140,2)</f>
        <v>2.0599999999999996</v>
      </c>
    </row>
    <row r="3252" spans="1:8">
      <c r="A3252" s="289" t="s">
        <v>99</v>
      </c>
      <c r="B3252" s="289" t="s">
        <v>90</v>
      </c>
      <c r="C3252" s="289" t="s">
        <v>203</v>
      </c>
      <c r="D3252" s="289" t="s">
        <v>163</v>
      </c>
      <c r="E3252" s="289" t="s">
        <v>197</v>
      </c>
      <c r="F3252" s="289" t="s">
        <v>198</v>
      </c>
      <c r="G3252" s="1541" t="s">
        <v>242</v>
      </c>
      <c r="H3252" s="33"/>
    </row>
    <row r="3253" spans="1:8">
      <c r="A3253" s="41">
        <v>4141</v>
      </c>
      <c r="B3253" s="1264">
        <v>12</v>
      </c>
      <c r="C3253" s="41" t="s">
        <v>4255</v>
      </c>
      <c r="D3253" s="296">
        <v>20</v>
      </c>
      <c r="E3253" s="297">
        <v>5</v>
      </c>
      <c r="F3253" s="298">
        <f>D3253*E3253</f>
        <v>100</v>
      </c>
      <c r="G3253" s="1184">
        <v>1.52</v>
      </c>
      <c r="H3253" s="1276">
        <f>G3253*F3253</f>
        <v>152</v>
      </c>
    </row>
    <row r="3254" spans="1:8">
      <c r="A3254" s="41">
        <v>4141</v>
      </c>
      <c r="B3254" s="1264">
        <v>12</v>
      </c>
      <c r="C3254" s="41" t="s">
        <v>4128</v>
      </c>
      <c r="D3254" s="296">
        <v>20</v>
      </c>
      <c r="E3254" s="297">
        <v>35</v>
      </c>
      <c r="F3254" s="298">
        <f>D3254*E3254</f>
        <v>700</v>
      </c>
      <c r="G3254" s="1184">
        <v>1.52</v>
      </c>
      <c r="H3254" s="1276">
        <f>G3254*F3254</f>
        <v>1064</v>
      </c>
    </row>
    <row r="3255" spans="1:8">
      <c r="A3255" s="41"/>
      <c r="B3255" s="136"/>
      <c r="C3255" s="136" t="s">
        <v>218</v>
      </c>
      <c r="D3255" s="292"/>
      <c r="E3255" s="297"/>
      <c r="F3255" s="292">
        <v>1</v>
      </c>
      <c r="G3255" s="1181">
        <v>12</v>
      </c>
      <c r="H3255" s="1276">
        <f>G3255*F3255</f>
        <v>12</v>
      </c>
    </row>
    <row r="3258" spans="1:8">
      <c r="A3258" s="289" t="s">
        <v>99</v>
      </c>
      <c r="B3258" s="289" t="s">
        <v>90</v>
      </c>
      <c r="C3258" s="289" t="s">
        <v>203</v>
      </c>
      <c r="D3258" s="289" t="s">
        <v>163</v>
      </c>
      <c r="E3258" s="289" t="s">
        <v>197</v>
      </c>
      <c r="F3258" s="289" t="s">
        <v>198</v>
      </c>
      <c r="G3258" s="1541" t="s">
        <v>242</v>
      </c>
      <c r="H3258" s="33"/>
    </row>
    <row r="3259" spans="1:8">
      <c r="A3259" s="41">
        <v>4141</v>
      </c>
      <c r="B3259" s="1264">
        <v>9</v>
      </c>
      <c r="C3259" s="41" t="s">
        <v>4211</v>
      </c>
      <c r="D3259" s="296">
        <v>20</v>
      </c>
      <c r="E3259" s="297">
        <v>1</v>
      </c>
      <c r="F3259" s="298">
        <f>D3259*E3259</f>
        <v>20</v>
      </c>
      <c r="G3259" s="1184">
        <v>1.33</v>
      </c>
      <c r="H3259" s="1276">
        <f>G3259*F3259</f>
        <v>26.6</v>
      </c>
    </row>
    <row r="3260" spans="1:8">
      <c r="A3260" s="41"/>
      <c r="B3260" s="136"/>
      <c r="C3260" s="136" t="s">
        <v>4256</v>
      </c>
      <c r="D3260" s="292"/>
      <c r="E3260" s="297"/>
      <c r="F3260" s="292">
        <v>1</v>
      </c>
      <c r="G3260" s="1181">
        <v>220</v>
      </c>
      <c r="H3260" s="1276">
        <f>G3260*F3260</f>
        <v>220</v>
      </c>
    </row>
    <row r="3261" spans="1:8">
      <c r="A3261" s="41"/>
      <c r="B3261" s="136"/>
      <c r="C3261" s="136" t="s">
        <v>218</v>
      </c>
      <c r="D3261" s="292"/>
      <c r="E3261" s="297"/>
      <c r="F3261" s="292">
        <v>1</v>
      </c>
      <c r="G3261" s="1181">
        <v>12</v>
      </c>
      <c r="H3261" s="1276">
        <f>G3261*F3261</f>
        <v>12</v>
      </c>
    </row>
    <row r="3265" spans="1:9" s="290" customFormat="1" ht="12.75">
      <c r="A3265" s="289" t="s">
        <v>99</v>
      </c>
      <c r="B3265" s="289" t="s">
        <v>90</v>
      </c>
      <c r="C3265" s="289" t="s">
        <v>203</v>
      </c>
      <c r="D3265" s="289" t="s">
        <v>163</v>
      </c>
      <c r="E3265" s="289" t="s">
        <v>197</v>
      </c>
      <c r="F3265" s="289" t="s">
        <v>198</v>
      </c>
      <c r="G3265" s="1541" t="s">
        <v>242</v>
      </c>
      <c r="H3265" s="1541" t="s">
        <v>135</v>
      </c>
      <c r="I3265" s="1541"/>
    </row>
    <row r="3266" spans="1:9" s="290" customFormat="1" ht="12.75">
      <c r="A3266" s="41">
        <v>4141</v>
      </c>
      <c r="B3266" s="1264">
        <v>9</v>
      </c>
      <c r="C3266" s="41" t="s">
        <v>4211</v>
      </c>
      <c r="D3266" s="296">
        <v>20</v>
      </c>
      <c r="E3266" s="297">
        <v>1</v>
      </c>
      <c r="F3266" s="298">
        <f>D3266*E3266</f>
        <v>20</v>
      </c>
      <c r="G3266" s="1184">
        <v>1.33</v>
      </c>
      <c r="H3266" s="1276">
        <f>G3266*F3266</f>
        <v>26.6</v>
      </c>
    </row>
    <row r="3267" spans="1:9" s="290" customFormat="1" ht="12.75">
      <c r="A3267" s="41"/>
      <c r="B3267" s="136"/>
      <c r="C3267" s="136" t="s">
        <v>4256</v>
      </c>
      <c r="D3267" s="292"/>
      <c r="E3267" s="297"/>
      <c r="F3267" s="292">
        <v>1</v>
      </c>
      <c r="G3267" s="1181">
        <v>220</v>
      </c>
      <c r="H3267" s="1276">
        <f>G3267*F3267</f>
        <v>220</v>
      </c>
    </row>
    <row r="3268" spans="1:9" s="290" customFormat="1" ht="12.75">
      <c r="A3268" s="41"/>
      <c r="B3268" s="136"/>
      <c r="C3268" s="136"/>
      <c r="D3268" s="292"/>
      <c r="E3268" s="297"/>
      <c r="F3268" s="292"/>
      <c r="G3268" s="1181"/>
      <c r="H3268" s="1276"/>
    </row>
    <row r="3269" spans="1:9" s="290" customFormat="1" ht="12.75">
      <c r="A3269" s="41">
        <v>4141</v>
      </c>
      <c r="B3269" s="1264">
        <v>9</v>
      </c>
      <c r="C3269" s="41" t="s">
        <v>4207</v>
      </c>
      <c r="D3269" s="296">
        <v>20</v>
      </c>
      <c r="E3269" s="297">
        <v>2</v>
      </c>
      <c r="F3269" s="298">
        <f>D3269*E3269</f>
        <v>40</v>
      </c>
      <c r="G3269" s="1184">
        <v>1.33</v>
      </c>
      <c r="H3269" s="1276">
        <f>G3269*F3269</f>
        <v>53.2</v>
      </c>
    </row>
    <row r="3270" spans="1:9" s="290" customFormat="1" ht="12.75">
      <c r="A3270" s="41"/>
      <c r="B3270" s="136"/>
      <c r="C3270" s="136" t="s">
        <v>218</v>
      </c>
      <c r="D3270" s="292"/>
      <c r="E3270" s="297"/>
      <c r="F3270" s="292">
        <v>1</v>
      </c>
      <c r="G3270" s="1181">
        <v>12</v>
      </c>
      <c r="H3270" s="1276">
        <f>G3270*F3270</f>
        <v>12</v>
      </c>
    </row>
    <row r="3271" spans="1:9" s="290" customFormat="1" ht="12"/>
    <row r="3273" spans="1:9" s="290" customFormat="1" ht="12.75">
      <c r="A3273" s="289" t="s">
        <v>99</v>
      </c>
      <c r="B3273" s="289" t="s">
        <v>90</v>
      </c>
      <c r="C3273" s="289" t="s">
        <v>203</v>
      </c>
      <c r="D3273" s="289" t="s">
        <v>163</v>
      </c>
      <c r="E3273" s="289" t="s">
        <v>197</v>
      </c>
      <c r="F3273" s="289" t="s">
        <v>198</v>
      </c>
      <c r="G3273" s="1541" t="s">
        <v>242</v>
      </c>
      <c r="H3273" s="1541" t="s">
        <v>135</v>
      </c>
      <c r="I3273" s="1541"/>
    </row>
    <row r="3274" spans="1:9">
      <c r="A3274" s="41">
        <v>4141</v>
      </c>
      <c r="B3274" s="1264">
        <v>9</v>
      </c>
      <c r="C3274" s="41" t="s">
        <v>4211</v>
      </c>
      <c r="D3274" s="296">
        <v>20</v>
      </c>
      <c r="E3274" s="297">
        <v>1</v>
      </c>
      <c r="F3274" s="298">
        <f>D3274*E3274</f>
        <v>20</v>
      </c>
      <c r="G3274" s="1184">
        <v>1.33</v>
      </c>
      <c r="H3274" s="1276">
        <f>G3274*F3274</f>
        <v>26.6</v>
      </c>
    </row>
    <row r="3275" spans="1:9">
      <c r="A3275" s="41"/>
      <c r="B3275" s="136"/>
      <c r="C3275" s="136" t="s">
        <v>4256</v>
      </c>
      <c r="D3275" s="292"/>
      <c r="E3275" s="297"/>
      <c r="F3275" s="292">
        <v>1</v>
      </c>
      <c r="G3275" s="1181">
        <v>220</v>
      </c>
      <c r="H3275" s="1276">
        <f>G3275*F3275</f>
        <v>220</v>
      </c>
    </row>
    <row r="3276" spans="1:9">
      <c r="A3276" s="41"/>
      <c r="B3276" s="136"/>
      <c r="C3276" s="136"/>
      <c r="D3276" s="292"/>
      <c r="E3276" s="297"/>
      <c r="F3276" s="292"/>
      <c r="G3276" s="1181"/>
      <c r="H3276" s="1276"/>
    </row>
    <row r="3277" spans="1:9">
      <c r="A3277" s="41">
        <v>4141</v>
      </c>
      <c r="B3277" s="1264">
        <v>6</v>
      </c>
      <c r="C3277" s="41" t="s">
        <v>4211</v>
      </c>
      <c r="D3277" s="296">
        <v>20</v>
      </c>
      <c r="E3277" s="297">
        <v>1</v>
      </c>
      <c r="F3277" s="298">
        <f>D3277*E3277</f>
        <v>20</v>
      </c>
      <c r="G3277" s="1184">
        <v>1.2</v>
      </c>
      <c r="H3277" s="1276">
        <f>G3277*F3277</f>
        <v>24</v>
      </c>
    </row>
    <row r="3278" spans="1:9">
      <c r="A3278" s="41"/>
      <c r="B3278" s="136"/>
      <c r="C3278" s="136" t="s">
        <v>4257</v>
      </c>
      <c r="D3278" s="292"/>
      <c r="E3278" s="297"/>
      <c r="F3278" s="292">
        <v>1</v>
      </c>
      <c r="G3278" s="1181">
        <v>270</v>
      </c>
      <c r="H3278" s="1276">
        <f>G3278*F3278</f>
        <v>270</v>
      </c>
    </row>
    <row r="3279" spans="1:9">
      <c r="A3279" s="41"/>
      <c r="B3279" s="136"/>
      <c r="C3279" s="136"/>
      <c r="D3279" s="292"/>
      <c r="E3279" s="297"/>
      <c r="F3279" s="292"/>
      <c r="G3279" s="1181"/>
      <c r="H3279" s="1276"/>
    </row>
    <row r="3280" spans="1:9">
      <c r="A3280" s="41">
        <v>4141</v>
      </c>
      <c r="B3280" s="1264">
        <v>9</v>
      </c>
      <c r="C3280" s="41" t="s">
        <v>4207</v>
      </c>
      <c r="D3280" s="296">
        <v>20</v>
      </c>
      <c r="E3280" s="297">
        <v>2</v>
      </c>
      <c r="F3280" s="298">
        <f>D3280*E3280</f>
        <v>40</v>
      </c>
      <c r="G3280" s="1184">
        <v>1.33</v>
      </c>
      <c r="H3280" s="1276">
        <f>G3280*F3280</f>
        <v>53.2</v>
      </c>
    </row>
    <row r="3281" spans="1:8">
      <c r="A3281" s="41"/>
      <c r="B3281" s="136"/>
      <c r="C3281" s="136" t="s">
        <v>218</v>
      </c>
      <c r="D3281" s="292"/>
      <c r="E3281" s="297"/>
      <c r="F3281" s="292">
        <v>1</v>
      </c>
      <c r="G3281" s="1181">
        <v>12</v>
      </c>
      <c r="H3281" s="1276">
        <f>G3281*F3281</f>
        <v>12</v>
      </c>
    </row>
    <row r="3284" spans="1:8">
      <c r="A3284" s="289" t="s">
        <v>99</v>
      </c>
      <c r="B3284" s="289" t="s">
        <v>90</v>
      </c>
      <c r="C3284" s="289" t="s">
        <v>203</v>
      </c>
      <c r="D3284" s="289" t="s">
        <v>163</v>
      </c>
      <c r="E3284" s="289" t="s">
        <v>197</v>
      </c>
      <c r="F3284" s="289" t="s">
        <v>198</v>
      </c>
      <c r="G3284" s="1541" t="s">
        <v>242</v>
      </c>
      <c r="H3284" s="1541" t="s">
        <v>4275</v>
      </c>
    </row>
    <row r="3285" spans="1:8">
      <c r="A3285" s="41">
        <v>4141</v>
      </c>
      <c r="B3285" s="1264">
        <v>9</v>
      </c>
      <c r="C3285" s="1674" t="s">
        <v>4260</v>
      </c>
      <c r="D3285" s="296">
        <v>20</v>
      </c>
      <c r="E3285" s="297">
        <v>1</v>
      </c>
      <c r="F3285" s="298">
        <f t="shared" ref="F3285:F3299" si="59">D3285*E3285</f>
        <v>20</v>
      </c>
      <c r="G3285" s="1184">
        <v>1.33</v>
      </c>
      <c r="H3285" s="1675" t="s">
        <v>4276</v>
      </c>
    </row>
    <row r="3286" spans="1:8">
      <c r="A3286" s="41">
        <v>4141</v>
      </c>
      <c r="B3286" s="1264">
        <v>9</v>
      </c>
      <c r="C3286" s="302" t="s">
        <v>4261</v>
      </c>
      <c r="D3286" s="296">
        <v>20</v>
      </c>
      <c r="E3286" s="297">
        <v>1</v>
      </c>
      <c r="F3286" s="298">
        <f t="shared" si="59"/>
        <v>20</v>
      </c>
      <c r="G3286" s="1184">
        <v>1.33</v>
      </c>
      <c r="H3286" s="1675" t="s">
        <v>4276</v>
      </c>
    </row>
    <row r="3287" spans="1:8">
      <c r="A3287" s="41">
        <v>4141</v>
      </c>
      <c r="B3287" s="1264">
        <v>9</v>
      </c>
      <c r="C3287" s="302" t="s">
        <v>4262</v>
      </c>
      <c r="D3287" s="296">
        <v>20</v>
      </c>
      <c r="E3287" s="297">
        <v>1</v>
      </c>
      <c r="F3287" s="298">
        <f t="shared" si="59"/>
        <v>20</v>
      </c>
      <c r="G3287" s="1184">
        <v>1.33</v>
      </c>
      <c r="H3287" s="1675" t="s">
        <v>4276</v>
      </c>
    </row>
    <row r="3288" spans="1:8">
      <c r="A3288" s="41">
        <v>4141</v>
      </c>
      <c r="B3288" s="1264">
        <v>9</v>
      </c>
      <c r="C3288" s="302" t="s">
        <v>4263</v>
      </c>
      <c r="D3288" s="296">
        <v>20</v>
      </c>
      <c r="E3288" s="297">
        <v>1</v>
      </c>
      <c r="F3288" s="298">
        <f t="shared" si="59"/>
        <v>20</v>
      </c>
      <c r="G3288" s="1184">
        <v>1.33</v>
      </c>
      <c r="H3288" s="1675" t="s">
        <v>4276</v>
      </c>
    </row>
    <row r="3289" spans="1:8">
      <c r="A3289" s="41">
        <v>4141</v>
      </c>
      <c r="B3289" s="1264">
        <v>9</v>
      </c>
      <c r="C3289" s="302" t="s">
        <v>4264</v>
      </c>
      <c r="D3289" s="296">
        <v>20</v>
      </c>
      <c r="E3289" s="297">
        <v>1</v>
      </c>
      <c r="F3289" s="298">
        <f t="shared" si="59"/>
        <v>20</v>
      </c>
      <c r="G3289" s="1184">
        <v>1.33</v>
      </c>
      <c r="H3289" s="1675" t="s">
        <v>4276</v>
      </c>
    </row>
    <row r="3290" spans="1:8">
      <c r="A3290" s="41">
        <v>4141</v>
      </c>
      <c r="B3290" s="1264">
        <v>9</v>
      </c>
      <c r="C3290" s="302" t="s">
        <v>4265</v>
      </c>
      <c r="D3290" s="296">
        <v>20</v>
      </c>
      <c r="E3290" s="297">
        <v>1</v>
      </c>
      <c r="F3290" s="298">
        <f t="shared" si="59"/>
        <v>20</v>
      </c>
      <c r="G3290" s="1184">
        <v>1.33</v>
      </c>
      <c r="H3290" s="1675" t="s">
        <v>4276</v>
      </c>
    </row>
    <row r="3291" spans="1:8">
      <c r="A3291" s="41">
        <v>4141</v>
      </c>
      <c r="B3291" s="1264">
        <v>9</v>
      </c>
      <c r="C3291" s="302" t="s">
        <v>4266</v>
      </c>
      <c r="D3291" s="296">
        <v>20</v>
      </c>
      <c r="E3291" s="297">
        <v>1</v>
      </c>
      <c r="F3291" s="298">
        <f t="shared" si="59"/>
        <v>20</v>
      </c>
      <c r="G3291" s="1184">
        <v>1.33</v>
      </c>
      <c r="H3291" s="1675" t="s">
        <v>4276</v>
      </c>
    </row>
    <row r="3292" spans="1:8">
      <c r="A3292" s="41">
        <v>4141</v>
      </c>
      <c r="B3292" s="1264">
        <v>9</v>
      </c>
      <c r="C3292" s="302" t="s">
        <v>4267</v>
      </c>
      <c r="D3292" s="296">
        <v>20</v>
      </c>
      <c r="E3292" s="297">
        <v>1</v>
      </c>
      <c r="F3292" s="298">
        <f t="shared" si="59"/>
        <v>20</v>
      </c>
      <c r="G3292" s="1184">
        <v>1.33</v>
      </c>
      <c r="H3292" s="1675" t="s">
        <v>4276</v>
      </c>
    </row>
    <row r="3293" spans="1:8">
      <c r="A3293" s="41">
        <v>4141</v>
      </c>
      <c r="B3293" s="1264">
        <v>9</v>
      </c>
      <c r="C3293" s="302" t="s">
        <v>4268</v>
      </c>
      <c r="D3293" s="296">
        <v>20</v>
      </c>
      <c r="E3293" s="297">
        <v>1</v>
      </c>
      <c r="F3293" s="298">
        <f t="shared" si="59"/>
        <v>20</v>
      </c>
      <c r="G3293" s="1184">
        <v>1.33</v>
      </c>
      <c r="H3293" s="1675" t="s">
        <v>4277</v>
      </c>
    </row>
    <row r="3294" spans="1:8">
      <c r="A3294" s="41">
        <v>4141</v>
      </c>
      <c r="B3294" s="1264">
        <v>9</v>
      </c>
      <c r="C3294" s="302" t="s">
        <v>4269</v>
      </c>
      <c r="D3294" s="296">
        <v>20</v>
      </c>
      <c r="E3294" s="297">
        <v>1</v>
      </c>
      <c r="F3294" s="298">
        <f t="shared" si="59"/>
        <v>20</v>
      </c>
      <c r="G3294" s="1184">
        <v>1.33</v>
      </c>
      <c r="H3294" s="1675" t="s">
        <v>4276</v>
      </c>
    </row>
    <row r="3295" spans="1:8">
      <c r="A3295" s="41">
        <v>4141</v>
      </c>
      <c r="B3295" s="1264">
        <v>9</v>
      </c>
      <c r="C3295" s="302" t="s">
        <v>4270</v>
      </c>
      <c r="D3295" s="296">
        <v>20</v>
      </c>
      <c r="E3295" s="297">
        <v>1</v>
      </c>
      <c r="F3295" s="298">
        <f t="shared" si="59"/>
        <v>20</v>
      </c>
      <c r="G3295" s="1184">
        <v>1.33</v>
      </c>
      <c r="H3295" s="1675" t="s">
        <v>4276</v>
      </c>
    </row>
    <row r="3296" spans="1:8">
      <c r="A3296" s="41">
        <v>4141</v>
      </c>
      <c r="B3296" s="1264">
        <v>9</v>
      </c>
      <c r="C3296" s="302" t="s">
        <v>4271</v>
      </c>
      <c r="D3296" s="296">
        <v>20</v>
      </c>
      <c r="E3296" s="297">
        <v>1</v>
      </c>
      <c r="F3296" s="298">
        <f t="shared" si="59"/>
        <v>20</v>
      </c>
      <c r="G3296" s="1184">
        <v>1.33</v>
      </c>
      <c r="H3296" s="1675" t="s">
        <v>4276</v>
      </c>
    </row>
    <row r="3297" spans="1:11">
      <c r="A3297" s="41">
        <v>4141</v>
      </c>
      <c r="B3297" s="1264">
        <v>9</v>
      </c>
      <c r="C3297" s="302" t="s">
        <v>4272</v>
      </c>
      <c r="D3297" s="296">
        <v>20</v>
      </c>
      <c r="E3297" s="297">
        <v>1</v>
      </c>
      <c r="F3297" s="298">
        <f t="shared" si="59"/>
        <v>20</v>
      </c>
      <c r="G3297" s="1184">
        <v>1.33</v>
      </c>
      <c r="H3297" s="1675" t="s">
        <v>4276</v>
      </c>
    </row>
    <row r="3298" spans="1:11">
      <c r="A3298" s="41">
        <v>4141</v>
      </c>
      <c r="B3298" s="1264">
        <v>9</v>
      </c>
      <c r="C3298" s="302" t="s">
        <v>4273</v>
      </c>
      <c r="D3298" s="296">
        <v>20</v>
      </c>
      <c r="E3298" s="297">
        <v>1</v>
      </c>
      <c r="F3298" s="298">
        <f t="shared" si="59"/>
        <v>20</v>
      </c>
      <c r="G3298" s="1184">
        <v>1.33</v>
      </c>
      <c r="H3298" s="1675" t="s">
        <v>4276</v>
      </c>
    </row>
    <row r="3299" spans="1:11">
      <c r="A3299" s="41">
        <v>4141</v>
      </c>
      <c r="B3299" s="1264">
        <v>9</v>
      </c>
      <c r="C3299" s="302" t="s">
        <v>4274</v>
      </c>
      <c r="D3299" s="296">
        <v>20</v>
      </c>
      <c r="E3299" s="297">
        <v>1</v>
      </c>
      <c r="F3299" s="298">
        <f t="shared" si="59"/>
        <v>20</v>
      </c>
      <c r="G3299" s="1184">
        <v>1.33</v>
      </c>
      <c r="H3299" s="1675" t="s">
        <v>4276</v>
      </c>
    </row>
    <row r="3300" spans="1:11">
      <c r="A3300" s="41"/>
      <c r="B3300" s="136"/>
      <c r="C3300" s="136" t="s">
        <v>218</v>
      </c>
      <c r="D3300" s="292"/>
      <c r="E3300" s="297"/>
      <c r="F3300" s="292">
        <v>1</v>
      </c>
      <c r="G3300" s="1181">
        <v>12</v>
      </c>
      <c r="H3300" s="1675"/>
    </row>
    <row r="3302" spans="1:11">
      <c r="A3302" s="1485" t="s">
        <v>4279</v>
      </c>
    </row>
    <row r="3303" spans="1:11" ht="15.75">
      <c r="A3303" s="1660" t="s">
        <v>4213</v>
      </c>
      <c r="B3303" s="1660" t="s">
        <v>4214</v>
      </c>
      <c r="C3303" s="1660" t="s">
        <v>4215</v>
      </c>
      <c r="D3303" s="1660" t="s">
        <v>4216</v>
      </c>
      <c r="E3303" s="1660" t="s">
        <v>4217</v>
      </c>
      <c r="F3303" s="1659"/>
      <c r="G3303" s="1659"/>
      <c r="H3303" s="1659"/>
      <c r="I3303" s="1659"/>
      <c r="J3303" s="1659"/>
      <c r="K3303" s="1659"/>
    </row>
    <row r="3304" spans="1:11" ht="15">
      <c r="A3304" s="1661" t="s">
        <v>4219</v>
      </c>
      <c r="B3304" s="1661" t="s">
        <v>4220</v>
      </c>
      <c r="C3304" s="1662" t="s">
        <v>4236</v>
      </c>
      <c r="D3304" s="1662" t="s">
        <v>4237</v>
      </c>
      <c r="E3304" s="1662" t="s">
        <v>4238</v>
      </c>
      <c r="F3304" s="1659"/>
      <c r="G3304" s="1659"/>
      <c r="H3304" s="1659"/>
      <c r="I3304" s="1659"/>
      <c r="J3304" s="1659"/>
      <c r="K3304" s="1659"/>
    </row>
    <row r="3305" spans="1:11" ht="15">
      <c r="A3305" s="1661" t="s">
        <v>4221</v>
      </c>
      <c r="B3305" s="1661" t="s">
        <v>4222</v>
      </c>
      <c r="C3305" s="1662" t="s">
        <v>4236</v>
      </c>
      <c r="D3305" s="1662" t="s">
        <v>4237</v>
      </c>
      <c r="E3305" s="1662" t="s">
        <v>4238</v>
      </c>
      <c r="F3305" s="1659"/>
      <c r="G3305" s="1659"/>
      <c r="H3305" s="1659"/>
      <c r="I3305" s="1659"/>
      <c r="J3305" s="1659"/>
      <c r="K3305" s="1659"/>
    </row>
    <row r="3306" spans="1:11" ht="15">
      <c r="A3306" s="1661" t="s">
        <v>4223</v>
      </c>
      <c r="B3306" s="1661" t="s">
        <v>4222</v>
      </c>
      <c r="C3306" s="1662" t="s">
        <v>4236</v>
      </c>
      <c r="D3306" s="1662" t="s">
        <v>4237</v>
      </c>
      <c r="E3306" s="1662" t="s">
        <v>4238</v>
      </c>
      <c r="F3306" s="1659"/>
      <c r="G3306" s="1659"/>
      <c r="H3306" s="1659"/>
      <c r="I3306" s="1659"/>
      <c r="J3306" s="1659"/>
      <c r="K3306" s="1659"/>
    </row>
    <row r="3308" spans="1:11" s="354" customFormat="1" ht="38.25">
      <c r="A3308" s="1680" t="s">
        <v>4280</v>
      </c>
      <c r="B3308" s="1679" t="s">
        <v>4281</v>
      </c>
      <c r="C3308" s="1679" t="s">
        <v>4282</v>
      </c>
      <c r="D3308" s="1679" t="s">
        <v>4283</v>
      </c>
      <c r="E3308" s="1679" t="s">
        <v>4291</v>
      </c>
      <c r="F3308" s="1679" t="s">
        <v>4292</v>
      </c>
      <c r="G3308" s="1679" t="s">
        <v>4294</v>
      </c>
      <c r="H3308" s="1679" t="s">
        <v>4293</v>
      </c>
      <c r="I3308" s="1676" t="s">
        <v>4284</v>
      </c>
      <c r="J3308" s="1677" t="s">
        <v>4285</v>
      </c>
      <c r="K3308" s="1677" t="s">
        <v>4286</v>
      </c>
    </row>
    <row r="3309" spans="1:11" s="354" customFormat="1" ht="25.5">
      <c r="A3309" s="1681" t="s">
        <v>4288</v>
      </c>
      <c r="B3309" s="1682" t="s">
        <v>4289</v>
      </c>
      <c r="C3309" s="1682" t="s">
        <v>4287</v>
      </c>
      <c r="D3309" s="1682" t="s">
        <v>4290</v>
      </c>
      <c r="E3309" s="1683">
        <f>ROUNDUP(I3309/0.8/140,2)</f>
        <v>38.4</v>
      </c>
      <c r="F3309" s="1683">
        <f>E3309*1.5</f>
        <v>57.599999999999994</v>
      </c>
      <c r="G3309" s="1683">
        <f>E3309*2</f>
        <v>76.8</v>
      </c>
      <c r="H3309" s="1683">
        <f>E3309*2</f>
        <v>76.8</v>
      </c>
      <c r="I3309" s="1678">
        <v>4300</v>
      </c>
      <c r="J3309" s="1666">
        <f>(((E3309*K3309)-I3309)/(E3309*K3309))</f>
        <v>0.20014880952380953</v>
      </c>
      <c r="K3309" s="1667">
        <v>140</v>
      </c>
    </row>
    <row r="3310" spans="1:11" s="354" customFormat="1" ht="25.5">
      <c r="A3310" s="1681" t="s">
        <v>4295</v>
      </c>
      <c r="B3310" s="1682" t="s">
        <v>4289</v>
      </c>
      <c r="C3310" s="1682" t="s">
        <v>4287</v>
      </c>
      <c r="D3310" s="1682" t="s">
        <v>4290</v>
      </c>
      <c r="E3310" s="1683">
        <f>ROUNDUP(I3310/0.8/140,2)</f>
        <v>48.22</v>
      </c>
      <c r="F3310" s="1683">
        <f>E3310*1.5</f>
        <v>72.33</v>
      </c>
      <c r="G3310" s="1683">
        <f>E3310*2</f>
        <v>96.44</v>
      </c>
      <c r="H3310" s="1683">
        <f>E3310*2</f>
        <v>96.44</v>
      </c>
      <c r="I3310" s="1678">
        <v>5400</v>
      </c>
      <c r="J3310" s="1666">
        <f>(((E3310*K3310)-I3310)/(E3310*K3310))</f>
        <v>0.20009480357883513</v>
      </c>
      <c r="K3310" s="1667">
        <v>140</v>
      </c>
    </row>
    <row r="3311" spans="1:11" s="354" customFormat="1" ht="25.5">
      <c r="A3311" s="1681" t="s">
        <v>4296</v>
      </c>
      <c r="B3311" s="1682" t="s">
        <v>4289</v>
      </c>
      <c r="C3311" s="1682" t="s">
        <v>4287</v>
      </c>
      <c r="D3311" s="1682" t="s">
        <v>4290</v>
      </c>
      <c r="E3311" s="1683">
        <f>ROUNDUP(I3311/0.8/140,2)</f>
        <v>46.43</v>
      </c>
      <c r="F3311" s="1683">
        <f>E3311*1.5</f>
        <v>69.644999999999996</v>
      </c>
      <c r="G3311" s="1683">
        <f>E3311*2</f>
        <v>92.86</v>
      </c>
      <c r="H3311" s="1683">
        <f>E3311*2</f>
        <v>92.86</v>
      </c>
      <c r="I3311" s="1678">
        <v>5200</v>
      </c>
      <c r="J3311" s="1666">
        <f>(((E3311*K3311)-I3311)/(E3311*K3311))</f>
        <v>0.20002461462724222</v>
      </c>
      <c r="K3311" s="1667">
        <v>140</v>
      </c>
    </row>
    <row r="3316" spans="1:4" ht="15">
      <c r="A3316" s="1680" t="s">
        <v>4280</v>
      </c>
      <c r="B3316" s="21"/>
      <c r="C3316" s="93"/>
      <c r="D3316" s="1606" t="s">
        <v>4303</v>
      </c>
    </row>
    <row r="3317" spans="1:4" ht="15">
      <c r="A3317" s="18" t="s">
        <v>4299</v>
      </c>
      <c r="B3317" s="21" t="s">
        <v>4300</v>
      </c>
      <c r="C3317" s="39">
        <v>1</v>
      </c>
      <c r="D3317" s="611">
        <v>50</v>
      </c>
    </row>
    <row r="3318" spans="1:4" ht="15">
      <c r="A3318" s="18" t="s">
        <v>4301</v>
      </c>
      <c r="B3318" s="21" t="s">
        <v>4300</v>
      </c>
      <c r="C3318" s="39">
        <v>1</v>
      </c>
      <c r="D3318" s="611">
        <v>100</v>
      </c>
    </row>
    <row r="3319" spans="1:4" ht="15">
      <c r="A3319" s="18" t="s">
        <v>4302</v>
      </c>
      <c r="B3319" s="21" t="s">
        <v>4300</v>
      </c>
      <c r="C3319" s="39">
        <v>1</v>
      </c>
      <c r="D3319" s="611">
        <v>120</v>
      </c>
    </row>
    <row r="3324" spans="1:4">
      <c r="A3324" s="289" t="s">
        <v>99</v>
      </c>
      <c r="B3324" s="289" t="s">
        <v>203</v>
      </c>
      <c r="C3324" s="289" t="s">
        <v>198</v>
      </c>
      <c r="D3324" s="1541" t="s">
        <v>242</v>
      </c>
    </row>
    <row r="3325" spans="1:4">
      <c r="A3325" s="1182" t="s">
        <v>3856</v>
      </c>
      <c r="B3325" s="41" t="s">
        <v>25</v>
      </c>
      <c r="C3325" s="1186">
        <v>100</v>
      </c>
      <c r="D3325" s="1184">
        <v>2.87</v>
      </c>
    </row>
    <row r="3326" spans="1:4">
      <c r="A3326" s="41"/>
      <c r="B3326" s="136" t="s">
        <v>218</v>
      </c>
      <c r="C3326" s="292">
        <v>1</v>
      </c>
      <c r="D3326" s="1181">
        <v>12</v>
      </c>
    </row>
    <row r="3329" spans="1:11" s="354" customFormat="1" ht="38.25">
      <c r="A3329" s="1680" t="s">
        <v>4280</v>
      </c>
      <c r="B3329" s="1679" t="s">
        <v>4281</v>
      </c>
      <c r="C3329" s="1679" t="s">
        <v>4282</v>
      </c>
      <c r="D3329" s="1679" t="s">
        <v>4283</v>
      </c>
      <c r="E3329" s="1679" t="s">
        <v>4291</v>
      </c>
      <c r="F3329" s="1679" t="s">
        <v>4292</v>
      </c>
      <c r="G3329" s="1679" t="s">
        <v>4294</v>
      </c>
      <c r="H3329" s="1679" t="s">
        <v>4293</v>
      </c>
      <c r="I3329" s="1676" t="s">
        <v>4284</v>
      </c>
      <c r="J3329" s="1677" t="s">
        <v>4285</v>
      </c>
      <c r="K3329" s="1677" t="s">
        <v>4286</v>
      </c>
    </row>
    <row r="3330" spans="1:11" s="354" customFormat="1" ht="25.5">
      <c r="A3330" s="1681" t="s">
        <v>4306</v>
      </c>
      <c r="B3330" s="1682" t="s">
        <v>4289</v>
      </c>
      <c r="C3330" s="1682" t="s">
        <v>4287</v>
      </c>
      <c r="D3330" s="1682" t="s">
        <v>4290</v>
      </c>
      <c r="E3330" s="1683">
        <f>ROUNDUP(I3330/0.8/140,2)</f>
        <v>38.4</v>
      </c>
      <c r="F3330" s="1683">
        <f>E3330*1.5</f>
        <v>57.599999999999994</v>
      </c>
      <c r="G3330" s="1683">
        <f>E3330*2</f>
        <v>76.8</v>
      </c>
      <c r="H3330" s="1683">
        <f>E3330*2</f>
        <v>76.8</v>
      </c>
      <c r="I3330" s="1678">
        <v>4300</v>
      </c>
      <c r="J3330" s="1666">
        <f>(((E3330*K3330)-I3330)/(E3330*K3330))</f>
        <v>0.20014880952380953</v>
      </c>
      <c r="K3330" s="1667">
        <v>140</v>
      </c>
    </row>
    <row r="3333" spans="1:11" s="354" customFormat="1" ht="38.25">
      <c r="A3333" s="1680" t="s">
        <v>4280</v>
      </c>
      <c r="B3333" s="1679" t="s">
        <v>4281</v>
      </c>
      <c r="C3333" s="1679" t="s">
        <v>4282</v>
      </c>
      <c r="D3333" s="1679" t="s">
        <v>4283</v>
      </c>
      <c r="E3333" s="1679" t="s">
        <v>4291</v>
      </c>
      <c r="F3333" s="1679" t="s">
        <v>4292</v>
      </c>
      <c r="G3333" s="1679" t="s">
        <v>4294</v>
      </c>
      <c r="H3333" s="1679" t="s">
        <v>4293</v>
      </c>
      <c r="I3333" s="1676" t="s">
        <v>4284</v>
      </c>
      <c r="J3333" s="1677" t="s">
        <v>4285</v>
      </c>
      <c r="K3333" s="1677" t="s">
        <v>4286</v>
      </c>
    </row>
    <row r="3334" spans="1:11" s="354" customFormat="1" ht="25.5">
      <c r="A3334" s="1681" t="s">
        <v>4288</v>
      </c>
      <c r="B3334" s="1682" t="s">
        <v>4289</v>
      </c>
      <c r="C3334" s="1682" t="s">
        <v>4287</v>
      </c>
      <c r="D3334" s="1682" t="s">
        <v>4290</v>
      </c>
      <c r="E3334" s="1683">
        <f>ROUNDUP(I3334/0.8/140,2)</f>
        <v>38.4</v>
      </c>
      <c r="F3334" s="1683">
        <f>E3334*1.5</f>
        <v>57.599999999999994</v>
      </c>
      <c r="G3334" s="1683">
        <f>E3334*2</f>
        <v>76.8</v>
      </c>
      <c r="H3334" s="1683">
        <f>E3334*2</f>
        <v>76.8</v>
      </c>
      <c r="I3334" s="1678">
        <v>4300</v>
      </c>
      <c r="J3334" s="1666">
        <f>(((E3334*K3334)-I3334)/(E3334*K3334))</f>
        <v>0.20014880952380953</v>
      </c>
      <c r="K3334" s="1667">
        <v>140</v>
      </c>
    </row>
    <row r="3335" spans="1:11" s="354" customFormat="1" ht="25.5">
      <c r="A3335" s="1681" t="s">
        <v>4295</v>
      </c>
      <c r="B3335" s="1682" t="s">
        <v>4289</v>
      </c>
      <c r="C3335" s="1682" t="s">
        <v>4287</v>
      </c>
      <c r="D3335" s="1682" t="s">
        <v>4290</v>
      </c>
      <c r="E3335" s="1683">
        <f>ROUNDUP(I3335/0.8/140,2)</f>
        <v>48.22</v>
      </c>
      <c r="F3335" s="1683">
        <f>E3335*1.5</f>
        <v>72.33</v>
      </c>
      <c r="G3335" s="1683">
        <f>E3335*2</f>
        <v>96.44</v>
      </c>
      <c r="H3335" s="1683">
        <f>E3335*2</f>
        <v>96.44</v>
      </c>
      <c r="I3335" s="1678">
        <v>5400</v>
      </c>
      <c r="J3335" s="1666">
        <f>(((E3335*K3335)-I3335)/(E3335*K3335))</f>
        <v>0.20009480357883513</v>
      </c>
      <c r="K3335" s="1667">
        <v>140</v>
      </c>
    </row>
    <row r="3336" spans="1:11" s="354" customFormat="1" ht="25.5">
      <c r="A3336" s="1681" t="s">
        <v>4296</v>
      </c>
      <c r="B3336" s="1682" t="s">
        <v>4289</v>
      </c>
      <c r="C3336" s="1682" t="s">
        <v>4287</v>
      </c>
      <c r="D3336" s="1682" t="s">
        <v>4290</v>
      </c>
      <c r="E3336" s="1683">
        <f>ROUNDUP(I3336/0.8/140,2)</f>
        <v>46.43</v>
      </c>
      <c r="F3336" s="1683">
        <f>E3336*1.5</f>
        <v>69.644999999999996</v>
      </c>
      <c r="G3336" s="1683">
        <f>E3336*2</f>
        <v>92.86</v>
      </c>
      <c r="H3336" s="1683">
        <f>E3336*2</f>
        <v>92.86</v>
      </c>
      <c r="I3336" s="1678">
        <v>5200</v>
      </c>
      <c r="J3336" s="1666">
        <f>(((E3336*K3336)-I3336)/(E3336*K3336))</f>
        <v>0.20002461462724222</v>
      </c>
      <c r="K3336" s="1667">
        <v>140</v>
      </c>
    </row>
    <row r="3337" spans="1:11" s="354" customFormat="1" ht="25.5">
      <c r="A3337" s="1681" t="s">
        <v>4307</v>
      </c>
      <c r="B3337" s="1682" t="s">
        <v>4289</v>
      </c>
      <c r="C3337" s="1682" t="s">
        <v>4287</v>
      </c>
      <c r="D3337" s="1682" t="s">
        <v>4290</v>
      </c>
      <c r="E3337" s="1683">
        <f>ROUNDUP(I3337/0.8/140,2)</f>
        <v>30.450000000000003</v>
      </c>
      <c r="F3337" s="1683">
        <f>E3337*1.5</f>
        <v>45.675000000000004</v>
      </c>
      <c r="G3337" s="1683">
        <f>E3337*2</f>
        <v>60.900000000000006</v>
      </c>
      <c r="H3337" s="1683">
        <f>E3337*2</f>
        <v>60.900000000000006</v>
      </c>
      <c r="I3337" s="1678">
        <v>3410</v>
      </c>
      <c r="J3337" s="1666">
        <f>(((E3337*K3337)-I3337)/(E3337*K3337))</f>
        <v>0.20009383063570255</v>
      </c>
      <c r="K3337" s="1667">
        <v>140</v>
      </c>
    </row>
    <row r="3339" spans="1:11">
      <c r="A3339" s="1429" t="s">
        <v>4311</v>
      </c>
    </row>
    <row r="3340" spans="1:11" ht="25.5">
      <c r="A3340" s="379" t="s">
        <v>171</v>
      </c>
      <c r="B3340" s="381" t="s">
        <v>2</v>
      </c>
      <c r="C3340" s="382" t="s">
        <v>204</v>
      </c>
      <c r="D3340" s="383" t="s">
        <v>4310</v>
      </c>
      <c r="E3340" s="1676" t="s">
        <v>4313</v>
      </c>
      <c r="F3340" s="1677" t="s">
        <v>4285</v>
      </c>
      <c r="G3340" s="1677" t="s">
        <v>4286</v>
      </c>
    </row>
    <row r="3341" spans="1:11" ht="15">
      <c r="A3341" s="355" t="s">
        <v>4312</v>
      </c>
      <c r="B3341" s="356">
        <v>100</v>
      </c>
      <c r="C3341" s="357" t="s">
        <v>211</v>
      </c>
      <c r="D3341" s="1686">
        <v>1</v>
      </c>
      <c r="E3341" s="1678">
        <v>62</v>
      </c>
      <c r="F3341" s="1666">
        <f>(((D3341*G3341)-E3341)/(D3341*G3341))</f>
        <v>0.504</v>
      </c>
      <c r="G3341" s="1667">
        <v>125</v>
      </c>
    </row>
    <row r="3345" spans="1:14">
      <c r="A3345" s="289" t="s">
        <v>99</v>
      </c>
      <c r="B3345" s="289" t="s">
        <v>90</v>
      </c>
      <c r="C3345" s="289" t="s">
        <v>203</v>
      </c>
      <c r="D3345" s="289" t="s">
        <v>163</v>
      </c>
      <c r="E3345" s="289" t="s">
        <v>197</v>
      </c>
      <c r="F3345" s="289" t="s">
        <v>198</v>
      </c>
      <c r="G3345" s="1541" t="s">
        <v>242</v>
      </c>
    </row>
    <row r="3346" spans="1:14">
      <c r="A3346" s="41">
        <v>5636</v>
      </c>
      <c r="B3346" s="42" t="s">
        <v>1808</v>
      </c>
      <c r="C3346" s="41" t="s">
        <v>4315</v>
      </c>
      <c r="D3346" s="1624">
        <v>50</v>
      </c>
      <c r="E3346" s="1625">
        <v>10</v>
      </c>
      <c r="F3346" s="1634">
        <f>D3346*E3346</f>
        <v>500</v>
      </c>
      <c r="G3346" s="1468">
        <v>0.53</v>
      </c>
    </row>
    <row r="3347" spans="1:14">
      <c r="A3347" s="41">
        <v>5636</v>
      </c>
      <c r="B3347" s="42" t="s">
        <v>1808</v>
      </c>
      <c r="C3347" s="41" t="s">
        <v>3690</v>
      </c>
      <c r="D3347" s="1624">
        <v>50</v>
      </c>
      <c r="E3347" s="1625">
        <v>40</v>
      </c>
      <c r="F3347" s="1634">
        <f>D3347*E3347</f>
        <v>2000</v>
      </c>
      <c r="G3347" s="1468">
        <v>0.46</v>
      </c>
    </row>
    <row r="3348" spans="1:14">
      <c r="A3348" s="41"/>
      <c r="B3348" s="1604"/>
      <c r="C3348" s="41"/>
      <c r="D3348" s="1624"/>
      <c r="E3348" s="1625"/>
      <c r="F3348" s="1624"/>
      <c r="G3348" s="307"/>
    </row>
    <row r="3349" spans="1:14">
      <c r="A3349" s="41">
        <v>4141</v>
      </c>
      <c r="B3349" s="1283">
        <v>6</v>
      </c>
      <c r="C3349" s="41" t="s">
        <v>4128</v>
      </c>
      <c r="D3349" s="1624">
        <v>20</v>
      </c>
      <c r="E3349" s="1625">
        <v>5</v>
      </c>
      <c r="F3349" s="1634">
        <f>D3349*E3349</f>
        <v>100</v>
      </c>
      <c r="G3349" s="1468">
        <v>1.2</v>
      </c>
    </row>
    <row r="3350" spans="1:14">
      <c r="A3350" s="41"/>
      <c r="B3350" s="136"/>
      <c r="C3350" s="136" t="s">
        <v>218</v>
      </c>
      <c r="D3350" s="1635"/>
      <c r="E3350" s="1625"/>
      <c r="F3350" s="1635">
        <v>1</v>
      </c>
      <c r="G3350" s="1187">
        <v>12</v>
      </c>
    </row>
    <row r="3352" spans="1:14" s="290" customFormat="1" ht="12.75">
      <c r="A3352" s="289" t="s">
        <v>99</v>
      </c>
      <c r="B3352" s="289" t="s">
        <v>90</v>
      </c>
      <c r="C3352" s="289" t="s">
        <v>203</v>
      </c>
      <c r="D3352" s="289" t="s">
        <v>163</v>
      </c>
      <c r="E3352" s="289" t="s">
        <v>197</v>
      </c>
      <c r="F3352" s="289" t="s">
        <v>198</v>
      </c>
      <c r="G3352" s="1690" t="s">
        <v>4330</v>
      </c>
      <c r="H3352" s="1406" t="s">
        <v>4329</v>
      </c>
    </row>
    <row r="3353" spans="1:14" s="290" customFormat="1" ht="12.75">
      <c r="A3353" s="41" t="s">
        <v>4316</v>
      </c>
      <c r="B3353" s="1604"/>
      <c r="C3353" s="41"/>
      <c r="D3353" s="1624"/>
      <c r="E3353" s="1625"/>
      <c r="F3353" s="1624"/>
      <c r="G3353" s="1624"/>
      <c r="H3353" s="44"/>
      <c r="I3353" s="33"/>
      <c r="J3353" s="33" t="s">
        <v>4329</v>
      </c>
      <c r="K3353" s="33"/>
      <c r="L3353" s="350"/>
      <c r="M3353" s="1688" t="s">
        <v>4328</v>
      </c>
    </row>
    <row r="3354" spans="1:14" s="290" customFormat="1" ht="12.75">
      <c r="A3354" s="41" t="s">
        <v>4324</v>
      </c>
      <c r="B3354" s="1691">
        <v>92</v>
      </c>
      <c r="C3354" s="41" t="s">
        <v>25</v>
      </c>
      <c r="D3354" s="1624">
        <v>13.7</v>
      </c>
      <c r="E3354" s="1625">
        <v>1</v>
      </c>
      <c r="F3354" s="1692">
        <f t="shared" ref="F3354:F3365" si="60">D3354*E3354</f>
        <v>13.7</v>
      </c>
      <c r="G3354" s="41">
        <f>3410*1.5</f>
        <v>5115</v>
      </c>
      <c r="H3354" s="1693" t="s">
        <v>4331</v>
      </c>
      <c r="I3354" s="1181">
        <v>45.68</v>
      </c>
      <c r="J3354" s="1276">
        <f t="shared" ref="J3354:J3365" si="61">I3354*F3354</f>
        <v>625.81599999999992</v>
      </c>
      <c r="K3354" s="363"/>
      <c r="L3354" s="33"/>
      <c r="M3354" s="350"/>
      <c r="N3354" s="364">
        <f>3410*1.5</f>
        <v>5115</v>
      </c>
    </row>
    <row r="3355" spans="1:14" s="290" customFormat="1" ht="12.75">
      <c r="A3355" s="41" t="s">
        <v>4327</v>
      </c>
      <c r="B3355" s="1691">
        <v>92</v>
      </c>
      <c r="C3355" s="41" t="s">
        <v>25</v>
      </c>
      <c r="D3355" s="1624">
        <v>13.7</v>
      </c>
      <c r="E3355" s="1625">
        <v>1</v>
      </c>
      <c r="F3355" s="1692">
        <f t="shared" si="60"/>
        <v>13.7</v>
      </c>
      <c r="G3355" s="41">
        <f>4300*1.5</f>
        <v>6450</v>
      </c>
      <c r="H3355" s="1693" t="s">
        <v>4331</v>
      </c>
      <c r="I3355" s="1181">
        <v>57.6</v>
      </c>
      <c r="J3355" s="1276">
        <f t="shared" si="61"/>
        <v>789.12</v>
      </c>
      <c r="K3355" s="363"/>
      <c r="L3355" s="33"/>
      <c r="M3355" s="350"/>
      <c r="N3355" s="364">
        <f>4300*1.5</f>
        <v>6450</v>
      </c>
    </row>
    <row r="3356" spans="1:14" s="290" customFormat="1" ht="12.75">
      <c r="A3356" s="41" t="s">
        <v>4326</v>
      </c>
      <c r="B3356" s="1691">
        <v>92</v>
      </c>
      <c r="C3356" s="41" t="s">
        <v>25</v>
      </c>
      <c r="D3356" s="1624">
        <v>13.7</v>
      </c>
      <c r="E3356" s="1625">
        <v>1</v>
      </c>
      <c r="F3356" s="1692">
        <f t="shared" si="60"/>
        <v>13.7</v>
      </c>
      <c r="G3356" s="41">
        <f>5200*1.5</f>
        <v>7800</v>
      </c>
      <c r="H3356" s="1693" t="s">
        <v>4331</v>
      </c>
      <c r="I3356" s="1181">
        <v>69.650000000000006</v>
      </c>
      <c r="J3356" s="1276">
        <f t="shared" si="61"/>
        <v>954.20500000000004</v>
      </c>
      <c r="K3356" s="363"/>
      <c r="L3356" s="33"/>
      <c r="M3356" s="350"/>
      <c r="N3356" s="364">
        <f>5200*1.5</f>
        <v>7800</v>
      </c>
    </row>
    <row r="3357" spans="1:14" s="290" customFormat="1" ht="12.75">
      <c r="A3357" s="41" t="s">
        <v>4325</v>
      </c>
      <c r="B3357" s="1691">
        <v>92</v>
      </c>
      <c r="C3357" s="41" t="s">
        <v>25</v>
      </c>
      <c r="D3357" s="1624">
        <v>13.7</v>
      </c>
      <c r="E3357" s="1625">
        <v>1</v>
      </c>
      <c r="F3357" s="1692">
        <f t="shared" si="60"/>
        <v>13.7</v>
      </c>
      <c r="G3357" s="41">
        <f>5400*1.5</f>
        <v>8100</v>
      </c>
      <c r="H3357" s="1693" t="s">
        <v>4331</v>
      </c>
      <c r="I3357" s="1181">
        <v>72.33</v>
      </c>
      <c r="J3357" s="1276">
        <f t="shared" si="61"/>
        <v>990.92099999999994</v>
      </c>
      <c r="K3357" s="363"/>
      <c r="L3357" s="33"/>
      <c r="M3357" s="350"/>
      <c r="N3357" s="364">
        <f>5400*1.5</f>
        <v>8100</v>
      </c>
    </row>
    <row r="3358" spans="1:14" s="290" customFormat="1" ht="12.75">
      <c r="A3358" s="41" t="s">
        <v>4320</v>
      </c>
      <c r="B3358" s="1691">
        <v>92</v>
      </c>
      <c r="C3358" s="41" t="s">
        <v>25</v>
      </c>
      <c r="D3358" s="1624">
        <v>8</v>
      </c>
      <c r="E3358" s="1625">
        <v>1</v>
      </c>
      <c r="F3358" s="1634">
        <f t="shared" si="60"/>
        <v>8</v>
      </c>
      <c r="G3358" s="41">
        <f>4080</f>
        <v>4080</v>
      </c>
      <c r="H3358" s="1404" t="s">
        <v>4332</v>
      </c>
      <c r="I3358" s="1181">
        <v>36.43</v>
      </c>
      <c r="J3358" s="1276">
        <f t="shared" si="61"/>
        <v>291.44</v>
      </c>
      <c r="K3358" s="363"/>
      <c r="L3358" s="33"/>
      <c r="M3358" s="350"/>
      <c r="N3358" s="364">
        <f>4080</f>
        <v>4080</v>
      </c>
    </row>
    <row r="3359" spans="1:14" s="290" customFormat="1" ht="12.75">
      <c r="A3359" s="41" t="s">
        <v>4319</v>
      </c>
      <c r="B3359" s="1691">
        <v>92</v>
      </c>
      <c r="C3359" s="41" t="s">
        <v>25</v>
      </c>
      <c r="D3359" s="1624">
        <v>9</v>
      </c>
      <c r="E3359" s="1625">
        <v>1</v>
      </c>
      <c r="F3359" s="1634">
        <f t="shared" si="60"/>
        <v>9</v>
      </c>
      <c r="G3359" s="41">
        <f>3630</f>
        <v>3630</v>
      </c>
      <c r="H3359" s="1404" t="s">
        <v>4332</v>
      </c>
      <c r="I3359" s="1181">
        <v>32.42</v>
      </c>
      <c r="J3359" s="1276">
        <f t="shared" si="61"/>
        <v>291.78000000000003</v>
      </c>
      <c r="K3359" s="363"/>
      <c r="L3359" s="33"/>
      <c r="M3359" s="350"/>
      <c r="N3359" s="364">
        <f>3630</f>
        <v>3630</v>
      </c>
    </row>
    <row r="3360" spans="1:14" s="290" customFormat="1" ht="12.75">
      <c r="A3360" s="41" t="s">
        <v>4318</v>
      </c>
      <c r="B3360" s="1691">
        <v>92</v>
      </c>
      <c r="C3360" s="41" t="s">
        <v>25</v>
      </c>
      <c r="D3360" s="1624">
        <v>5</v>
      </c>
      <c r="E3360" s="1625">
        <v>1</v>
      </c>
      <c r="F3360" s="1634">
        <f t="shared" si="60"/>
        <v>5</v>
      </c>
      <c r="G3360" s="41">
        <f>3650</f>
        <v>3650</v>
      </c>
      <c r="H3360" s="1404" t="s">
        <v>4332</v>
      </c>
      <c r="I3360" s="1181">
        <v>32.590000000000003</v>
      </c>
      <c r="J3360" s="1276">
        <f t="shared" si="61"/>
        <v>162.95000000000002</v>
      </c>
      <c r="K3360" s="363"/>
      <c r="L3360" s="33"/>
      <c r="M3360" s="350"/>
      <c r="N3360" s="364">
        <f>3650</f>
        <v>3650</v>
      </c>
    </row>
    <row r="3361" spans="1:14" s="290" customFormat="1" ht="12.75">
      <c r="A3361" s="41" t="s">
        <v>4321</v>
      </c>
      <c r="B3361" s="1691">
        <v>92</v>
      </c>
      <c r="C3361" s="41" t="s">
        <v>25</v>
      </c>
      <c r="D3361" s="1624">
        <v>13.7</v>
      </c>
      <c r="E3361" s="1625">
        <v>1</v>
      </c>
      <c r="F3361" s="1692">
        <f t="shared" si="60"/>
        <v>13.7</v>
      </c>
      <c r="G3361" s="41">
        <f>1910*1.5</f>
        <v>2865</v>
      </c>
      <c r="H3361" s="1693" t="s">
        <v>4331</v>
      </c>
      <c r="I3361" s="1181">
        <v>25.59</v>
      </c>
      <c r="J3361" s="1276">
        <f t="shared" si="61"/>
        <v>350.58299999999997</v>
      </c>
      <c r="K3361" s="363"/>
      <c r="L3361" s="33"/>
      <c r="M3361" s="350"/>
      <c r="N3361" s="364">
        <f>1910*1.5</f>
        <v>2865</v>
      </c>
    </row>
    <row r="3362" spans="1:14" s="290" customFormat="1" ht="12.75">
      <c r="A3362" s="41" t="s">
        <v>4322</v>
      </c>
      <c r="B3362" s="1691">
        <v>92</v>
      </c>
      <c r="C3362" s="41" t="s">
        <v>25</v>
      </c>
      <c r="D3362" s="1624">
        <v>2</v>
      </c>
      <c r="E3362" s="1625">
        <v>1</v>
      </c>
      <c r="F3362" s="1634">
        <f t="shared" si="60"/>
        <v>2</v>
      </c>
      <c r="G3362" s="41">
        <f>4950</f>
        <v>4950</v>
      </c>
      <c r="H3362" s="1404" t="s">
        <v>4332</v>
      </c>
      <c r="I3362" s="1181">
        <v>44.2</v>
      </c>
      <c r="J3362" s="1276">
        <f t="shared" si="61"/>
        <v>88.4</v>
      </c>
      <c r="K3362" s="363"/>
      <c r="L3362" s="33"/>
      <c r="M3362" s="350"/>
      <c r="N3362" s="364">
        <f>4950</f>
        <v>4950</v>
      </c>
    </row>
    <row r="3363" spans="1:14" s="290" customFormat="1" ht="12.75">
      <c r="A3363" s="41" t="s">
        <v>4322</v>
      </c>
      <c r="B3363" s="1691">
        <v>92</v>
      </c>
      <c r="C3363" s="41" t="s">
        <v>25</v>
      </c>
      <c r="D3363" s="1624">
        <v>13.7</v>
      </c>
      <c r="E3363" s="1625">
        <v>1</v>
      </c>
      <c r="F3363" s="1692">
        <f t="shared" si="60"/>
        <v>13.7</v>
      </c>
      <c r="G3363" s="41">
        <f>4950*1.5</f>
        <v>7425</v>
      </c>
      <c r="H3363" s="1693" t="s">
        <v>4331</v>
      </c>
      <c r="I3363" s="1181">
        <v>66.3</v>
      </c>
      <c r="J3363" s="1276">
        <f t="shared" si="61"/>
        <v>908.31</v>
      </c>
      <c r="K3363" s="363"/>
      <c r="L3363" s="33"/>
      <c r="M3363" s="350"/>
      <c r="N3363" s="364">
        <f>4950*1.5</f>
        <v>7425</v>
      </c>
    </row>
    <row r="3364" spans="1:14" s="290" customFormat="1" ht="12.75">
      <c r="A3364" s="41" t="s">
        <v>4323</v>
      </c>
      <c r="B3364" s="1691">
        <v>92</v>
      </c>
      <c r="C3364" s="41" t="s">
        <v>25</v>
      </c>
      <c r="D3364" s="1624">
        <v>5</v>
      </c>
      <c r="E3364" s="1625">
        <v>1</v>
      </c>
      <c r="F3364" s="1634">
        <f t="shared" si="60"/>
        <v>5</v>
      </c>
      <c r="G3364" s="41">
        <f>4890</f>
        <v>4890</v>
      </c>
      <c r="H3364" s="1404" t="s">
        <v>4332</v>
      </c>
      <c r="I3364" s="1181">
        <v>43.67</v>
      </c>
      <c r="J3364" s="1276">
        <f t="shared" si="61"/>
        <v>218.35000000000002</v>
      </c>
      <c r="K3364" s="363"/>
      <c r="L3364" s="33"/>
      <c r="M3364" s="350"/>
      <c r="N3364" s="364">
        <f>4890</f>
        <v>4890</v>
      </c>
    </row>
    <row r="3365" spans="1:14" s="290" customFormat="1" ht="12.75">
      <c r="A3365" s="41" t="s">
        <v>4323</v>
      </c>
      <c r="B3365" s="1691">
        <v>92</v>
      </c>
      <c r="C3365" s="41" t="s">
        <v>25</v>
      </c>
      <c r="D3365" s="1624">
        <v>13.7</v>
      </c>
      <c r="E3365" s="1625">
        <v>1</v>
      </c>
      <c r="F3365" s="1692">
        <f t="shared" si="60"/>
        <v>13.7</v>
      </c>
      <c r="G3365" s="41">
        <f>4890*1.5</f>
        <v>7335</v>
      </c>
      <c r="H3365" s="1693" t="s">
        <v>4331</v>
      </c>
      <c r="I3365" s="1181">
        <v>65.510000000000005</v>
      </c>
      <c r="J3365" s="1276">
        <f t="shared" si="61"/>
        <v>897.48700000000008</v>
      </c>
      <c r="K3365" s="363"/>
      <c r="L3365" s="33"/>
      <c r="M3365" s="350"/>
      <c r="N3365" s="364">
        <f>4890*1.5</f>
        <v>7335</v>
      </c>
    </row>
    <row r="3366" spans="1:14" s="290" customFormat="1" ht="12"/>
    <row r="3372" spans="1:14">
      <c r="A3372" s="289" t="s">
        <v>99</v>
      </c>
      <c r="B3372" s="289" t="s">
        <v>90</v>
      </c>
      <c r="C3372" s="289" t="s">
        <v>203</v>
      </c>
      <c r="D3372" s="289" t="s">
        <v>163</v>
      </c>
      <c r="E3372" s="289" t="s">
        <v>197</v>
      </c>
      <c r="F3372" s="289" t="s">
        <v>198</v>
      </c>
      <c r="G3372" s="1541" t="s">
        <v>242</v>
      </c>
      <c r="H3372" s="1541" t="s">
        <v>176</v>
      </c>
    </row>
    <row r="3373" spans="1:14">
      <c r="A3373" s="1400" t="s">
        <v>4316</v>
      </c>
      <c r="B3373" s="300"/>
      <c r="C3373" s="41"/>
      <c r="D3373" s="296"/>
      <c r="E3373" s="297"/>
      <c r="F3373" s="296"/>
      <c r="G3373" s="44" t="s">
        <v>8</v>
      </c>
      <c r="H3373" s="1694"/>
    </row>
    <row r="3374" spans="1:14">
      <c r="A3374" s="1400" t="s">
        <v>4324</v>
      </c>
      <c r="B3374" s="1689">
        <v>92</v>
      </c>
      <c r="C3374" s="41" t="s">
        <v>25</v>
      </c>
      <c r="D3374" s="296">
        <v>13.7</v>
      </c>
      <c r="E3374" s="297">
        <v>1</v>
      </c>
      <c r="F3374" s="328">
        <f t="shared" ref="F3374:F3385" si="62">D3374*E3374</f>
        <v>13.7</v>
      </c>
      <c r="G3374" s="1181">
        <v>45.68</v>
      </c>
      <c r="H3374" s="1674" t="s">
        <v>4333</v>
      </c>
    </row>
    <row r="3375" spans="1:14">
      <c r="A3375" s="1400" t="s">
        <v>4327</v>
      </c>
      <c r="B3375" s="1689">
        <v>92</v>
      </c>
      <c r="C3375" s="41" t="s">
        <v>25</v>
      </c>
      <c r="D3375" s="296">
        <v>13.7</v>
      </c>
      <c r="E3375" s="297">
        <v>1</v>
      </c>
      <c r="F3375" s="328">
        <f t="shared" si="62"/>
        <v>13.7</v>
      </c>
      <c r="G3375" s="1181">
        <v>57.6</v>
      </c>
      <c r="H3375" s="1674" t="s">
        <v>4333</v>
      </c>
    </row>
    <row r="3376" spans="1:14">
      <c r="A3376" s="1400" t="s">
        <v>4326</v>
      </c>
      <c r="B3376" s="1689">
        <v>92</v>
      </c>
      <c r="C3376" s="41" t="s">
        <v>25</v>
      </c>
      <c r="D3376" s="296">
        <v>13.7</v>
      </c>
      <c r="E3376" s="297">
        <v>1</v>
      </c>
      <c r="F3376" s="328">
        <f t="shared" si="62"/>
        <v>13.7</v>
      </c>
      <c r="G3376" s="1697">
        <v>69.650000000000006</v>
      </c>
      <c r="H3376" s="1674" t="s">
        <v>4335</v>
      </c>
    </row>
    <row r="3377" spans="1:8">
      <c r="A3377" s="1400" t="s">
        <v>4325</v>
      </c>
      <c r="B3377" s="1689">
        <v>92</v>
      </c>
      <c r="C3377" s="41" t="s">
        <v>25</v>
      </c>
      <c r="D3377" s="296">
        <v>13.7</v>
      </c>
      <c r="E3377" s="297">
        <v>1</v>
      </c>
      <c r="F3377" s="328">
        <f t="shared" si="62"/>
        <v>13.7</v>
      </c>
      <c r="G3377" s="1697">
        <v>72.33</v>
      </c>
      <c r="H3377" s="1674" t="s">
        <v>4335</v>
      </c>
    </row>
    <row r="3378" spans="1:8">
      <c r="A3378" s="1400" t="s">
        <v>4320</v>
      </c>
      <c r="B3378" s="1689">
        <v>92</v>
      </c>
      <c r="C3378" s="41" t="s">
        <v>25</v>
      </c>
      <c r="D3378" s="296">
        <v>8</v>
      </c>
      <c r="E3378" s="297">
        <v>1</v>
      </c>
      <c r="F3378" s="298">
        <f t="shared" si="62"/>
        <v>8</v>
      </c>
      <c r="G3378" s="1181">
        <v>36.43</v>
      </c>
      <c r="H3378" s="1695" t="s">
        <v>4334</v>
      </c>
    </row>
    <row r="3379" spans="1:8">
      <c r="A3379" s="1400" t="s">
        <v>4319</v>
      </c>
      <c r="B3379" s="1689">
        <v>92</v>
      </c>
      <c r="C3379" s="41" t="s">
        <v>25</v>
      </c>
      <c r="D3379" s="296">
        <v>9</v>
      </c>
      <c r="E3379" s="297">
        <v>1</v>
      </c>
      <c r="F3379" s="298">
        <f t="shared" si="62"/>
        <v>9</v>
      </c>
      <c r="G3379" s="1181">
        <v>32.42</v>
      </c>
      <c r="H3379" s="1696" t="s">
        <v>4334</v>
      </c>
    </row>
    <row r="3380" spans="1:8">
      <c r="A3380" s="1400" t="s">
        <v>4318</v>
      </c>
      <c r="B3380" s="1689">
        <v>92</v>
      </c>
      <c r="C3380" s="41" t="s">
        <v>25</v>
      </c>
      <c r="D3380" s="296">
        <v>5</v>
      </c>
      <c r="E3380" s="297">
        <v>1</v>
      </c>
      <c r="F3380" s="298">
        <f t="shared" si="62"/>
        <v>5</v>
      </c>
      <c r="G3380" s="1181">
        <v>32.590000000000003</v>
      </c>
      <c r="H3380" s="1696" t="s">
        <v>4334</v>
      </c>
    </row>
    <row r="3381" spans="1:8">
      <c r="A3381" s="1400" t="s">
        <v>4321</v>
      </c>
      <c r="B3381" s="1689">
        <v>92</v>
      </c>
      <c r="C3381" s="41" t="s">
        <v>25</v>
      </c>
      <c r="D3381" s="296">
        <v>13.7</v>
      </c>
      <c r="E3381" s="297">
        <v>1</v>
      </c>
      <c r="F3381" s="328">
        <f t="shared" si="62"/>
        <v>13.7</v>
      </c>
      <c r="G3381" s="1181">
        <v>25.59</v>
      </c>
      <c r="H3381" s="1674" t="s">
        <v>4333</v>
      </c>
    </row>
    <row r="3382" spans="1:8">
      <c r="A3382" s="1400" t="s">
        <v>4322</v>
      </c>
      <c r="B3382" s="1689">
        <v>92</v>
      </c>
      <c r="C3382" s="41" t="s">
        <v>25</v>
      </c>
      <c r="D3382" s="296">
        <v>2</v>
      </c>
      <c r="E3382" s="297">
        <v>1</v>
      </c>
      <c r="F3382" s="298">
        <f t="shared" si="62"/>
        <v>2</v>
      </c>
      <c r="G3382" s="1181">
        <v>44.2</v>
      </c>
      <c r="H3382" s="1696" t="s">
        <v>4334</v>
      </c>
    </row>
    <row r="3383" spans="1:8">
      <c r="A3383" s="1400" t="s">
        <v>4322</v>
      </c>
      <c r="B3383" s="1689">
        <v>92</v>
      </c>
      <c r="C3383" s="41" t="s">
        <v>25</v>
      </c>
      <c r="D3383" s="296">
        <v>13.7</v>
      </c>
      <c r="E3383" s="297">
        <v>1</v>
      </c>
      <c r="F3383" s="328">
        <f t="shared" si="62"/>
        <v>13.7</v>
      </c>
      <c r="G3383" s="1181">
        <v>66.3</v>
      </c>
      <c r="H3383" s="1674" t="s">
        <v>4333</v>
      </c>
    </row>
    <row r="3384" spans="1:8">
      <c r="A3384" s="1400" t="s">
        <v>4323</v>
      </c>
      <c r="B3384" s="1689">
        <v>92</v>
      </c>
      <c r="C3384" s="41" t="s">
        <v>25</v>
      </c>
      <c r="D3384" s="296">
        <v>5</v>
      </c>
      <c r="E3384" s="297">
        <v>1</v>
      </c>
      <c r="F3384" s="298">
        <f t="shared" si="62"/>
        <v>5</v>
      </c>
      <c r="G3384" s="1181">
        <v>43.67</v>
      </c>
      <c r="H3384" s="1696" t="s">
        <v>4334</v>
      </c>
    </row>
    <row r="3385" spans="1:8">
      <c r="A3385" s="1400" t="s">
        <v>4323</v>
      </c>
      <c r="B3385" s="1689">
        <v>92</v>
      </c>
      <c r="C3385" s="41" t="s">
        <v>25</v>
      </c>
      <c r="D3385" s="296">
        <v>13.7</v>
      </c>
      <c r="E3385" s="297">
        <v>1</v>
      </c>
      <c r="F3385" s="328">
        <f t="shared" si="62"/>
        <v>13.7</v>
      </c>
      <c r="G3385" s="1181">
        <v>65.510000000000005</v>
      </c>
      <c r="H3385" s="1674" t="s">
        <v>4333</v>
      </c>
    </row>
    <row r="3389" spans="1:8">
      <c r="A3389" s="289" t="s">
        <v>99</v>
      </c>
      <c r="B3389" s="289" t="s">
        <v>4300</v>
      </c>
      <c r="C3389" s="289" t="s">
        <v>4336</v>
      </c>
      <c r="D3389" s="1606" t="s">
        <v>4303</v>
      </c>
    </row>
    <row r="3390" spans="1:8">
      <c r="A3390" s="1400" t="s">
        <v>4299</v>
      </c>
      <c r="B3390" s="41" t="s">
        <v>4300</v>
      </c>
      <c r="C3390" s="292">
        <v>1</v>
      </c>
      <c r="D3390" s="1181">
        <v>50</v>
      </c>
    </row>
    <row r="3391" spans="1:8">
      <c r="A3391" s="1400" t="s">
        <v>4301</v>
      </c>
      <c r="B3391" s="41" t="s">
        <v>4300</v>
      </c>
      <c r="C3391" s="292">
        <v>1</v>
      </c>
      <c r="D3391" s="1181">
        <v>100</v>
      </c>
    </row>
    <row r="3392" spans="1:8">
      <c r="A3392" s="1400" t="s">
        <v>4302</v>
      </c>
      <c r="B3392" s="41" t="s">
        <v>4300</v>
      </c>
      <c r="C3392" s="292">
        <v>1</v>
      </c>
      <c r="D3392" s="1181">
        <v>120</v>
      </c>
    </row>
    <row r="3393" spans="1:117">
      <c r="A3393" s="1400" t="s">
        <v>4337</v>
      </c>
      <c r="B3393" s="41" t="s">
        <v>4300</v>
      </c>
      <c r="C3393" s="292">
        <v>1</v>
      </c>
      <c r="D3393" s="1181">
        <v>500</v>
      </c>
    </row>
    <row r="3394" spans="1:117">
      <c r="A3394" s="1400"/>
      <c r="B3394" s="41" t="s">
        <v>4300</v>
      </c>
      <c r="C3394" s="292">
        <v>1</v>
      </c>
      <c r="D3394" s="1181">
        <v>0</v>
      </c>
    </row>
    <row r="3397" spans="1:117" s="353" customFormat="1" ht="15.75">
      <c r="A3397" s="1407" t="s">
        <v>171</v>
      </c>
      <c r="B3397" s="1470" t="s">
        <v>2</v>
      </c>
      <c r="C3397" s="1471" t="s">
        <v>204</v>
      </c>
      <c r="D3397" s="1541" t="s">
        <v>242</v>
      </c>
      <c r="E3397" s="1676" t="s">
        <v>4313</v>
      </c>
      <c r="F3397" s="1677" t="s">
        <v>4285</v>
      </c>
      <c r="G3397" s="1677" t="s">
        <v>4286</v>
      </c>
    </row>
    <row r="3398" spans="1:117" s="49" customFormat="1" ht="15" customHeight="1">
      <c r="A3398" s="355" t="s">
        <v>4340</v>
      </c>
      <c r="B3398" s="356">
        <v>30</v>
      </c>
      <c r="C3398" s="357" t="s">
        <v>4338</v>
      </c>
      <c r="D3398" s="1181">
        <v>0.14000000000000001</v>
      </c>
      <c r="E3398" s="1698">
        <v>8.8000000000000007</v>
      </c>
      <c r="F3398" s="1666">
        <f>(((D3398*G3398)-E3398)/(D3398*G3398))</f>
        <v>0.49714285714285711</v>
      </c>
      <c r="G3398" s="1667">
        <v>125</v>
      </c>
      <c r="H3398" s="1229"/>
      <c r="I3398" s="1229"/>
      <c r="J3398" s="1229"/>
      <c r="K3398" s="1229"/>
      <c r="L3398" s="1229"/>
      <c r="M3398" s="1229"/>
      <c r="N3398" s="1229"/>
      <c r="O3398" s="1229"/>
      <c r="P3398" s="1229"/>
      <c r="Q3398" s="1229"/>
      <c r="R3398" s="1229"/>
      <c r="S3398" s="1229"/>
      <c r="T3398" s="1229"/>
      <c r="U3398" s="1229"/>
      <c r="V3398" s="1229"/>
      <c r="W3398" s="1229"/>
      <c r="X3398" s="1229"/>
      <c r="Y3398" s="1229"/>
      <c r="Z3398" s="1229"/>
      <c r="AA3398" s="1229"/>
      <c r="AB3398" s="1229"/>
      <c r="AC3398" s="1229"/>
      <c r="AD3398" s="1229"/>
      <c r="AE3398" s="1229"/>
      <c r="AF3398" s="1229"/>
      <c r="AG3398" s="1229"/>
      <c r="AH3398" s="1229"/>
      <c r="AI3398" s="1229"/>
      <c r="AJ3398" s="1229"/>
      <c r="AK3398" s="1229"/>
      <c r="AL3398" s="1229"/>
      <c r="AM3398" s="1229"/>
      <c r="AN3398" s="1229"/>
      <c r="AO3398" s="1229"/>
      <c r="AP3398" s="1229"/>
      <c r="AQ3398" s="1229"/>
      <c r="AR3398" s="1229"/>
      <c r="AS3398" s="1229"/>
      <c r="AT3398" s="1229"/>
      <c r="AU3398" s="1229"/>
      <c r="AV3398" s="1229"/>
      <c r="AW3398" s="1229"/>
      <c r="AX3398" s="1229"/>
      <c r="AY3398" s="1229"/>
      <c r="AZ3398" s="1229"/>
      <c r="BA3398" s="1229"/>
      <c r="BB3398" s="1229"/>
      <c r="BC3398" s="1229"/>
      <c r="BD3398" s="1229"/>
      <c r="BE3398" s="1229"/>
      <c r="BF3398" s="1229"/>
      <c r="BG3398" s="1229"/>
      <c r="BH3398" s="1229"/>
      <c r="BI3398" s="1229"/>
      <c r="BJ3398" s="1229"/>
      <c r="BK3398" s="1229"/>
      <c r="BL3398" s="1229"/>
      <c r="BM3398" s="1229"/>
      <c r="BN3398" s="1229"/>
      <c r="BO3398" s="1229"/>
      <c r="BP3398" s="1229"/>
      <c r="BQ3398" s="1229"/>
      <c r="BR3398" s="1229"/>
      <c r="BS3398" s="1229"/>
      <c r="BT3398" s="1229"/>
      <c r="BU3398" s="1229"/>
      <c r="BV3398" s="1229"/>
      <c r="BW3398" s="1229"/>
      <c r="BX3398" s="1229"/>
      <c r="BY3398" s="1229"/>
      <c r="BZ3398" s="1229"/>
      <c r="CA3398" s="1229"/>
      <c r="CB3398" s="1229"/>
      <c r="CC3398" s="1229"/>
      <c r="CD3398" s="1229"/>
      <c r="CE3398" s="1229"/>
      <c r="CF3398" s="1229"/>
      <c r="CG3398" s="1229"/>
      <c r="CH3398" s="1229"/>
      <c r="CI3398" s="1229"/>
      <c r="CJ3398" s="1229"/>
      <c r="CK3398" s="1229"/>
      <c r="CL3398" s="1229"/>
      <c r="CM3398" s="1229"/>
      <c r="CN3398" s="1229"/>
      <c r="CO3398" s="1229"/>
      <c r="CP3398" s="1229"/>
      <c r="CQ3398" s="1229"/>
      <c r="CR3398" s="1229"/>
      <c r="CS3398" s="1229"/>
      <c r="CT3398" s="1229"/>
      <c r="CU3398" s="1229"/>
      <c r="CV3398" s="1229"/>
      <c r="CW3398" s="1229"/>
      <c r="CX3398" s="1229"/>
      <c r="CY3398" s="1229"/>
      <c r="CZ3398" s="1229"/>
      <c r="DA3398" s="1229"/>
      <c r="DB3398" s="1229"/>
      <c r="DC3398" s="1229"/>
      <c r="DD3398" s="1229"/>
      <c r="DE3398" s="1229"/>
      <c r="DF3398" s="1229"/>
      <c r="DG3398" s="1229"/>
      <c r="DH3398" s="1229"/>
      <c r="DI3398" s="1229"/>
      <c r="DJ3398" s="1229"/>
      <c r="DK3398" s="1229"/>
      <c r="DL3398" s="1229"/>
      <c r="DM3398" s="1229"/>
    </row>
    <row r="3399" spans="1:117" s="49" customFormat="1" ht="15" customHeight="1">
      <c r="A3399" s="355" t="s">
        <v>4339</v>
      </c>
      <c r="B3399" s="356">
        <v>30</v>
      </c>
      <c r="C3399" s="357" t="s">
        <v>4338</v>
      </c>
      <c r="D3399" s="1181">
        <v>0.2</v>
      </c>
      <c r="E3399" s="1698">
        <v>13.2</v>
      </c>
      <c r="F3399" s="1666">
        <f>(((D3399*G3399)-E3399)/(D3399*G3399))</f>
        <v>0.47200000000000003</v>
      </c>
      <c r="G3399" s="1667">
        <v>125</v>
      </c>
      <c r="H3399" s="1229"/>
      <c r="I3399" s="1229"/>
      <c r="J3399" s="1229"/>
      <c r="K3399" s="1229"/>
      <c r="L3399" s="1229"/>
      <c r="M3399" s="1229"/>
      <c r="N3399" s="1229"/>
      <c r="O3399" s="1229"/>
      <c r="P3399" s="1229"/>
      <c r="Q3399" s="1229"/>
      <c r="R3399" s="1229"/>
      <c r="S3399" s="1229"/>
      <c r="T3399" s="1229"/>
      <c r="U3399" s="1229"/>
      <c r="V3399" s="1229"/>
      <c r="W3399" s="1229"/>
      <c r="X3399" s="1229"/>
      <c r="Y3399" s="1229"/>
      <c r="Z3399" s="1229"/>
      <c r="AA3399" s="1229"/>
      <c r="AB3399" s="1229"/>
      <c r="AC3399" s="1229"/>
      <c r="AD3399" s="1229"/>
      <c r="AE3399" s="1229"/>
      <c r="AF3399" s="1229"/>
      <c r="AG3399" s="1229"/>
      <c r="AH3399" s="1229"/>
      <c r="AI3399" s="1229"/>
      <c r="AJ3399" s="1229"/>
      <c r="AK3399" s="1229"/>
      <c r="AL3399" s="1229"/>
      <c r="AM3399" s="1229"/>
      <c r="AN3399" s="1229"/>
      <c r="AO3399" s="1229"/>
      <c r="AP3399" s="1229"/>
      <c r="AQ3399" s="1229"/>
      <c r="AR3399" s="1229"/>
      <c r="AS3399" s="1229"/>
      <c r="AT3399" s="1229"/>
      <c r="AU3399" s="1229"/>
      <c r="AV3399" s="1229"/>
      <c r="AW3399" s="1229"/>
      <c r="AX3399" s="1229"/>
      <c r="AY3399" s="1229"/>
      <c r="AZ3399" s="1229"/>
      <c r="BA3399" s="1229"/>
      <c r="BB3399" s="1229"/>
      <c r="BC3399" s="1229"/>
      <c r="BD3399" s="1229"/>
      <c r="BE3399" s="1229"/>
      <c r="BF3399" s="1229"/>
      <c r="BG3399" s="1229"/>
      <c r="BH3399" s="1229"/>
      <c r="BI3399" s="1229"/>
      <c r="BJ3399" s="1229"/>
      <c r="BK3399" s="1229"/>
      <c r="BL3399" s="1229"/>
      <c r="BM3399" s="1229"/>
      <c r="BN3399" s="1229"/>
      <c r="BO3399" s="1229"/>
      <c r="BP3399" s="1229"/>
      <c r="BQ3399" s="1229"/>
      <c r="BR3399" s="1229"/>
      <c r="BS3399" s="1229"/>
      <c r="BT3399" s="1229"/>
      <c r="BU3399" s="1229"/>
      <c r="BV3399" s="1229"/>
      <c r="BW3399" s="1229"/>
      <c r="BX3399" s="1229"/>
      <c r="BY3399" s="1229"/>
      <c r="BZ3399" s="1229"/>
      <c r="CA3399" s="1229"/>
      <c r="CB3399" s="1229"/>
      <c r="CC3399" s="1229"/>
      <c r="CD3399" s="1229"/>
      <c r="CE3399" s="1229"/>
      <c r="CF3399" s="1229"/>
      <c r="CG3399" s="1229"/>
      <c r="CH3399" s="1229"/>
      <c r="CI3399" s="1229"/>
      <c r="CJ3399" s="1229"/>
      <c r="CK3399" s="1229"/>
      <c r="CL3399" s="1229"/>
      <c r="CM3399" s="1229"/>
      <c r="CN3399" s="1229"/>
      <c r="CO3399" s="1229"/>
      <c r="CP3399" s="1229"/>
      <c r="CQ3399" s="1229"/>
      <c r="CR3399" s="1229"/>
      <c r="CS3399" s="1229"/>
      <c r="CT3399" s="1229"/>
      <c r="CU3399" s="1229"/>
      <c r="CV3399" s="1229"/>
      <c r="CW3399" s="1229"/>
      <c r="CX3399" s="1229"/>
      <c r="CY3399" s="1229"/>
      <c r="CZ3399" s="1229"/>
      <c r="DA3399" s="1229"/>
      <c r="DB3399" s="1229"/>
      <c r="DC3399" s="1229"/>
      <c r="DD3399" s="1229"/>
      <c r="DE3399" s="1229"/>
      <c r="DF3399" s="1229"/>
      <c r="DG3399" s="1229"/>
      <c r="DH3399" s="1229"/>
      <c r="DI3399" s="1229"/>
      <c r="DJ3399" s="1229"/>
      <c r="DK3399" s="1229"/>
      <c r="DL3399" s="1229"/>
      <c r="DM3399" s="1229"/>
    </row>
    <row r="3403" spans="1:117">
      <c r="A3403" s="1407" t="s">
        <v>171</v>
      </c>
      <c r="B3403" s="289" t="s">
        <v>18</v>
      </c>
      <c r="C3403" s="1541" t="s">
        <v>242</v>
      </c>
      <c r="D3403" s="1541" t="s">
        <v>301</v>
      </c>
      <c r="E3403" s="1699" t="s">
        <v>4341</v>
      </c>
      <c r="F3403" s="1699" t="s">
        <v>4342</v>
      </c>
      <c r="G3403" s="1701" t="s">
        <v>4285</v>
      </c>
      <c r="H3403" s="1701" t="s">
        <v>4286</v>
      </c>
    </row>
    <row r="3404" spans="1:117">
      <c r="A3404" s="1400" t="s">
        <v>4324</v>
      </c>
      <c r="B3404" s="328">
        <v>13.7</v>
      </c>
      <c r="C3404" s="1181">
        <v>45.68</v>
      </c>
      <c r="D3404" s="1276">
        <v>625.81599999999992</v>
      </c>
      <c r="E3404" s="41">
        <f>3410*1.5</f>
        <v>5115</v>
      </c>
      <c r="F3404" s="41">
        <f t="shared" ref="F3404:F3415" si="63">E3404*B3404</f>
        <v>70075.5</v>
      </c>
      <c r="G3404" s="1702">
        <f t="shared" ref="G3404:G3416" si="64">(((D3404*H3404)-F3404)/(D3404*H3404))</f>
        <v>0.20018138603952956</v>
      </c>
      <c r="H3404" s="1703">
        <v>140</v>
      </c>
    </row>
    <row r="3405" spans="1:117">
      <c r="A3405" s="1400" t="s">
        <v>4327</v>
      </c>
      <c r="B3405" s="328">
        <v>13.7</v>
      </c>
      <c r="C3405" s="1181">
        <v>57.6</v>
      </c>
      <c r="D3405" s="1276">
        <v>789.12</v>
      </c>
      <c r="E3405" s="41">
        <f>4300*1.5</f>
        <v>6450</v>
      </c>
      <c r="F3405" s="41">
        <f t="shared" si="63"/>
        <v>88365</v>
      </c>
      <c r="G3405" s="1702">
        <f t="shared" si="64"/>
        <v>0.20014880952380953</v>
      </c>
      <c r="H3405" s="1703">
        <v>140</v>
      </c>
    </row>
    <row r="3406" spans="1:117">
      <c r="A3406" s="1400" t="s">
        <v>4326</v>
      </c>
      <c r="B3406" s="328">
        <v>13.7</v>
      </c>
      <c r="C3406" s="1181">
        <v>69.650000000000006</v>
      </c>
      <c r="D3406" s="1276">
        <v>954.20500000000004</v>
      </c>
      <c r="E3406" s="41">
        <f>5200*1.5</f>
        <v>7800</v>
      </c>
      <c r="F3406" s="41">
        <f t="shared" si="63"/>
        <v>106860</v>
      </c>
      <c r="G3406" s="1702">
        <f t="shared" si="64"/>
        <v>0.20008204286739828</v>
      </c>
      <c r="H3406" s="1703">
        <v>140</v>
      </c>
    </row>
    <row r="3407" spans="1:117">
      <c r="A3407" s="1400" t="s">
        <v>4325</v>
      </c>
      <c r="B3407" s="328">
        <v>13.7</v>
      </c>
      <c r="C3407" s="1181">
        <v>72.33</v>
      </c>
      <c r="D3407" s="1276">
        <v>990.92099999999994</v>
      </c>
      <c r="E3407" s="41">
        <f>5400*1.5</f>
        <v>8100</v>
      </c>
      <c r="F3407" s="41">
        <f t="shared" si="63"/>
        <v>110970</v>
      </c>
      <c r="G3407" s="1702">
        <f t="shared" si="64"/>
        <v>0.20009480357883511</v>
      </c>
      <c r="H3407" s="1703">
        <v>140</v>
      </c>
    </row>
    <row r="3408" spans="1:117">
      <c r="A3408" s="1400" t="s">
        <v>4320</v>
      </c>
      <c r="B3408" s="298">
        <v>8</v>
      </c>
      <c r="C3408" s="1181">
        <v>36.43</v>
      </c>
      <c r="D3408" s="1276">
        <v>291.44</v>
      </c>
      <c r="E3408" s="41">
        <f>4080</f>
        <v>4080</v>
      </c>
      <c r="F3408" s="41">
        <f t="shared" si="63"/>
        <v>32640</v>
      </c>
      <c r="G3408" s="1702">
        <f t="shared" si="64"/>
        <v>0.20003137131877177</v>
      </c>
      <c r="H3408" s="1703">
        <v>140</v>
      </c>
    </row>
    <row r="3409" spans="1:8">
      <c r="A3409" s="1400" t="s">
        <v>4319</v>
      </c>
      <c r="B3409" s="298">
        <v>9</v>
      </c>
      <c r="C3409" s="1181">
        <v>32.42</v>
      </c>
      <c r="D3409" s="1276">
        <v>291.78000000000003</v>
      </c>
      <c r="E3409" s="41">
        <f>3630</f>
        <v>3630</v>
      </c>
      <c r="F3409" s="41">
        <f t="shared" si="63"/>
        <v>32670</v>
      </c>
      <c r="G3409" s="1702">
        <f t="shared" si="64"/>
        <v>0.20022913545430518</v>
      </c>
      <c r="H3409" s="1703">
        <v>140</v>
      </c>
    </row>
    <row r="3410" spans="1:8">
      <c r="A3410" s="1400" t="s">
        <v>4318</v>
      </c>
      <c r="B3410" s="298">
        <v>5</v>
      </c>
      <c r="C3410" s="1181">
        <v>32.590000000000003</v>
      </c>
      <c r="D3410" s="1276">
        <v>162.95000000000002</v>
      </c>
      <c r="E3410" s="41">
        <f>3650</f>
        <v>3650</v>
      </c>
      <c r="F3410" s="41">
        <f t="shared" si="63"/>
        <v>18250</v>
      </c>
      <c r="G3410" s="1702">
        <f t="shared" si="64"/>
        <v>0.20001753386227164</v>
      </c>
      <c r="H3410" s="1703">
        <v>140</v>
      </c>
    </row>
    <row r="3411" spans="1:8">
      <c r="A3411" s="1400" t="s">
        <v>4321</v>
      </c>
      <c r="B3411" s="328">
        <v>13.7</v>
      </c>
      <c r="C3411" s="1181">
        <v>25.59</v>
      </c>
      <c r="D3411" s="1276">
        <v>350.58299999999997</v>
      </c>
      <c r="E3411" s="41">
        <f>1910*1.5</f>
        <v>2865</v>
      </c>
      <c r="F3411" s="41">
        <f t="shared" si="63"/>
        <v>39250.5</v>
      </c>
      <c r="G3411" s="1702">
        <f t="shared" si="64"/>
        <v>0.20030145704237137</v>
      </c>
      <c r="H3411" s="1703">
        <v>140</v>
      </c>
    </row>
    <row r="3412" spans="1:8">
      <c r="A3412" s="1400" t="s">
        <v>4322</v>
      </c>
      <c r="B3412" s="298">
        <v>2</v>
      </c>
      <c r="C3412" s="1181">
        <v>44.2</v>
      </c>
      <c r="D3412" s="1276">
        <v>88.4</v>
      </c>
      <c r="E3412" s="41">
        <f>4950</f>
        <v>4950</v>
      </c>
      <c r="F3412" s="41">
        <f t="shared" si="63"/>
        <v>9900</v>
      </c>
      <c r="G3412" s="1702">
        <f t="shared" si="64"/>
        <v>0.20006464124111184</v>
      </c>
      <c r="H3412" s="1703">
        <v>140</v>
      </c>
    </row>
    <row r="3413" spans="1:8">
      <c r="A3413" s="1400" t="s">
        <v>4322</v>
      </c>
      <c r="B3413" s="328">
        <v>13.7</v>
      </c>
      <c r="C3413" s="1181">
        <v>66.3</v>
      </c>
      <c r="D3413" s="1276">
        <v>908.31</v>
      </c>
      <c r="E3413" s="41">
        <f>4950*1.5</f>
        <v>7425</v>
      </c>
      <c r="F3413" s="41">
        <f t="shared" si="63"/>
        <v>101722.5</v>
      </c>
      <c r="G3413" s="1702">
        <f t="shared" si="64"/>
        <v>0.20006464124111178</v>
      </c>
      <c r="H3413" s="1703">
        <v>140</v>
      </c>
    </row>
    <row r="3414" spans="1:8">
      <c r="A3414" s="1400" t="s">
        <v>4323</v>
      </c>
      <c r="B3414" s="298">
        <v>5</v>
      </c>
      <c r="C3414" s="1181">
        <v>43.67</v>
      </c>
      <c r="D3414" s="1276">
        <v>218.35000000000002</v>
      </c>
      <c r="E3414" s="41">
        <f>4890</f>
        <v>4890</v>
      </c>
      <c r="F3414" s="41">
        <f t="shared" si="63"/>
        <v>24450</v>
      </c>
      <c r="G3414" s="1702">
        <f t="shared" si="64"/>
        <v>0.20017010697111462</v>
      </c>
      <c r="H3414" s="1703">
        <v>140</v>
      </c>
    </row>
    <row r="3415" spans="1:8">
      <c r="A3415" s="1400" t="s">
        <v>4323</v>
      </c>
      <c r="B3415" s="328">
        <v>13.7</v>
      </c>
      <c r="C3415" s="1181">
        <v>65.510000000000005</v>
      </c>
      <c r="D3415" s="1276">
        <v>897.48700000000008</v>
      </c>
      <c r="E3415" s="41">
        <f>4890*1.5</f>
        <v>7335</v>
      </c>
      <c r="F3415" s="41">
        <f t="shared" si="63"/>
        <v>100489.5</v>
      </c>
      <c r="G3415" s="1702">
        <f t="shared" si="64"/>
        <v>0.20023115336807909</v>
      </c>
      <c r="H3415" s="1703">
        <v>140</v>
      </c>
    </row>
    <row r="3416" spans="1:8">
      <c r="A3416" s="1400"/>
      <c r="B3416" s="328"/>
      <c r="C3416" s="1487" t="s">
        <v>4343</v>
      </c>
      <c r="D3416" s="1276">
        <f>SUM(D3404:D3415)</f>
        <v>6569.3620000000001</v>
      </c>
      <c r="E3416" s="41"/>
      <c r="F3416" s="1700">
        <f>SUM(F3404:F3415)</f>
        <v>735643</v>
      </c>
      <c r="G3416" s="1702">
        <f t="shared" si="64"/>
        <v>0.20013650379704195</v>
      </c>
      <c r="H3416" s="1703">
        <v>140</v>
      </c>
    </row>
    <row r="3419" spans="1:8">
      <c r="A3419" s="289" t="s">
        <v>99</v>
      </c>
      <c r="B3419" s="289" t="s">
        <v>16</v>
      </c>
      <c r="C3419" s="289" t="s">
        <v>203</v>
      </c>
      <c r="D3419" s="289" t="s">
        <v>163</v>
      </c>
      <c r="E3419" s="289" t="s">
        <v>197</v>
      </c>
      <c r="F3419" s="289" t="s">
        <v>198</v>
      </c>
      <c r="G3419" s="1541" t="s">
        <v>242</v>
      </c>
      <c r="H3419" s="1541" t="s">
        <v>3739</v>
      </c>
    </row>
    <row r="3420" spans="1:8">
      <c r="A3420" s="41">
        <v>4141</v>
      </c>
      <c r="B3420" s="1264">
        <v>9</v>
      </c>
      <c r="C3420" s="1674" t="s">
        <v>4129</v>
      </c>
      <c r="D3420" s="296">
        <v>20</v>
      </c>
      <c r="E3420" s="297">
        <v>7</v>
      </c>
      <c r="F3420" s="298">
        <f>D3420*E3420</f>
        <v>140</v>
      </c>
      <c r="G3420" s="1184">
        <v>1.33</v>
      </c>
      <c r="H3420" s="1184">
        <f>G3420*F3420</f>
        <v>186.20000000000002</v>
      </c>
    </row>
    <row r="3421" spans="1:8">
      <c r="A3421" s="41">
        <v>4141</v>
      </c>
      <c r="B3421" s="1264">
        <v>9</v>
      </c>
      <c r="C3421" s="1674" t="s">
        <v>4211</v>
      </c>
      <c r="D3421" s="296">
        <v>20</v>
      </c>
      <c r="E3421" s="297">
        <v>4</v>
      </c>
      <c r="F3421" s="298">
        <f>D3421*E3421</f>
        <v>80</v>
      </c>
      <c r="G3421" s="1184">
        <v>1.33</v>
      </c>
      <c r="H3421" s="1184">
        <f>G3421*F3421</f>
        <v>106.4</v>
      </c>
    </row>
    <row r="3422" spans="1:8">
      <c r="A3422" s="41"/>
      <c r="B3422" s="136"/>
      <c r="C3422" s="136" t="s">
        <v>4345</v>
      </c>
      <c r="D3422" s="292"/>
      <c r="E3422" s="297"/>
      <c r="F3422" s="292">
        <v>1</v>
      </c>
      <c r="G3422" s="1181">
        <v>270</v>
      </c>
      <c r="H3422" s="1184">
        <f>G3422*F3422</f>
        <v>270</v>
      </c>
    </row>
    <row r="3423" spans="1:8">
      <c r="A3423" s="41"/>
      <c r="B3423" s="136"/>
      <c r="C3423" s="136" t="s">
        <v>218</v>
      </c>
      <c r="D3423" s="292"/>
      <c r="E3423" s="297"/>
      <c r="F3423" s="292">
        <v>1</v>
      </c>
      <c r="G3423" s="1181">
        <v>12</v>
      </c>
      <c r="H3423" s="1184">
        <f>G3423*F3423</f>
        <v>12</v>
      </c>
    </row>
    <row r="3424" spans="1:8">
      <c r="A3424" s="41"/>
      <c r="B3424" s="136"/>
      <c r="C3424" s="136"/>
      <c r="D3424" s="292"/>
      <c r="E3424" s="297"/>
      <c r="F3424" s="292"/>
      <c r="G3424" s="1704" t="s">
        <v>4356</v>
      </c>
      <c r="H3424" s="1705">
        <f>SUM(H3420:H3423)</f>
        <v>574.6</v>
      </c>
    </row>
    <row r="3427" spans="1:12" s="290" customFormat="1" ht="12.75">
      <c r="A3427" s="289" t="s">
        <v>99</v>
      </c>
      <c r="B3427" s="289" t="s">
        <v>16</v>
      </c>
      <c r="C3427" s="289" t="s">
        <v>203</v>
      </c>
      <c r="D3427" s="289" t="s">
        <v>163</v>
      </c>
      <c r="E3427" s="289" t="s">
        <v>197</v>
      </c>
      <c r="F3427" s="289" t="s">
        <v>198</v>
      </c>
      <c r="G3427" s="1541" t="s">
        <v>242</v>
      </c>
    </row>
    <row r="3428" spans="1:12" s="290" customFormat="1" ht="12.75">
      <c r="A3428" s="41">
        <v>4141</v>
      </c>
      <c r="B3428" s="1264">
        <v>9</v>
      </c>
      <c r="C3428" s="1674" t="s">
        <v>227</v>
      </c>
      <c r="D3428" s="296">
        <v>20</v>
      </c>
      <c r="E3428" s="297">
        <v>13</v>
      </c>
      <c r="F3428" s="43">
        <f>D3428*E3428</f>
        <v>260</v>
      </c>
      <c r="G3428" s="1183">
        <v>1.33</v>
      </c>
    </row>
    <row r="3429" spans="1:12" s="290" customFormat="1" ht="12.75">
      <c r="A3429" s="41"/>
      <c r="B3429" s="136"/>
      <c r="C3429" s="136" t="s">
        <v>218</v>
      </c>
      <c r="D3429" s="292"/>
      <c r="E3429" s="297"/>
      <c r="F3429" s="292">
        <v>1</v>
      </c>
      <c r="G3429" s="1181">
        <v>12</v>
      </c>
    </row>
    <row r="3434" spans="1:12">
      <c r="A3434" t="s">
        <v>4359</v>
      </c>
    </row>
    <row r="3435" spans="1:12">
      <c r="A3435" s="289" t="s">
        <v>99</v>
      </c>
      <c r="B3435" s="289" t="s">
        <v>4360</v>
      </c>
      <c r="C3435" s="289" t="s">
        <v>4361</v>
      </c>
      <c r="D3435" s="1541" t="s">
        <v>242</v>
      </c>
      <c r="E3435" s="1541" t="s">
        <v>3739</v>
      </c>
      <c r="F3435" s="1706" t="s">
        <v>4363</v>
      </c>
      <c r="G3435" s="1708" t="s">
        <v>4364</v>
      </c>
      <c r="H3435" s="1706" t="s">
        <v>4362</v>
      </c>
      <c r="I3435" s="1709" t="s">
        <v>4365</v>
      </c>
      <c r="J3435" s="1709" t="s">
        <v>4366</v>
      </c>
      <c r="K3435" s="1709" t="s">
        <v>4367</v>
      </c>
      <c r="L3435" s="1709" t="s">
        <v>4370</v>
      </c>
    </row>
    <row r="3436" spans="1:12" ht="15.75">
      <c r="A3436" s="18" t="s">
        <v>4324</v>
      </c>
      <c r="B3436" s="21" t="s">
        <v>25</v>
      </c>
      <c r="C3436" s="107">
        <v>109.6</v>
      </c>
      <c r="D3436" s="611">
        <v>30.45</v>
      </c>
      <c r="E3436" s="598">
        <f t="shared" ref="E3436:E3444" si="65">D3436*C3436</f>
        <v>3337.3199999999997</v>
      </c>
      <c r="F3436" s="1712">
        <f t="shared" ref="F3436:F3444" si="66">E3436*140</f>
        <v>467224.79999999993</v>
      </c>
      <c r="G3436" s="1713">
        <f t="shared" ref="G3436:G3444" si="67">210*140</f>
        <v>29400</v>
      </c>
      <c r="H3436" s="1707">
        <v>3410</v>
      </c>
      <c r="I3436" s="1713">
        <f t="shared" ref="I3436:I3444" si="68">H3436*C3436</f>
        <v>373736</v>
      </c>
      <c r="J3436" s="1713">
        <f t="shared" ref="J3436:J3444" si="69">F3436*0.05</f>
        <v>23361.239999999998</v>
      </c>
      <c r="K3436" s="1714">
        <f t="shared" ref="K3436:K3444" si="70">F3436-G3436-I3436-J3436</f>
        <v>40727.559999999932</v>
      </c>
      <c r="L3436" s="1715">
        <f t="shared" ref="L3436:L3444" si="71">K3436/F3436</f>
        <v>8.7169088627144661E-2</v>
      </c>
    </row>
    <row r="3437" spans="1:12" ht="15.75">
      <c r="A3437" s="18" t="s">
        <v>4327</v>
      </c>
      <c r="B3437" s="21" t="s">
        <v>25</v>
      </c>
      <c r="C3437" s="107">
        <v>109.6</v>
      </c>
      <c r="D3437" s="611">
        <v>38.4</v>
      </c>
      <c r="E3437" s="598">
        <f t="shared" si="65"/>
        <v>4208.6399999999994</v>
      </c>
      <c r="F3437" s="1712">
        <f t="shared" si="66"/>
        <v>589209.59999999986</v>
      </c>
      <c r="G3437" s="1713">
        <f t="shared" si="67"/>
        <v>29400</v>
      </c>
      <c r="H3437" s="1707">
        <v>4300</v>
      </c>
      <c r="I3437" s="1713">
        <f t="shared" si="68"/>
        <v>471280</v>
      </c>
      <c r="J3437" s="1713">
        <f t="shared" si="69"/>
        <v>29460.479999999996</v>
      </c>
      <c r="K3437" s="1714">
        <f t="shared" si="70"/>
        <v>59069.119999999864</v>
      </c>
      <c r="L3437" s="1715">
        <f t="shared" si="71"/>
        <v>0.10025145550921077</v>
      </c>
    </row>
    <row r="3438" spans="1:12" ht="15.75">
      <c r="A3438" s="18" t="s">
        <v>4326</v>
      </c>
      <c r="B3438" s="21" t="s">
        <v>25</v>
      </c>
      <c r="C3438" s="107">
        <v>109.6</v>
      </c>
      <c r="D3438" s="611">
        <v>46.43</v>
      </c>
      <c r="E3438" s="598">
        <f t="shared" si="65"/>
        <v>5088.7280000000001</v>
      </c>
      <c r="F3438" s="1712">
        <f t="shared" si="66"/>
        <v>712421.92</v>
      </c>
      <c r="G3438" s="1713">
        <f t="shared" si="67"/>
        <v>29400</v>
      </c>
      <c r="H3438" s="1707">
        <v>5200</v>
      </c>
      <c r="I3438" s="1713">
        <f t="shared" si="68"/>
        <v>569920</v>
      </c>
      <c r="J3438" s="1713">
        <f t="shared" si="69"/>
        <v>35621.096000000005</v>
      </c>
      <c r="K3438" s="1714">
        <f t="shared" si="70"/>
        <v>77480.824000000037</v>
      </c>
      <c r="L3438" s="1715">
        <f t="shared" si="71"/>
        <v>0.10875693437394519</v>
      </c>
    </row>
    <row r="3439" spans="1:12" ht="15.75">
      <c r="A3439" s="18" t="s">
        <v>4325</v>
      </c>
      <c r="B3439" s="21" t="s">
        <v>25</v>
      </c>
      <c r="C3439" s="107">
        <v>109.6</v>
      </c>
      <c r="D3439" s="611">
        <v>48.22</v>
      </c>
      <c r="E3439" s="598">
        <f t="shared" si="65"/>
        <v>5284.9119999999994</v>
      </c>
      <c r="F3439" s="1712">
        <f t="shared" si="66"/>
        <v>739887.67999999993</v>
      </c>
      <c r="G3439" s="1713">
        <f t="shared" si="67"/>
        <v>29400</v>
      </c>
      <c r="H3439" s="1707">
        <v>5400</v>
      </c>
      <c r="I3439" s="1713">
        <f t="shared" si="68"/>
        <v>591840</v>
      </c>
      <c r="J3439" s="1713">
        <f t="shared" si="69"/>
        <v>36994.383999999998</v>
      </c>
      <c r="K3439" s="1714">
        <f t="shared" si="70"/>
        <v>81653.295999999944</v>
      </c>
      <c r="L3439" s="1715">
        <f t="shared" si="71"/>
        <v>0.11035904260495316</v>
      </c>
    </row>
    <row r="3440" spans="1:12" ht="15.75">
      <c r="A3440" s="18" t="s">
        <v>4322</v>
      </c>
      <c r="B3440" s="21" t="s">
        <v>25</v>
      </c>
      <c r="C3440" s="107">
        <v>109.6</v>
      </c>
      <c r="D3440" s="611">
        <v>44.2</v>
      </c>
      <c r="E3440" s="598">
        <f t="shared" si="65"/>
        <v>4844.32</v>
      </c>
      <c r="F3440" s="1712">
        <f t="shared" si="66"/>
        <v>678204.79999999993</v>
      </c>
      <c r="G3440" s="1713">
        <f t="shared" si="67"/>
        <v>29400</v>
      </c>
      <c r="H3440" s="1707">
        <f>4950</f>
        <v>4950</v>
      </c>
      <c r="I3440" s="1713">
        <f t="shared" si="68"/>
        <v>542520</v>
      </c>
      <c r="J3440" s="1713">
        <f t="shared" si="69"/>
        <v>33910.239999999998</v>
      </c>
      <c r="K3440" s="1714">
        <f t="shared" si="70"/>
        <v>72374.559999999939</v>
      </c>
      <c r="L3440" s="1715">
        <f t="shared" si="71"/>
        <v>0.10671490381666415</v>
      </c>
    </row>
    <row r="3441" spans="1:12" ht="15.75">
      <c r="A3441" s="18" t="s">
        <v>4320</v>
      </c>
      <c r="B3441" s="21" t="s">
        <v>25</v>
      </c>
      <c r="C3441" s="107">
        <v>109.6</v>
      </c>
      <c r="D3441" s="611">
        <v>36.43</v>
      </c>
      <c r="E3441" s="598">
        <f t="shared" si="65"/>
        <v>3992.7279999999996</v>
      </c>
      <c r="F3441" s="1712">
        <f t="shared" si="66"/>
        <v>558981.91999999993</v>
      </c>
      <c r="G3441" s="1713">
        <f t="shared" si="67"/>
        <v>29400</v>
      </c>
      <c r="H3441" s="1707">
        <f>4080</f>
        <v>4080</v>
      </c>
      <c r="I3441" s="1713">
        <f t="shared" si="68"/>
        <v>447168</v>
      </c>
      <c r="J3441" s="1713">
        <f t="shared" si="69"/>
        <v>27949.095999999998</v>
      </c>
      <c r="K3441" s="1714">
        <f t="shared" si="70"/>
        <v>54464.823999999928</v>
      </c>
      <c r="L3441" s="1715">
        <f t="shared" si="71"/>
        <v>9.7435752483729585E-2</v>
      </c>
    </row>
    <row r="3442" spans="1:12" ht="15.75">
      <c r="A3442" s="18" t="s">
        <v>4323</v>
      </c>
      <c r="B3442" s="21" t="s">
        <v>25</v>
      </c>
      <c r="C3442" s="107">
        <v>109.6</v>
      </c>
      <c r="D3442" s="611">
        <v>43.67</v>
      </c>
      <c r="E3442" s="598">
        <f t="shared" si="65"/>
        <v>4786.232</v>
      </c>
      <c r="F3442" s="1712">
        <f t="shared" si="66"/>
        <v>670072.48</v>
      </c>
      <c r="G3442" s="1713">
        <f t="shared" si="67"/>
        <v>29400</v>
      </c>
      <c r="H3442" s="1707">
        <f>4890</f>
        <v>4890</v>
      </c>
      <c r="I3442" s="1713">
        <f t="shared" si="68"/>
        <v>535944</v>
      </c>
      <c r="J3442" s="1713">
        <f t="shared" si="69"/>
        <v>33503.624000000003</v>
      </c>
      <c r="K3442" s="1714">
        <f t="shared" si="70"/>
        <v>71224.855999999971</v>
      </c>
      <c r="L3442" s="1715">
        <f t="shared" si="71"/>
        <v>0.10629425640641139</v>
      </c>
    </row>
    <row r="3443" spans="1:12" ht="15.75">
      <c r="A3443" s="18" t="s">
        <v>4321</v>
      </c>
      <c r="B3443" s="21" t="s">
        <v>25</v>
      </c>
      <c r="C3443" s="107">
        <v>109.6</v>
      </c>
      <c r="D3443" s="611">
        <v>17.059999999999999</v>
      </c>
      <c r="E3443" s="598">
        <f t="shared" si="65"/>
        <v>1869.7759999999998</v>
      </c>
      <c r="F3443" s="1712">
        <f t="shared" si="66"/>
        <v>261768.63999999998</v>
      </c>
      <c r="G3443" s="1713">
        <f t="shared" si="67"/>
        <v>29400</v>
      </c>
      <c r="H3443" s="1707">
        <v>1910</v>
      </c>
      <c r="I3443" s="1713">
        <f t="shared" si="68"/>
        <v>209336</v>
      </c>
      <c r="J3443" s="1713">
        <f t="shared" si="69"/>
        <v>13088.432000000001</v>
      </c>
      <c r="K3443" s="1714">
        <f t="shared" si="70"/>
        <v>9944.2079999999842</v>
      </c>
      <c r="L3443" s="1715">
        <f t="shared" si="71"/>
        <v>3.798853827563143E-2</v>
      </c>
    </row>
    <row r="3444" spans="1:12" ht="15.75">
      <c r="A3444" s="18" t="s">
        <v>4319</v>
      </c>
      <c r="B3444" s="21" t="s">
        <v>25</v>
      </c>
      <c r="C3444" s="107">
        <v>109.6</v>
      </c>
      <c r="D3444" s="611">
        <v>32.42</v>
      </c>
      <c r="E3444" s="598">
        <f t="shared" si="65"/>
        <v>3553.232</v>
      </c>
      <c r="F3444" s="1712">
        <f t="shared" si="66"/>
        <v>497452.48</v>
      </c>
      <c r="G3444" s="1713">
        <f t="shared" si="67"/>
        <v>29400</v>
      </c>
      <c r="H3444" s="1707">
        <f>3630</f>
        <v>3630</v>
      </c>
      <c r="I3444" s="1713">
        <f t="shared" si="68"/>
        <v>397848</v>
      </c>
      <c r="J3444" s="1713">
        <f t="shared" si="69"/>
        <v>24872.624</v>
      </c>
      <c r="K3444" s="1714">
        <f t="shared" si="70"/>
        <v>45331.855999999985</v>
      </c>
      <c r="L3444" s="1715">
        <f t="shared" si="71"/>
        <v>9.112801287069669E-2</v>
      </c>
    </row>
    <row r="3445" spans="1:12" ht="15">
      <c r="H3445" s="1710"/>
      <c r="I3445" s="1711"/>
      <c r="J3445" s="1711"/>
    </row>
    <row r="3446" spans="1:12">
      <c r="A3446" t="s">
        <v>4371</v>
      </c>
    </row>
    <row r="3447" spans="1:12">
      <c r="A3447" s="289" t="s">
        <v>99</v>
      </c>
      <c r="B3447" s="289" t="s">
        <v>4360</v>
      </c>
      <c r="C3447" s="289" t="s">
        <v>4361</v>
      </c>
      <c r="D3447" s="1541" t="s">
        <v>242</v>
      </c>
      <c r="E3447" s="1541" t="s">
        <v>4369</v>
      </c>
      <c r="F3447" s="1706" t="s">
        <v>4363</v>
      </c>
      <c r="G3447" s="1706" t="s">
        <v>4362</v>
      </c>
      <c r="H3447" s="1709" t="s">
        <v>4365</v>
      </c>
      <c r="I3447" s="1709" t="s">
        <v>4368</v>
      </c>
      <c r="J3447" s="1709" t="s">
        <v>4367</v>
      </c>
      <c r="K3447" s="1709" t="s">
        <v>4370</v>
      </c>
    </row>
    <row r="3448" spans="1:12" ht="15.75">
      <c r="A3448" s="1400" t="s">
        <v>4324</v>
      </c>
      <c r="B3448" s="41" t="s">
        <v>25</v>
      </c>
      <c r="C3448" s="328">
        <v>13.7</v>
      </c>
      <c r="D3448" s="1181">
        <v>45.68</v>
      </c>
      <c r="E3448" s="1276">
        <f>D3448*(C3448-1)</f>
        <v>580.13599999999997</v>
      </c>
      <c r="F3448" s="1712">
        <f t="shared" ref="F3448:F3458" si="72">E3448*140</f>
        <v>81219.039999999994</v>
      </c>
      <c r="G3448" s="1707">
        <f>3410*1.5</f>
        <v>5115</v>
      </c>
      <c r="H3448" s="1713">
        <f t="shared" ref="H3448:H3458" si="73">G3448*C3448</f>
        <v>70075.5</v>
      </c>
      <c r="I3448" s="1713">
        <f t="shared" ref="I3448:I3458" si="74">F3448*0.05</f>
        <v>4060.9519999999998</v>
      </c>
      <c r="J3448" s="1716">
        <f t="shared" ref="J3448:J3458" si="75">F3448-H3448-I3448</f>
        <v>7082.5879999999943</v>
      </c>
      <c r="K3448" s="1715">
        <f t="shared" ref="K3448:K3458" si="76">J3448/F3448</f>
        <v>8.7203542420594915E-2</v>
      </c>
    </row>
    <row r="3449" spans="1:12" ht="15.75">
      <c r="A3449" s="1400" t="s">
        <v>4327</v>
      </c>
      <c r="B3449" s="41" t="s">
        <v>25</v>
      </c>
      <c r="C3449" s="328">
        <v>13.7</v>
      </c>
      <c r="D3449" s="1181">
        <v>57.6</v>
      </c>
      <c r="E3449" s="1276">
        <f>D3449*(C3449-1)</f>
        <v>731.52</v>
      </c>
      <c r="F3449" s="1712">
        <f t="shared" si="72"/>
        <v>102412.8</v>
      </c>
      <c r="G3449" s="1707">
        <f>4300*1.5</f>
        <v>6450</v>
      </c>
      <c r="H3449" s="1713">
        <f t="shared" si="73"/>
        <v>88365</v>
      </c>
      <c r="I3449" s="1713">
        <f t="shared" si="74"/>
        <v>5120.6400000000003</v>
      </c>
      <c r="J3449" s="1716">
        <f t="shared" si="75"/>
        <v>8927.1600000000035</v>
      </c>
      <c r="K3449" s="1715">
        <f t="shared" si="76"/>
        <v>8.7168400824896922E-2</v>
      </c>
    </row>
    <row r="3450" spans="1:12" ht="15.75">
      <c r="A3450" s="1400" t="s">
        <v>4326</v>
      </c>
      <c r="B3450" s="41" t="s">
        <v>25</v>
      </c>
      <c r="C3450" s="328">
        <v>13.7</v>
      </c>
      <c r="D3450" s="1181">
        <v>69.650000000000006</v>
      </c>
      <c r="E3450" s="1276">
        <f>D3450*(C3450-1)</f>
        <v>884.55500000000006</v>
      </c>
      <c r="F3450" s="1712">
        <f t="shared" si="72"/>
        <v>123837.70000000001</v>
      </c>
      <c r="G3450" s="1707">
        <f>5200*1.5</f>
        <v>7800</v>
      </c>
      <c r="H3450" s="1713">
        <f t="shared" si="73"/>
        <v>106860</v>
      </c>
      <c r="I3450" s="1713">
        <f t="shared" si="74"/>
        <v>6191.8850000000011</v>
      </c>
      <c r="J3450" s="1716">
        <f t="shared" si="75"/>
        <v>10785.81500000001</v>
      </c>
      <c r="K3450" s="1715">
        <f t="shared" si="76"/>
        <v>8.7096376951445384E-2</v>
      </c>
    </row>
    <row r="3451" spans="1:12" ht="15.75">
      <c r="A3451" s="1400" t="s">
        <v>4325</v>
      </c>
      <c r="B3451" s="41" t="s">
        <v>25</v>
      </c>
      <c r="C3451" s="328">
        <v>13.7</v>
      </c>
      <c r="D3451" s="1181">
        <v>72.33</v>
      </c>
      <c r="E3451" s="1276">
        <f>D3451*(C3451-1)</f>
        <v>918.59099999999989</v>
      </c>
      <c r="F3451" s="1712">
        <f t="shared" si="72"/>
        <v>128602.73999999999</v>
      </c>
      <c r="G3451" s="1707">
        <f>5400*1.5</f>
        <v>8100</v>
      </c>
      <c r="H3451" s="1713">
        <f t="shared" si="73"/>
        <v>110970</v>
      </c>
      <c r="I3451" s="1713">
        <f t="shared" si="74"/>
        <v>6430.1369999999997</v>
      </c>
      <c r="J3451" s="1716">
        <f t="shared" si="75"/>
        <v>11202.602999999992</v>
      </c>
      <c r="K3451" s="1715">
        <f t="shared" si="76"/>
        <v>8.7110142443310251E-2</v>
      </c>
    </row>
    <row r="3452" spans="1:12" ht="15.75">
      <c r="A3452" s="1400" t="s">
        <v>4322</v>
      </c>
      <c r="B3452" s="41" t="s">
        <v>25</v>
      </c>
      <c r="C3452" s="298">
        <v>2</v>
      </c>
      <c r="D3452" s="1181">
        <v>44.2</v>
      </c>
      <c r="E3452" s="1276">
        <f>D3452*C3452</f>
        <v>88.4</v>
      </c>
      <c r="F3452" s="1712">
        <f t="shared" si="72"/>
        <v>12376</v>
      </c>
      <c r="G3452" s="1707">
        <f>4950</f>
        <v>4950</v>
      </c>
      <c r="H3452" s="1713">
        <f t="shared" si="73"/>
        <v>9900</v>
      </c>
      <c r="I3452" s="1713">
        <f t="shared" si="74"/>
        <v>618.80000000000007</v>
      </c>
      <c r="J3452" s="1716">
        <f t="shared" si="75"/>
        <v>1857.1999999999998</v>
      </c>
      <c r="K3452" s="1715">
        <f t="shared" si="76"/>
        <v>0.15006464124111182</v>
      </c>
    </row>
    <row r="3453" spans="1:12" ht="15.75">
      <c r="A3453" s="1400" t="s">
        <v>4322</v>
      </c>
      <c r="B3453" s="41" t="s">
        <v>25</v>
      </c>
      <c r="C3453" s="328">
        <v>13.7</v>
      </c>
      <c r="D3453" s="1181">
        <v>66.3</v>
      </c>
      <c r="E3453" s="1276">
        <f>D3453*(C3453-1)</f>
        <v>842.00999999999988</v>
      </c>
      <c r="F3453" s="1712">
        <f t="shared" si="72"/>
        <v>117881.39999999998</v>
      </c>
      <c r="G3453" s="1707">
        <f>4950*1.5</f>
        <v>7425</v>
      </c>
      <c r="H3453" s="1713">
        <f t="shared" si="73"/>
        <v>101722.5</v>
      </c>
      <c r="I3453" s="1713">
        <f t="shared" si="74"/>
        <v>5894.07</v>
      </c>
      <c r="J3453" s="1716">
        <f t="shared" si="75"/>
        <v>10264.82999999998</v>
      </c>
      <c r="K3453" s="1715">
        <f t="shared" si="76"/>
        <v>8.7077605118364571E-2</v>
      </c>
    </row>
    <row r="3454" spans="1:12" ht="15.75">
      <c r="A3454" s="1400" t="s">
        <v>4320</v>
      </c>
      <c r="B3454" s="41" t="s">
        <v>25</v>
      </c>
      <c r="C3454" s="298">
        <v>8</v>
      </c>
      <c r="D3454" s="1181">
        <v>36.43</v>
      </c>
      <c r="E3454" s="1276">
        <f>D3454*(C3454-1)</f>
        <v>255.01</v>
      </c>
      <c r="F3454" s="1712">
        <f t="shared" si="72"/>
        <v>35701.4</v>
      </c>
      <c r="G3454" s="1707">
        <f>4080</f>
        <v>4080</v>
      </c>
      <c r="H3454" s="1713">
        <f t="shared" si="73"/>
        <v>32640</v>
      </c>
      <c r="I3454" s="1713">
        <f t="shared" si="74"/>
        <v>1785.0700000000002</v>
      </c>
      <c r="J3454" s="1716">
        <f t="shared" si="75"/>
        <v>1276.3300000000013</v>
      </c>
      <c r="K3454" s="1715">
        <f t="shared" si="76"/>
        <v>3.5750138650024965E-2</v>
      </c>
    </row>
    <row r="3455" spans="1:12" ht="15.75">
      <c r="A3455" s="1400" t="s">
        <v>4323</v>
      </c>
      <c r="B3455" s="41" t="s">
        <v>25</v>
      </c>
      <c r="C3455" s="298">
        <v>5</v>
      </c>
      <c r="D3455" s="1181">
        <v>43.67</v>
      </c>
      <c r="E3455" s="1276">
        <f>D3455*C3455</f>
        <v>218.35000000000002</v>
      </c>
      <c r="F3455" s="1712">
        <f t="shared" si="72"/>
        <v>30569.000000000004</v>
      </c>
      <c r="G3455" s="1707">
        <f>4890</f>
        <v>4890</v>
      </c>
      <c r="H3455" s="1713">
        <f t="shared" si="73"/>
        <v>24450</v>
      </c>
      <c r="I3455" s="1713">
        <f t="shared" si="74"/>
        <v>1528.4500000000003</v>
      </c>
      <c r="J3455" s="1716">
        <f t="shared" si="75"/>
        <v>4590.5500000000029</v>
      </c>
      <c r="K3455" s="1715">
        <f t="shared" si="76"/>
        <v>0.1501701069711146</v>
      </c>
    </row>
    <row r="3456" spans="1:12" ht="15.75">
      <c r="A3456" s="1400" t="s">
        <v>4323</v>
      </c>
      <c r="B3456" s="41" t="s">
        <v>25</v>
      </c>
      <c r="C3456" s="328">
        <v>13.7</v>
      </c>
      <c r="D3456" s="1181">
        <v>65.510000000000005</v>
      </c>
      <c r="E3456" s="1276">
        <f>D3456*(C3456-1)</f>
        <v>831.97699999999998</v>
      </c>
      <c r="F3456" s="1712">
        <f t="shared" si="72"/>
        <v>116476.78</v>
      </c>
      <c r="G3456" s="1707">
        <f>4890*1.5</f>
        <v>7335</v>
      </c>
      <c r="H3456" s="1713">
        <f t="shared" si="73"/>
        <v>100489.5</v>
      </c>
      <c r="I3456" s="1713">
        <f t="shared" si="74"/>
        <v>5823.8389999999999</v>
      </c>
      <c r="J3456" s="1716">
        <f t="shared" si="75"/>
        <v>10163.440999999999</v>
      </c>
      <c r="K3456" s="1715">
        <f t="shared" si="76"/>
        <v>8.7257228436431702E-2</v>
      </c>
    </row>
    <row r="3457" spans="1:12" ht="15.75">
      <c r="A3457" s="1400" t="s">
        <v>4321</v>
      </c>
      <c r="B3457" s="41" t="s">
        <v>25</v>
      </c>
      <c r="C3457" s="328">
        <v>13.7</v>
      </c>
      <c r="D3457" s="1181">
        <v>25.59</v>
      </c>
      <c r="E3457" s="1276">
        <f>D3457*(C3457-1)</f>
        <v>324.99299999999999</v>
      </c>
      <c r="F3457" s="1712">
        <f t="shared" si="72"/>
        <v>45499.02</v>
      </c>
      <c r="G3457" s="1707">
        <f>1910*1.5</f>
        <v>2865</v>
      </c>
      <c r="H3457" s="1713">
        <f t="shared" si="73"/>
        <v>39250.5</v>
      </c>
      <c r="I3457" s="1713">
        <f t="shared" si="74"/>
        <v>2274.951</v>
      </c>
      <c r="J3457" s="1716">
        <f t="shared" si="75"/>
        <v>3973.5689999999968</v>
      </c>
      <c r="K3457" s="1715">
        <f t="shared" si="76"/>
        <v>8.7333067833109304E-2</v>
      </c>
    </row>
    <row r="3458" spans="1:12" ht="15.75">
      <c r="A3458" s="1400" t="s">
        <v>4319</v>
      </c>
      <c r="B3458" s="41" t="s">
        <v>25</v>
      </c>
      <c r="C3458" s="328">
        <v>8.6999999999999993</v>
      </c>
      <c r="D3458" s="1181">
        <v>32.42</v>
      </c>
      <c r="E3458" s="1276">
        <f>D3458*(C3458-1)</f>
        <v>249.63399999999999</v>
      </c>
      <c r="F3458" s="1712">
        <f t="shared" si="72"/>
        <v>34948.759999999995</v>
      </c>
      <c r="G3458" s="1707">
        <f>3630</f>
        <v>3630</v>
      </c>
      <c r="H3458" s="1713">
        <f t="shared" si="73"/>
        <v>31580.999999999996</v>
      </c>
      <c r="I3458" s="1713">
        <f t="shared" si="74"/>
        <v>1747.4379999999999</v>
      </c>
      <c r="J3458" s="1716">
        <f t="shared" si="75"/>
        <v>1620.3219999999985</v>
      </c>
      <c r="K3458" s="1715">
        <f t="shared" si="76"/>
        <v>4.6362789409409626E-2</v>
      </c>
    </row>
    <row r="3461" spans="1:12" ht="14.25" thickBot="1">
      <c r="A3461" t="s">
        <v>4381</v>
      </c>
    </row>
    <row r="3462" spans="1:12" ht="31.5" customHeight="1" thickTop="1">
      <c r="A3462" s="289" t="s">
        <v>99</v>
      </c>
      <c r="B3462" s="289" t="s">
        <v>17</v>
      </c>
      <c r="C3462" s="289" t="s">
        <v>18</v>
      </c>
      <c r="D3462" s="1541" t="s">
        <v>242</v>
      </c>
      <c r="E3462" s="1541" t="s">
        <v>4373</v>
      </c>
      <c r="F3462" s="1706" t="s">
        <v>4363</v>
      </c>
      <c r="G3462" s="1709" t="s">
        <v>4374</v>
      </c>
      <c r="H3462" s="1719" t="s">
        <v>4364</v>
      </c>
      <c r="I3462" s="1726" t="s">
        <v>4372</v>
      </c>
      <c r="J3462" s="1727" t="s">
        <v>4366</v>
      </c>
      <c r="K3462" s="1723" t="s">
        <v>4367</v>
      </c>
      <c r="L3462" s="1721" t="s">
        <v>4370</v>
      </c>
    </row>
    <row r="3463" spans="1:12" ht="15.75">
      <c r="A3463" s="18" t="s">
        <v>4324</v>
      </c>
      <c r="B3463" s="21" t="s">
        <v>25</v>
      </c>
      <c r="C3463" s="107">
        <v>109.6</v>
      </c>
      <c r="D3463" s="611">
        <v>30.45</v>
      </c>
      <c r="E3463" s="598">
        <f t="shared" ref="E3463:E3471" si="77">D3463*(C3463-1)</f>
        <v>3306.87</v>
      </c>
      <c r="F3463" s="1712">
        <f t="shared" ref="F3463:F3471" si="78">E3463*140</f>
        <v>462961.8</v>
      </c>
      <c r="G3463" s="1718">
        <v>373736</v>
      </c>
      <c r="H3463" s="1720">
        <f t="shared" ref="H3463:H3471" si="79">210*140</f>
        <v>29400</v>
      </c>
      <c r="I3463" s="1728">
        <f t="shared" ref="I3463:I3471" si="80">F3463-G3463-H3463</f>
        <v>59825.799999999988</v>
      </c>
      <c r="J3463" s="1718">
        <f t="shared" ref="J3463:J3471" si="81">F3463*0.05</f>
        <v>23148.09</v>
      </c>
      <c r="K3463" s="1729">
        <f t="shared" ref="K3463:K3471" si="82">F3463-H3463-G3463-J3463</f>
        <v>36677.709999999992</v>
      </c>
      <c r="L3463" s="1722">
        <f t="shared" ref="L3463:L3471" si="83">K3463/F3463</f>
        <v>7.9224052610820148E-2</v>
      </c>
    </row>
    <row r="3464" spans="1:12" ht="15.75">
      <c r="A3464" s="18" t="s">
        <v>4327</v>
      </c>
      <c r="B3464" s="21" t="s">
        <v>25</v>
      </c>
      <c r="C3464" s="107">
        <v>109.6</v>
      </c>
      <c r="D3464" s="611">
        <v>38.4</v>
      </c>
      <c r="E3464" s="598">
        <f t="shared" si="77"/>
        <v>4170.24</v>
      </c>
      <c r="F3464" s="1712">
        <f t="shared" si="78"/>
        <v>583833.59999999998</v>
      </c>
      <c r="G3464" s="1718">
        <v>471280</v>
      </c>
      <c r="H3464" s="1720">
        <f t="shared" si="79"/>
        <v>29400</v>
      </c>
      <c r="I3464" s="1728">
        <f t="shared" si="80"/>
        <v>83153.599999999977</v>
      </c>
      <c r="J3464" s="1718">
        <f t="shared" si="81"/>
        <v>29191.68</v>
      </c>
      <c r="K3464" s="1729">
        <f t="shared" si="82"/>
        <v>53961.919999999976</v>
      </c>
      <c r="L3464" s="1722">
        <f t="shared" si="83"/>
        <v>9.2426883276330751E-2</v>
      </c>
    </row>
    <row r="3465" spans="1:12" ht="15.75">
      <c r="A3465" s="18" t="s">
        <v>4326</v>
      </c>
      <c r="B3465" s="21" t="s">
        <v>25</v>
      </c>
      <c r="C3465" s="107">
        <v>109.6</v>
      </c>
      <c r="D3465" s="611">
        <v>46.43</v>
      </c>
      <c r="E3465" s="598">
        <f t="shared" si="77"/>
        <v>5042.2979999999998</v>
      </c>
      <c r="F3465" s="1712">
        <f t="shared" si="78"/>
        <v>705921.72</v>
      </c>
      <c r="G3465" s="1718">
        <v>569920</v>
      </c>
      <c r="H3465" s="1720">
        <f t="shared" si="79"/>
        <v>29400</v>
      </c>
      <c r="I3465" s="1728">
        <f t="shared" si="80"/>
        <v>106601.71999999997</v>
      </c>
      <c r="J3465" s="1718">
        <f t="shared" si="81"/>
        <v>35296.086000000003</v>
      </c>
      <c r="K3465" s="1729">
        <f t="shared" si="82"/>
        <v>71305.633999999962</v>
      </c>
      <c r="L3465" s="1722">
        <f t="shared" si="83"/>
        <v>0.10101068146762783</v>
      </c>
    </row>
    <row r="3466" spans="1:12" ht="15.75">
      <c r="A3466" s="18" t="s">
        <v>4325</v>
      </c>
      <c r="B3466" s="21" t="s">
        <v>25</v>
      </c>
      <c r="C3466" s="107">
        <v>109.6</v>
      </c>
      <c r="D3466" s="611">
        <v>48.22</v>
      </c>
      <c r="E3466" s="598">
        <f t="shared" si="77"/>
        <v>5236.692</v>
      </c>
      <c r="F3466" s="1712">
        <f t="shared" si="78"/>
        <v>733136.88</v>
      </c>
      <c r="G3466" s="1718">
        <v>591840</v>
      </c>
      <c r="H3466" s="1720">
        <f t="shared" si="79"/>
        <v>29400</v>
      </c>
      <c r="I3466" s="1728">
        <f t="shared" si="80"/>
        <v>111896.88</v>
      </c>
      <c r="J3466" s="1718">
        <f t="shared" si="81"/>
        <v>36656.844000000005</v>
      </c>
      <c r="K3466" s="1729">
        <f t="shared" si="82"/>
        <v>75240.035999999993</v>
      </c>
      <c r="L3466" s="1722">
        <f t="shared" si="83"/>
        <v>0.10262754207645371</v>
      </c>
    </row>
    <row r="3467" spans="1:12" ht="15.75">
      <c r="A3467" s="18" t="s">
        <v>4322</v>
      </c>
      <c r="B3467" s="21" t="s">
        <v>25</v>
      </c>
      <c r="C3467" s="107">
        <v>109.6</v>
      </c>
      <c r="D3467" s="611">
        <v>44.2</v>
      </c>
      <c r="E3467" s="598">
        <f t="shared" si="77"/>
        <v>4800.12</v>
      </c>
      <c r="F3467" s="1712">
        <f t="shared" si="78"/>
        <v>672016.79999999993</v>
      </c>
      <c r="G3467" s="1718">
        <v>542520</v>
      </c>
      <c r="H3467" s="1720">
        <f t="shared" si="79"/>
        <v>29400</v>
      </c>
      <c r="I3467" s="1728">
        <f t="shared" si="80"/>
        <v>100096.79999999993</v>
      </c>
      <c r="J3467" s="1718">
        <f t="shared" si="81"/>
        <v>33600.839999999997</v>
      </c>
      <c r="K3467" s="1729">
        <f t="shared" si="82"/>
        <v>66495.959999999934</v>
      </c>
      <c r="L3467" s="1722">
        <f t="shared" si="83"/>
        <v>9.8949847682379286E-2</v>
      </c>
    </row>
    <row r="3468" spans="1:12" ht="15.75">
      <c r="A3468" s="18" t="s">
        <v>4320</v>
      </c>
      <c r="B3468" s="21" t="s">
        <v>25</v>
      </c>
      <c r="C3468" s="107">
        <v>109.6</v>
      </c>
      <c r="D3468" s="611">
        <v>36.43</v>
      </c>
      <c r="E3468" s="598">
        <f t="shared" si="77"/>
        <v>3956.2979999999998</v>
      </c>
      <c r="F3468" s="1712">
        <f t="shared" si="78"/>
        <v>553881.72</v>
      </c>
      <c r="G3468" s="1718">
        <v>447168</v>
      </c>
      <c r="H3468" s="1720">
        <f t="shared" si="79"/>
        <v>29400</v>
      </c>
      <c r="I3468" s="1728">
        <f t="shared" si="80"/>
        <v>77313.719999999972</v>
      </c>
      <c r="J3468" s="1718">
        <f t="shared" si="81"/>
        <v>27694.085999999999</v>
      </c>
      <c r="K3468" s="1729">
        <f t="shared" si="82"/>
        <v>49619.633999999976</v>
      </c>
      <c r="L3468" s="1722">
        <f t="shared" si="83"/>
        <v>8.9585252967005258E-2</v>
      </c>
    </row>
    <row r="3469" spans="1:12" ht="15.75">
      <c r="A3469" s="18" t="s">
        <v>4323</v>
      </c>
      <c r="B3469" s="21" t="s">
        <v>25</v>
      </c>
      <c r="C3469" s="107">
        <v>109.6</v>
      </c>
      <c r="D3469" s="611">
        <v>43.67</v>
      </c>
      <c r="E3469" s="598">
        <f t="shared" si="77"/>
        <v>4742.5619999999999</v>
      </c>
      <c r="F3469" s="1712">
        <f t="shared" si="78"/>
        <v>663958.67999999993</v>
      </c>
      <c r="G3469" s="1718">
        <v>535944</v>
      </c>
      <c r="H3469" s="1720">
        <f t="shared" si="79"/>
        <v>29400</v>
      </c>
      <c r="I3469" s="1728">
        <f t="shared" si="80"/>
        <v>98614.679999999935</v>
      </c>
      <c r="J3469" s="1718">
        <f t="shared" si="81"/>
        <v>33197.934000000001</v>
      </c>
      <c r="K3469" s="1729">
        <f t="shared" si="82"/>
        <v>65416.745999999934</v>
      </c>
      <c r="L3469" s="1722">
        <f t="shared" si="83"/>
        <v>9.85253269073912E-2</v>
      </c>
    </row>
    <row r="3470" spans="1:12" ht="15.75">
      <c r="A3470" s="18" t="s">
        <v>4321</v>
      </c>
      <c r="B3470" s="21" t="s">
        <v>25</v>
      </c>
      <c r="C3470" s="107">
        <v>109.6</v>
      </c>
      <c r="D3470" s="611">
        <v>17.059999999999999</v>
      </c>
      <c r="E3470" s="598">
        <f t="shared" si="77"/>
        <v>1852.7159999999997</v>
      </c>
      <c r="F3470" s="1712">
        <f t="shared" si="78"/>
        <v>259380.23999999996</v>
      </c>
      <c r="G3470" s="1718">
        <v>209336</v>
      </c>
      <c r="H3470" s="1720">
        <f t="shared" si="79"/>
        <v>29400</v>
      </c>
      <c r="I3470" s="1728">
        <f t="shared" si="80"/>
        <v>20644.239999999962</v>
      </c>
      <c r="J3470" s="1718">
        <f t="shared" si="81"/>
        <v>12969.011999999999</v>
      </c>
      <c r="K3470" s="1729">
        <f t="shared" si="82"/>
        <v>7675.2279999999628</v>
      </c>
      <c r="L3470" s="1722">
        <f t="shared" si="83"/>
        <v>2.959064267964269E-2</v>
      </c>
    </row>
    <row r="3471" spans="1:12" ht="16.5" thickBot="1">
      <c r="A3471" s="18" t="s">
        <v>4319</v>
      </c>
      <c r="B3471" s="21" t="s">
        <v>25</v>
      </c>
      <c r="C3471" s="107">
        <v>109.6</v>
      </c>
      <c r="D3471" s="611">
        <v>32.42</v>
      </c>
      <c r="E3471" s="598">
        <f t="shared" si="77"/>
        <v>3520.8119999999999</v>
      </c>
      <c r="F3471" s="1712">
        <f t="shared" si="78"/>
        <v>492913.68</v>
      </c>
      <c r="G3471" s="1718">
        <v>397848</v>
      </c>
      <c r="H3471" s="1720">
        <f t="shared" si="79"/>
        <v>29400</v>
      </c>
      <c r="I3471" s="1730">
        <f t="shared" si="80"/>
        <v>65665.679999999993</v>
      </c>
      <c r="J3471" s="1731">
        <f t="shared" si="81"/>
        <v>24645.684000000001</v>
      </c>
      <c r="K3471" s="1732">
        <f t="shared" si="82"/>
        <v>41019.995999999992</v>
      </c>
      <c r="L3471" s="1722">
        <f t="shared" si="83"/>
        <v>8.3219431037093533E-2</v>
      </c>
    </row>
    <row r="3472" spans="1:12" ht="14.25" thickTop="1"/>
    <row r="3474" spans="1:12" ht="14.25" thickBot="1">
      <c r="A3474" t="s">
        <v>4378</v>
      </c>
    </row>
    <row r="3475" spans="1:12" ht="14.25" thickTop="1">
      <c r="A3475" s="289" t="s">
        <v>99</v>
      </c>
      <c r="B3475" s="289" t="s">
        <v>17</v>
      </c>
      <c r="C3475" s="289" t="s">
        <v>18</v>
      </c>
      <c r="D3475" s="1541" t="s">
        <v>242</v>
      </c>
      <c r="E3475" s="1541" t="s">
        <v>4369</v>
      </c>
      <c r="F3475" s="1706" t="s">
        <v>4363</v>
      </c>
      <c r="G3475" s="1709" t="s">
        <v>4365</v>
      </c>
      <c r="H3475" s="1719" t="s">
        <v>4364</v>
      </c>
      <c r="I3475" s="1726" t="s">
        <v>4372</v>
      </c>
      <c r="J3475" s="1727" t="s">
        <v>4368</v>
      </c>
      <c r="K3475" s="1723" t="s">
        <v>4367</v>
      </c>
      <c r="L3475" s="1721" t="s">
        <v>4370</v>
      </c>
    </row>
    <row r="3476" spans="1:12" ht="15.75">
      <c r="A3476" s="1400" t="s">
        <v>4324</v>
      </c>
      <c r="B3476" s="41" t="s">
        <v>25</v>
      </c>
      <c r="C3476" s="328">
        <v>13.7</v>
      </c>
      <c r="D3476" s="1181">
        <v>45.68</v>
      </c>
      <c r="E3476" s="1276">
        <f>D3476*(C3476-1)</f>
        <v>580.13599999999997</v>
      </c>
      <c r="F3476" s="1712">
        <f t="shared" ref="F3476:F3486" si="84">E3476*140</f>
        <v>81219.039999999994</v>
      </c>
      <c r="G3476" s="1718">
        <v>70075.5</v>
      </c>
      <c r="H3476" s="1720">
        <f t="shared" ref="H3476:H3486" si="85">210*140</f>
        <v>29400</v>
      </c>
      <c r="I3476" s="1728">
        <f t="shared" ref="I3476:I3486" si="86">F3476-G3476-H3476</f>
        <v>-18256.460000000006</v>
      </c>
      <c r="J3476" s="1718">
        <f t="shared" ref="J3476:J3486" si="87">F3476*0.05</f>
        <v>4060.9519999999998</v>
      </c>
      <c r="K3476" s="1724">
        <f t="shared" ref="K3476:K3486" si="88">I3476-J3476</f>
        <v>-22317.412000000008</v>
      </c>
      <c r="L3476" s="1722">
        <f t="shared" ref="L3476:L3486" si="89">K3476/F3476</f>
        <v>-0.27478054406946956</v>
      </c>
    </row>
    <row r="3477" spans="1:12" ht="15.75">
      <c r="A3477" s="1400" t="s">
        <v>4327</v>
      </c>
      <c r="B3477" s="41" t="s">
        <v>25</v>
      </c>
      <c r="C3477" s="328">
        <v>13.7</v>
      </c>
      <c r="D3477" s="1181">
        <v>57.6</v>
      </c>
      <c r="E3477" s="1276">
        <f>D3477*(C3477-1)</f>
        <v>731.52</v>
      </c>
      <c r="F3477" s="1712">
        <f t="shared" si="84"/>
        <v>102412.8</v>
      </c>
      <c r="G3477" s="1718">
        <v>88365</v>
      </c>
      <c r="H3477" s="1720">
        <f t="shared" si="85"/>
        <v>29400</v>
      </c>
      <c r="I3477" s="1728">
        <f t="shared" si="86"/>
        <v>-15352.199999999997</v>
      </c>
      <c r="J3477" s="1718">
        <f t="shared" si="87"/>
        <v>5120.6400000000003</v>
      </c>
      <c r="K3477" s="1724">
        <f t="shared" si="88"/>
        <v>-20472.839999999997</v>
      </c>
      <c r="L3477" s="1722">
        <f t="shared" si="89"/>
        <v>-0.19990508998875137</v>
      </c>
    </row>
    <row r="3478" spans="1:12" ht="15.75">
      <c r="A3478" s="1400" t="s">
        <v>4326</v>
      </c>
      <c r="B3478" s="41" t="s">
        <v>25</v>
      </c>
      <c r="C3478" s="328">
        <v>13.7</v>
      </c>
      <c r="D3478" s="1181">
        <v>69.650000000000006</v>
      </c>
      <c r="E3478" s="1276">
        <f>D3478*(C3478-1)</f>
        <v>884.55500000000006</v>
      </c>
      <c r="F3478" s="1712">
        <f t="shared" si="84"/>
        <v>123837.70000000001</v>
      </c>
      <c r="G3478" s="1718">
        <v>106860</v>
      </c>
      <c r="H3478" s="1720">
        <f t="shared" si="85"/>
        <v>29400</v>
      </c>
      <c r="I3478" s="1728">
        <f t="shared" si="86"/>
        <v>-12422.299999999988</v>
      </c>
      <c r="J3478" s="1718">
        <f t="shared" si="87"/>
        <v>6191.8850000000011</v>
      </c>
      <c r="K3478" s="1724">
        <f t="shared" si="88"/>
        <v>-18614.18499999999</v>
      </c>
      <c r="L3478" s="1722">
        <f t="shared" si="89"/>
        <v>-0.15031113303945398</v>
      </c>
    </row>
    <row r="3479" spans="1:12" ht="15.75">
      <c r="A3479" s="1400" t="s">
        <v>4325</v>
      </c>
      <c r="B3479" s="41" t="s">
        <v>25</v>
      </c>
      <c r="C3479" s="328">
        <v>13.7</v>
      </c>
      <c r="D3479" s="1181">
        <v>72.33</v>
      </c>
      <c r="E3479" s="1276">
        <f>D3479*(C3479-1)</f>
        <v>918.59099999999989</v>
      </c>
      <c r="F3479" s="1712">
        <f t="shared" si="84"/>
        <v>128602.73999999999</v>
      </c>
      <c r="G3479" s="1718">
        <v>110970</v>
      </c>
      <c r="H3479" s="1720">
        <f t="shared" si="85"/>
        <v>29400</v>
      </c>
      <c r="I3479" s="1728">
        <f t="shared" si="86"/>
        <v>-11767.260000000009</v>
      </c>
      <c r="J3479" s="1718">
        <f t="shared" si="87"/>
        <v>6430.1369999999997</v>
      </c>
      <c r="K3479" s="1724">
        <f t="shared" si="88"/>
        <v>-18197.397000000008</v>
      </c>
      <c r="L3479" s="1722">
        <f t="shared" si="89"/>
        <v>-0.14150084982637237</v>
      </c>
    </row>
    <row r="3480" spans="1:12" ht="15.75">
      <c r="A3480" s="1400" t="s">
        <v>4322</v>
      </c>
      <c r="B3480" s="41" t="s">
        <v>25</v>
      </c>
      <c r="C3480" s="298">
        <v>2</v>
      </c>
      <c r="D3480" s="1181">
        <v>44.2</v>
      </c>
      <c r="E3480" s="1276">
        <f>D3480*C3480</f>
        <v>88.4</v>
      </c>
      <c r="F3480" s="1712">
        <f t="shared" si="84"/>
        <v>12376</v>
      </c>
      <c r="G3480" s="1718">
        <v>9900</v>
      </c>
      <c r="H3480" s="1720"/>
      <c r="I3480" s="1728">
        <f t="shared" si="86"/>
        <v>2476</v>
      </c>
      <c r="J3480" s="1718">
        <f t="shared" si="87"/>
        <v>618.80000000000007</v>
      </c>
      <c r="K3480" s="1724">
        <f t="shared" si="88"/>
        <v>1857.1999999999998</v>
      </c>
      <c r="L3480" s="1722">
        <f t="shared" si="89"/>
        <v>0.15006464124111182</v>
      </c>
    </row>
    <row r="3481" spans="1:12" ht="15.75">
      <c r="A3481" s="1400" t="s">
        <v>4322</v>
      </c>
      <c r="B3481" s="41" t="s">
        <v>25</v>
      </c>
      <c r="C3481" s="328">
        <v>13.7</v>
      </c>
      <c r="D3481" s="1181">
        <v>66.3</v>
      </c>
      <c r="E3481" s="1276">
        <f>D3481*(C3481-1)</f>
        <v>842.00999999999988</v>
      </c>
      <c r="F3481" s="1712">
        <f t="shared" si="84"/>
        <v>117881.39999999998</v>
      </c>
      <c r="G3481" s="1718">
        <v>101722.5</v>
      </c>
      <c r="H3481" s="1720">
        <f t="shared" si="85"/>
        <v>29400</v>
      </c>
      <c r="I3481" s="1728">
        <f t="shared" si="86"/>
        <v>-13241.10000000002</v>
      </c>
      <c r="J3481" s="1718">
        <f t="shared" si="87"/>
        <v>5894.07</v>
      </c>
      <c r="K3481" s="1724">
        <f t="shared" si="88"/>
        <v>-19135.17000000002</v>
      </c>
      <c r="L3481" s="1722">
        <f t="shared" si="89"/>
        <v>-0.16232560862018963</v>
      </c>
    </row>
    <row r="3482" spans="1:12" ht="15.75">
      <c r="A3482" s="1400" t="s">
        <v>4320</v>
      </c>
      <c r="B3482" s="41" t="s">
        <v>25</v>
      </c>
      <c r="C3482" s="298">
        <v>8</v>
      </c>
      <c r="D3482" s="1181">
        <v>36.43</v>
      </c>
      <c r="E3482" s="1276">
        <f>D3482*(C3482-1)</f>
        <v>255.01</v>
      </c>
      <c r="F3482" s="1712">
        <f t="shared" si="84"/>
        <v>35701.4</v>
      </c>
      <c r="G3482" s="1718">
        <v>32640</v>
      </c>
      <c r="H3482" s="1720">
        <f t="shared" si="85"/>
        <v>29400</v>
      </c>
      <c r="I3482" s="1728">
        <f t="shared" si="86"/>
        <v>-26338.6</v>
      </c>
      <c r="J3482" s="1718">
        <f t="shared" si="87"/>
        <v>1785.0700000000002</v>
      </c>
      <c r="K3482" s="1724">
        <f t="shared" si="88"/>
        <v>-28123.67</v>
      </c>
      <c r="L3482" s="1722">
        <f t="shared" si="89"/>
        <v>-0.78774697911006286</v>
      </c>
    </row>
    <row r="3483" spans="1:12" ht="15.75">
      <c r="A3483" s="1400" t="s">
        <v>4323</v>
      </c>
      <c r="B3483" s="41" t="s">
        <v>25</v>
      </c>
      <c r="C3483" s="298">
        <v>5</v>
      </c>
      <c r="D3483" s="1181">
        <v>43.67</v>
      </c>
      <c r="E3483" s="1276">
        <f>D3483*C3483</f>
        <v>218.35000000000002</v>
      </c>
      <c r="F3483" s="1712">
        <f t="shared" si="84"/>
        <v>30569.000000000004</v>
      </c>
      <c r="G3483" s="1718">
        <v>24450</v>
      </c>
      <c r="H3483" s="1720"/>
      <c r="I3483" s="1728">
        <f t="shared" si="86"/>
        <v>6119.0000000000036</v>
      </c>
      <c r="J3483" s="1718">
        <f t="shared" si="87"/>
        <v>1528.4500000000003</v>
      </c>
      <c r="K3483" s="1724">
        <f t="shared" si="88"/>
        <v>4590.5500000000029</v>
      </c>
      <c r="L3483" s="1722">
        <f t="shared" si="89"/>
        <v>0.1501701069711146</v>
      </c>
    </row>
    <row r="3484" spans="1:12" ht="15.75">
      <c r="A3484" s="1400" t="s">
        <v>4323</v>
      </c>
      <c r="B3484" s="41" t="s">
        <v>25</v>
      </c>
      <c r="C3484" s="328">
        <v>13.7</v>
      </c>
      <c r="D3484" s="1181">
        <v>65.510000000000005</v>
      </c>
      <c r="E3484" s="1276">
        <f>D3484*(C3484-1)</f>
        <v>831.97699999999998</v>
      </c>
      <c r="F3484" s="1712">
        <f t="shared" si="84"/>
        <v>116476.78</v>
      </c>
      <c r="G3484" s="1718">
        <v>100489.5</v>
      </c>
      <c r="H3484" s="1720">
        <f t="shared" si="85"/>
        <v>29400</v>
      </c>
      <c r="I3484" s="1728">
        <f t="shared" si="86"/>
        <v>-13412.720000000001</v>
      </c>
      <c r="J3484" s="1718">
        <f t="shared" si="87"/>
        <v>5823.8389999999999</v>
      </c>
      <c r="K3484" s="1724">
        <f t="shared" si="88"/>
        <v>-19236.559000000001</v>
      </c>
      <c r="L3484" s="1722">
        <f t="shared" si="89"/>
        <v>-0.16515359542047781</v>
      </c>
    </row>
    <row r="3485" spans="1:12" ht="15.75">
      <c r="A3485" s="1400" t="s">
        <v>4321</v>
      </c>
      <c r="B3485" s="41" t="s">
        <v>25</v>
      </c>
      <c r="C3485" s="328">
        <v>13.7</v>
      </c>
      <c r="D3485" s="1181">
        <v>25.59</v>
      </c>
      <c r="E3485" s="1276">
        <f>D3485*(C3485-1)</f>
        <v>324.99299999999999</v>
      </c>
      <c r="F3485" s="1712">
        <f t="shared" si="84"/>
        <v>45499.02</v>
      </c>
      <c r="G3485" s="1718">
        <v>39250.5</v>
      </c>
      <c r="H3485" s="1720">
        <f t="shared" si="85"/>
        <v>29400</v>
      </c>
      <c r="I3485" s="1728">
        <f t="shared" si="86"/>
        <v>-23151.480000000003</v>
      </c>
      <c r="J3485" s="1718">
        <f t="shared" si="87"/>
        <v>2274.951</v>
      </c>
      <c r="K3485" s="1724">
        <f t="shared" si="88"/>
        <v>-25426.431000000004</v>
      </c>
      <c r="L3485" s="1722">
        <f t="shared" si="89"/>
        <v>-0.5588346957802609</v>
      </c>
    </row>
    <row r="3486" spans="1:12" ht="16.5" thickBot="1">
      <c r="A3486" s="1400" t="s">
        <v>4319</v>
      </c>
      <c r="B3486" s="41" t="s">
        <v>25</v>
      </c>
      <c r="C3486" s="328">
        <v>8.6999999999999993</v>
      </c>
      <c r="D3486" s="1181">
        <v>32.42</v>
      </c>
      <c r="E3486" s="1276">
        <f>D3486*(C3486-1)</f>
        <v>249.63399999999999</v>
      </c>
      <c r="F3486" s="1712">
        <f t="shared" si="84"/>
        <v>34948.759999999995</v>
      </c>
      <c r="G3486" s="1718">
        <v>31580.999999999996</v>
      </c>
      <c r="H3486" s="1720">
        <f t="shared" si="85"/>
        <v>29400</v>
      </c>
      <c r="I3486" s="1730">
        <f t="shared" si="86"/>
        <v>-26032.240000000002</v>
      </c>
      <c r="J3486" s="1731">
        <f t="shared" si="87"/>
        <v>1747.4379999999999</v>
      </c>
      <c r="K3486" s="1725">
        <f t="shared" si="88"/>
        <v>-27779.678</v>
      </c>
      <c r="L3486" s="1722">
        <f t="shared" si="89"/>
        <v>-0.79486877359883457</v>
      </c>
    </row>
    <row r="3487" spans="1:12" ht="14.25" thickTop="1">
      <c r="K3487" s="1734">
        <f>SUM(K3476:K3486)</f>
        <v>-192855.59200000006</v>
      </c>
    </row>
    <row r="3489" spans="1:13" ht="14.25" thickBot="1">
      <c r="A3489" t="s">
        <v>4377</v>
      </c>
    </row>
    <row r="3490" spans="1:13" ht="31.5" customHeight="1" thickTop="1">
      <c r="A3490" s="289" t="s">
        <v>99</v>
      </c>
      <c r="B3490" s="289" t="s">
        <v>17</v>
      </c>
      <c r="C3490" s="289" t="s">
        <v>18</v>
      </c>
      <c r="D3490" s="1541" t="s">
        <v>242</v>
      </c>
      <c r="E3490" s="1541" t="s">
        <v>4375</v>
      </c>
      <c r="F3490" s="1706" t="s">
        <v>4363</v>
      </c>
      <c r="G3490" s="1706" t="s">
        <v>4362</v>
      </c>
      <c r="H3490" s="1709" t="s">
        <v>4376</v>
      </c>
      <c r="I3490" s="1719" t="s">
        <v>4364</v>
      </c>
      <c r="J3490" s="1726" t="s">
        <v>4372</v>
      </c>
      <c r="K3490" s="1727" t="s">
        <v>4366</v>
      </c>
      <c r="L3490" s="1723" t="s">
        <v>4367</v>
      </c>
      <c r="M3490" s="1721" t="s">
        <v>4370</v>
      </c>
    </row>
    <row r="3491" spans="1:13" ht="15.75">
      <c r="A3491" s="18" t="s">
        <v>4324</v>
      </c>
      <c r="B3491" s="21" t="s">
        <v>25</v>
      </c>
      <c r="C3491" s="107">
        <f t="shared" ref="C3491:C3499" si="90">13.7*6</f>
        <v>82.199999999999989</v>
      </c>
      <c r="D3491" s="611">
        <v>30.45</v>
      </c>
      <c r="E3491" s="598">
        <f t="shared" ref="E3491:E3499" si="91">D3491*(C3491-1)</f>
        <v>2472.5399999999995</v>
      </c>
      <c r="F3491" s="1712">
        <f t="shared" ref="F3491:F3499" si="92">E3491*140</f>
        <v>346155.59999999992</v>
      </c>
      <c r="G3491" s="1707">
        <v>3410</v>
      </c>
      <c r="H3491" s="1718">
        <f t="shared" ref="H3491:H3499" si="93">G3491*C3491</f>
        <v>280301.99999999994</v>
      </c>
      <c r="I3491" s="1720">
        <f t="shared" ref="I3491:I3499" si="94">210*140</f>
        <v>29400</v>
      </c>
      <c r="J3491" s="1728">
        <f t="shared" ref="J3491:J3499" si="95">F3491-H3491-I3491</f>
        <v>36453.599999999977</v>
      </c>
      <c r="K3491" s="1718">
        <f t="shared" ref="K3491:K3499" si="96">F3491*0.05</f>
        <v>17307.779999999995</v>
      </c>
      <c r="L3491" s="1729">
        <f t="shared" ref="L3491:L3499" si="97">F3491-I3491-H3491-K3491</f>
        <v>19145.819999999982</v>
      </c>
      <c r="M3491" s="1722">
        <f t="shared" ref="M3491:M3499" si="98">L3491/F3491</f>
        <v>5.5309866430010048E-2</v>
      </c>
    </row>
    <row r="3492" spans="1:13" ht="15.75">
      <c r="A3492" s="18" t="s">
        <v>4327</v>
      </c>
      <c r="B3492" s="21" t="s">
        <v>25</v>
      </c>
      <c r="C3492" s="107">
        <f t="shared" si="90"/>
        <v>82.199999999999989</v>
      </c>
      <c r="D3492" s="611">
        <v>38.4</v>
      </c>
      <c r="E3492" s="598">
        <f t="shared" si="91"/>
        <v>3118.0799999999995</v>
      </c>
      <c r="F3492" s="1712">
        <f t="shared" si="92"/>
        <v>436531.19999999995</v>
      </c>
      <c r="G3492" s="1707">
        <v>4300</v>
      </c>
      <c r="H3492" s="1718">
        <f t="shared" si="93"/>
        <v>353459.99999999994</v>
      </c>
      <c r="I3492" s="1720">
        <f t="shared" si="94"/>
        <v>29400</v>
      </c>
      <c r="J3492" s="1728">
        <f t="shared" si="95"/>
        <v>53671.200000000012</v>
      </c>
      <c r="K3492" s="1718">
        <f t="shared" si="96"/>
        <v>21826.559999999998</v>
      </c>
      <c r="L3492" s="1729">
        <f t="shared" si="97"/>
        <v>31844.640000000014</v>
      </c>
      <c r="M3492" s="1722">
        <f t="shared" si="98"/>
        <v>7.294928747361018E-2</v>
      </c>
    </row>
    <row r="3493" spans="1:13" ht="15.75">
      <c r="A3493" s="18" t="s">
        <v>4326</v>
      </c>
      <c r="B3493" s="21" t="s">
        <v>25</v>
      </c>
      <c r="C3493" s="107">
        <f t="shared" si="90"/>
        <v>82.199999999999989</v>
      </c>
      <c r="D3493" s="611">
        <v>46.43</v>
      </c>
      <c r="E3493" s="598">
        <f t="shared" si="91"/>
        <v>3770.1159999999995</v>
      </c>
      <c r="F3493" s="1712">
        <f t="shared" si="92"/>
        <v>527816.24</v>
      </c>
      <c r="G3493" s="1707">
        <v>5200</v>
      </c>
      <c r="H3493" s="1718">
        <f t="shared" si="93"/>
        <v>427439.99999999994</v>
      </c>
      <c r="I3493" s="1720">
        <f t="shared" si="94"/>
        <v>29400</v>
      </c>
      <c r="J3493" s="1728">
        <f t="shared" si="95"/>
        <v>70976.240000000049</v>
      </c>
      <c r="K3493" s="1718">
        <f t="shared" si="96"/>
        <v>26390.812000000002</v>
      </c>
      <c r="L3493" s="1729">
        <f t="shared" si="97"/>
        <v>44585.428000000044</v>
      </c>
      <c r="M3493" s="1722">
        <f t="shared" si="98"/>
        <v>8.4471497125590614E-2</v>
      </c>
    </row>
    <row r="3494" spans="1:13" ht="15.75">
      <c r="A3494" s="18" t="s">
        <v>4325</v>
      </c>
      <c r="B3494" s="21" t="s">
        <v>25</v>
      </c>
      <c r="C3494" s="107">
        <f t="shared" si="90"/>
        <v>82.199999999999989</v>
      </c>
      <c r="D3494" s="611">
        <v>48.22</v>
      </c>
      <c r="E3494" s="598">
        <f t="shared" si="91"/>
        <v>3915.4639999999995</v>
      </c>
      <c r="F3494" s="1712">
        <f t="shared" si="92"/>
        <v>548164.96</v>
      </c>
      <c r="G3494" s="1707">
        <v>5400</v>
      </c>
      <c r="H3494" s="1718">
        <f t="shared" si="93"/>
        <v>443879.99999999994</v>
      </c>
      <c r="I3494" s="1720">
        <f t="shared" si="94"/>
        <v>29400</v>
      </c>
      <c r="J3494" s="1728">
        <f t="shared" si="95"/>
        <v>74884.960000000021</v>
      </c>
      <c r="K3494" s="1718">
        <f t="shared" si="96"/>
        <v>27408.248</v>
      </c>
      <c r="L3494" s="1729">
        <f t="shared" si="97"/>
        <v>47476.712000000021</v>
      </c>
      <c r="M3494" s="1722">
        <f t="shared" si="98"/>
        <v>8.6610264180329993E-2</v>
      </c>
    </row>
    <row r="3495" spans="1:13" ht="15.75">
      <c r="A3495" s="18" t="s">
        <v>4322</v>
      </c>
      <c r="B3495" s="21" t="s">
        <v>25</v>
      </c>
      <c r="C3495" s="107">
        <f t="shared" si="90"/>
        <v>82.199999999999989</v>
      </c>
      <c r="D3495" s="611">
        <v>44.2</v>
      </c>
      <c r="E3495" s="598">
        <f t="shared" si="91"/>
        <v>3589.0399999999995</v>
      </c>
      <c r="F3495" s="1712">
        <f t="shared" si="92"/>
        <v>502465.59999999992</v>
      </c>
      <c r="G3495" s="1707">
        <f>4950</f>
        <v>4950</v>
      </c>
      <c r="H3495" s="1718">
        <f t="shared" si="93"/>
        <v>406889.99999999994</v>
      </c>
      <c r="I3495" s="1720">
        <f t="shared" si="94"/>
        <v>29400</v>
      </c>
      <c r="J3495" s="1728">
        <f t="shared" si="95"/>
        <v>66175.599999999977</v>
      </c>
      <c r="K3495" s="1718">
        <f t="shared" si="96"/>
        <v>25123.279999999999</v>
      </c>
      <c r="L3495" s="1729">
        <f t="shared" si="97"/>
        <v>41052.319999999978</v>
      </c>
      <c r="M3495" s="1722">
        <f t="shared" si="98"/>
        <v>8.170175231896469E-2</v>
      </c>
    </row>
    <row r="3496" spans="1:13" ht="15.75">
      <c r="A3496" s="18" t="s">
        <v>4320</v>
      </c>
      <c r="B3496" s="21" t="s">
        <v>25</v>
      </c>
      <c r="C3496" s="107">
        <f t="shared" si="90"/>
        <v>82.199999999999989</v>
      </c>
      <c r="D3496" s="611">
        <v>36.43</v>
      </c>
      <c r="E3496" s="598">
        <f t="shared" si="91"/>
        <v>2958.1159999999995</v>
      </c>
      <c r="F3496" s="1712">
        <f t="shared" si="92"/>
        <v>414136.23999999993</v>
      </c>
      <c r="G3496" s="1707">
        <f>4080</f>
        <v>4080</v>
      </c>
      <c r="H3496" s="1718">
        <f t="shared" si="93"/>
        <v>335375.99999999994</v>
      </c>
      <c r="I3496" s="1720">
        <f t="shared" si="94"/>
        <v>29400</v>
      </c>
      <c r="J3496" s="1728">
        <f t="shared" si="95"/>
        <v>49360.239999999991</v>
      </c>
      <c r="K3496" s="1718">
        <f t="shared" si="96"/>
        <v>20706.811999999998</v>
      </c>
      <c r="L3496" s="1729">
        <f t="shared" si="97"/>
        <v>28653.427999999993</v>
      </c>
      <c r="M3496" s="1722">
        <f t="shared" si="98"/>
        <v>6.9188410074906739E-2</v>
      </c>
    </row>
    <row r="3497" spans="1:13" ht="15.75">
      <c r="A3497" s="18" t="s">
        <v>4323</v>
      </c>
      <c r="B3497" s="21" t="s">
        <v>25</v>
      </c>
      <c r="C3497" s="107">
        <f t="shared" si="90"/>
        <v>82.199999999999989</v>
      </c>
      <c r="D3497" s="611">
        <v>43.67</v>
      </c>
      <c r="E3497" s="598">
        <f t="shared" si="91"/>
        <v>3546.0039999999995</v>
      </c>
      <c r="F3497" s="1712">
        <f t="shared" si="92"/>
        <v>496440.55999999994</v>
      </c>
      <c r="G3497" s="1707">
        <f>4890</f>
        <v>4890</v>
      </c>
      <c r="H3497" s="1718">
        <f t="shared" si="93"/>
        <v>401957.99999999994</v>
      </c>
      <c r="I3497" s="1720">
        <f t="shared" si="94"/>
        <v>29400</v>
      </c>
      <c r="J3497" s="1728">
        <f t="shared" si="95"/>
        <v>65082.559999999998</v>
      </c>
      <c r="K3497" s="1718">
        <f t="shared" si="96"/>
        <v>24822.027999999998</v>
      </c>
      <c r="L3497" s="1729">
        <f t="shared" si="97"/>
        <v>40260.531999999999</v>
      </c>
      <c r="M3497" s="1722">
        <f t="shared" si="98"/>
        <v>8.1098393733179258E-2</v>
      </c>
    </row>
    <row r="3498" spans="1:13" ht="15.75">
      <c r="A3498" s="18" t="s">
        <v>4321</v>
      </c>
      <c r="B3498" s="21" t="s">
        <v>25</v>
      </c>
      <c r="C3498" s="107">
        <f t="shared" si="90"/>
        <v>82.199999999999989</v>
      </c>
      <c r="D3498" s="611">
        <v>17.059999999999999</v>
      </c>
      <c r="E3498" s="598">
        <f t="shared" si="91"/>
        <v>1385.2719999999997</v>
      </c>
      <c r="F3498" s="1712">
        <f t="shared" si="92"/>
        <v>193938.07999999996</v>
      </c>
      <c r="G3498" s="1707">
        <v>1910</v>
      </c>
      <c r="H3498" s="1718">
        <f t="shared" si="93"/>
        <v>157001.99999999997</v>
      </c>
      <c r="I3498" s="1720">
        <f t="shared" si="94"/>
        <v>29400</v>
      </c>
      <c r="J3498" s="1728">
        <f t="shared" si="95"/>
        <v>7536.0799999999872</v>
      </c>
      <c r="K3498" s="1718">
        <f t="shared" si="96"/>
        <v>9696.9039999999986</v>
      </c>
      <c r="L3498" s="1729">
        <f t="shared" si="97"/>
        <v>-2160.8240000000114</v>
      </c>
      <c r="M3498" s="1722">
        <f t="shared" si="98"/>
        <v>-1.1141824235859259E-2</v>
      </c>
    </row>
    <row r="3499" spans="1:13" ht="16.5" thickBot="1">
      <c r="A3499" s="18" t="s">
        <v>4319</v>
      </c>
      <c r="B3499" s="21" t="s">
        <v>25</v>
      </c>
      <c r="C3499" s="107">
        <f t="shared" si="90"/>
        <v>82.199999999999989</v>
      </c>
      <c r="D3499" s="611">
        <v>32.42</v>
      </c>
      <c r="E3499" s="598">
        <f t="shared" si="91"/>
        <v>2632.5039999999999</v>
      </c>
      <c r="F3499" s="1712">
        <f t="shared" si="92"/>
        <v>368550.56</v>
      </c>
      <c r="G3499" s="1707">
        <f>3630</f>
        <v>3630</v>
      </c>
      <c r="H3499" s="1718">
        <f t="shared" si="93"/>
        <v>298385.99999999994</v>
      </c>
      <c r="I3499" s="1720">
        <f t="shared" si="94"/>
        <v>29400</v>
      </c>
      <c r="J3499" s="1730">
        <f t="shared" si="95"/>
        <v>40764.560000000056</v>
      </c>
      <c r="K3499" s="1731">
        <f t="shared" si="96"/>
        <v>18427.528000000002</v>
      </c>
      <c r="L3499" s="1732">
        <f t="shared" si="97"/>
        <v>22337.032000000054</v>
      </c>
      <c r="M3499" s="1722">
        <f t="shared" si="98"/>
        <v>6.0607782009610985E-2</v>
      </c>
    </row>
    <row r="3500" spans="1:13" ht="15" thickTop="1">
      <c r="L3500" s="1733">
        <f>SUM(L3491:L3499)</f>
        <v>273195.08800000005</v>
      </c>
    </row>
    <row r="3502" spans="1:13" ht="14.25" thickBot="1">
      <c r="A3502" t="s">
        <v>4379</v>
      </c>
    </row>
    <row r="3503" spans="1:13" ht="14.25" thickTop="1">
      <c r="A3503" s="289" t="s">
        <v>99</v>
      </c>
      <c r="B3503" s="289" t="s">
        <v>17</v>
      </c>
      <c r="C3503" s="289" t="s">
        <v>18</v>
      </c>
      <c r="D3503" s="1541" t="s">
        <v>242</v>
      </c>
      <c r="E3503" s="1541" t="s">
        <v>4369</v>
      </c>
      <c r="F3503" s="1706" t="s">
        <v>4363</v>
      </c>
      <c r="G3503" s="1709" t="s">
        <v>4365</v>
      </c>
      <c r="H3503" s="1719" t="s">
        <v>4364</v>
      </c>
      <c r="I3503" s="1726" t="s">
        <v>4372</v>
      </c>
      <c r="J3503" s="1727" t="s">
        <v>4368</v>
      </c>
      <c r="K3503" s="1723" t="s">
        <v>4367</v>
      </c>
      <c r="L3503" s="1721" t="s">
        <v>4370</v>
      </c>
    </row>
    <row r="3504" spans="1:13" ht="15.75">
      <c r="A3504" s="1400" t="s">
        <v>4320</v>
      </c>
      <c r="B3504" s="41" t="s">
        <v>25</v>
      </c>
      <c r="C3504" s="298">
        <v>8</v>
      </c>
      <c r="D3504" s="1181">
        <v>36.43</v>
      </c>
      <c r="E3504" s="1276">
        <f>D3504*(C3504-1)</f>
        <v>255.01</v>
      </c>
      <c r="F3504" s="1712">
        <f>E3504*140</f>
        <v>35701.4</v>
      </c>
      <c r="G3504" s="1718">
        <v>32640</v>
      </c>
      <c r="H3504" s="1720">
        <f>210*140</f>
        <v>29400</v>
      </c>
      <c r="I3504" s="1728">
        <f>F3504-G3504-H3504</f>
        <v>-26338.6</v>
      </c>
      <c r="J3504" s="1718">
        <f>F3504*0.05</f>
        <v>1785.0700000000002</v>
      </c>
      <c r="K3504" s="1724">
        <f>I3504-J3504</f>
        <v>-28123.67</v>
      </c>
      <c r="L3504" s="1735">
        <f>K3504/F3504</f>
        <v>-0.78774697911006286</v>
      </c>
    </row>
    <row r="3505" spans="1:13" ht="15.75">
      <c r="A3505" s="1400" t="s">
        <v>4321</v>
      </c>
      <c r="B3505" s="41" t="s">
        <v>25</v>
      </c>
      <c r="C3505" s="328">
        <v>13.7</v>
      </c>
      <c r="D3505" s="1181">
        <v>25.59</v>
      </c>
      <c r="E3505" s="1276">
        <f>D3505*(C3505-1)</f>
        <v>324.99299999999999</v>
      </c>
      <c r="F3505" s="1712">
        <f>E3505*140</f>
        <v>45499.02</v>
      </c>
      <c r="G3505" s="1718">
        <v>39250.5</v>
      </c>
      <c r="H3505" s="1720">
        <f>210*140</f>
        <v>29400</v>
      </c>
      <c r="I3505" s="1728">
        <f>F3505-G3505-H3505</f>
        <v>-23151.480000000003</v>
      </c>
      <c r="J3505" s="1718">
        <f>F3505*0.05</f>
        <v>2274.951</v>
      </c>
      <c r="K3505" s="1724">
        <f>I3505-J3505</f>
        <v>-25426.431000000004</v>
      </c>
      <c r="L3505" s="1735">
        <f>K3505/F3505</f>
        <v>-0.5588346957802609</v>
      </c>
    </row>
    <row r="3506" spans="1:13" ht="16.5" thickBot="1">
      <c r="A3506" s="1400" t="s">
        <v>4319</v>
      </c>
      <c r="B3506" s="41" t="s">
        <v>25</v>
      </c>
      <c r="C3506" s="328">
        <v>8.6999999999999993</v>
      </c>
      <c r="D3506" s="1181">
        <v>32.42</v>
      </c>
      <c r="E3506" s="1276">
        <f>D3506*(C3506-1)</f>
        <v>249.63399999999999</v>
      </c>
      <c r="F3506" s="1712">
        <f>E3506*140</f>
        <v>34948.759999999995</v>
      </c>
      <c r="G3506" s="1718">
        <v>31580.999999999996</v>
      </c>
      <c r="H3506" s="1720">
        <f>210*140</f>
        <v>29400</v>
      </c>
      <c r="I3506" s="1730">
        <f>F3506-G3506-H3506</f>
        <v>-26032.240000000002</v>
      </c>
      <c r="J3506" s="1731">
        <f>F3506*0.05</f>
        <v>1747.4379999999999</v>
      </c>
      <c r="K3506" s="1725">
        <f>I3506-J3506</f>
        <v>-27779.678</v>
      </c>
      <c r="L3506" s="1735">
        <f>K3506/F3506</f>
        <v>-0.79486877359883457</v>
      </c>
    </row>
    <row r="3507" spans="1:13" ht="14.25" thickTop="1">
      <c r="K3507" s="1734">
        <f>SUM(K3504:K3506)</f>
        <v>-81329.77900000001</v>
      </c>
    </row>
    <row r="3509" spans="1:13" ht="14.25" thickBot="1">
      <c r="A3509" t="s">
        <v>4380</v>
      </c>
    </row>
    <row r="3510" spans="1:13" ht="31.5" customHeight="1" thickTop="1">
      <c r="A3510" s="289" t="s">
        <v>99</v>
      </c>
      <c r="B3510" s="289" t="s">
        <v>17</v>
      </c>
      <c r="C3510" s="289" t="s">
        <v>18</v>
      </c>
      <c r="D3510" s="1541" t="s">
        <v>242</v>
      </c>
      <c r="E3510" s="1541" t="s">
        <v>4375</v>
      </c>
      <c r="F3510" s="1706" t="s">
        <v>4363</v>
      </c>
      <c r="G3510" s="1706" t="s">
        <v>4362</v>
      </c>
      <c r="H3510" s="1709" t="s">
        <v>4376</v>
      </c>
      <c r="I3510" s="1719" t="s">
        <v>4364</v>
      </c>
      <c r="J3510" s="1726" t="s">
        <v>4372</v>
      </c>
      <c r="K3510" s="1727" t="s">
        <v>4366</v>
      </c>
      <c r="L3510" s="1723" t="s">
        <v>4367</v>
      </c>
      <c r="M3510" s="1721" t="s">
        <v>4370</v>
      </c>
    </row>
    <row r="3511" spans="1:13" ht="15.75">
      <c r="A3511" s="18" t="s">
        <v>4320</v>
      </c>
      <c r="B3511" s="21" t="s">
        <v>25</v>
      </c>
      <c r="C3511" s="107">
        <f>13.7*6</f>
        <v>82.199999999999989</v>
      </c>
      <c r="D3511" s="611">
        <v>36.43</v>
      </c>
      <c r="E3511" s="598">
        <f>D3511*(C3511-1)</f>
        <v>2958.1159999999995</v>
      </c>
      <c r="F3511" s="1712">
        <f>E3511*140</f>
        <v>414136.23999999993</v>
      </c>
      <c r="G3511" s="1707">
        <f>4080</f>
        <v>4080</v>
      </c>
      <c r="H3511" s="1718">
        <f>G3511*C3511</f>
        <v>335375.99999999994</v>
      </c>
      <c r="I3511" s="1720">
        <f>210*140</f>
        <v>29400</v>
      </c>
      <c r="J3511" s="1728">
        <f>F3511-H3511-I3511</f>
        <v>49360.239999999991</v>
      </c>
      <c r="K3511" s="1718">
        <f>F3511*0.05</f>
        <v>20706.811999999998</v>
      </c>
      <c r="L3511" s="1729">
        <f>F3511-I3511-H3511-K3511</f>
        <v>28653.427999999993</v>
      </c>
      <c r="M3511" s="1722">
        <f>L3511/F3511</f>
        <v>6.9188410074906739E-2</v>
      </c>
    </row>
    <row r="3512" spans="1:13" ht="15.75">
      <c r="A3512" s="18" t="s">
        <v>4321</v>
      </c>
      <c r="B3512" s="21" t="s">
        <v>25</v>
      </c>
      <c r="C3512" s="107">
        <f>13.7*6</f>
        <v>82.199999999999989</v>
      </c>
      <c r="D3512" s="611">
        <v>17.059999999999999</v>
      </c>
      <c r="E3512" s="598">
        <f>D3512*(C3512-1)</f>
        <v>1385.2719999999997</v>
      </c>
      <c r="F3512" s="1712">
        <f>E3512*140</f>
        <v>193938.07999999996</v>
      </c>
      <c r="G3512" s="1707">
        <v>1910</v>
      </c>
      <c r="H3512" s="1718">
        <f>G3512*C3512</f>
        <v>157001.99999999997</v>
      </c>
      <c r="I3512" s="1720">
        <f>210*140</f>
        <v>29400</v>
      </c>
      <c r="J3512" s="1728">
        <f>F3512-H3512-I3512</f>
        <v>7536.0799999999872</v>
      </c>
      <c r="K3512" s="1718">
        <f>F3512*0.05</f>
        <v>9696.9039999999986</v>
      </c>
      <c r="L3512" s="1729">
        <f>F3512-I3512-H3512-K3512</f>
        <v>-2160.8240000000114</v>
      </c>
      <c r="M3512" s="1722">
        <f>L3512/F3512</f>
        <v>-1.1141824235859259E-2</v>
      </c>
    </row>
    <row r="3513" spans="1:13" ht="16.5" thickBot="1">
      <c r="A3513" s="18" t="s">
        <v>4319</v>
      </c>
      <c r="B3513" s="21" t="s">
        <v>25</v>
      </c>
      <c r="C3513" s="107">
        <f>13.7*6</f>
        <v>82.199999999999989</v>
      </c>
      <c r="D3513" s="611">
        <v>32.42</v>
      </c>
      <c r="E3513" s="598">
        <f>D3513*(C3513-1)</f>
        <v>2632.5039999999999</v>
      </c>
      <c r="F3513" s="1712">
        <f>E3513*140</f>
        <v>368550.56</v>
      </c>
      <c r="G3513" s="1707">
        <f>3630</f>
        <v>3630</v>
      </c>
      <c r="H3513" s="1718">
        <f>G3513*C3513</f>
        <v>298385.99999999994</v>
      </c>
      <c r="I3513" s="1720">
        <f>210*140</f>
        <v>29400</v>
      </c>
      <c r="J3513" s="1730">
        <f>F3513-H3513-I3513</f>
        <v>40764.560000000056</v>
      </c>
      <c r="K3513" s="1731">
        <f>F3513*0.05</f>
        <v>18427.528000000002</v>
      </c>
      <c r="L3513" s="1732">
        <f>F3513-I3513-H3513-K3513</f>
        <v>22337.032000000054</v>
      </c>
      <c r="M3513" s="1722">
        <f>L3513/F3513</f>
        <v>6.0607782009610985E-2</v>
      </c>
    </row>
    <row r="3514" spans="1:13" ht="15" thickTop="1">
      <c r="L3514" s="1733">
        <f>SUM(L3511:L3513)</f>
        <v>48829.636000000035</v>
      </c>
    </row>
    <row r="3516" spans="1:13" s="337" customFormat="1" ht="12.75">
      <c r="A3516" s="337" t="s">
        <v>4385</v>
      </c>
    </row>
    <row r="3517" spans="1:13" s="1423" customFormat="1" ht="38.25">
      <c r="A3517" s="1435" t="s">
        <v>174</v>
      </c>
      <c r="B3517" s="1421" t="s">
        <v>3608</v>
      </c>
      <c r="C3517" s="1418" t="s">
        <v>4026</v>
      </c>
      <c r="D3517" s="1421" t="s">
        <v>4027</v>
      </c>
      <c r="E3517" s="1589" t="s">
        <v>4029</v>
      </c>
      <c r="F3517" s="1547" t="s">
        <v>4030</v>
      </c>
      <c r="G3517" s="1547" t="s">
        <v>4031</v>
      </c>
      <c r="H3517" s="1547" t="s">
        <v>1843</v>
      </c>
    </row>
    <row r="3518" spans="1:13" s="1423" customFormat="1" ht="24" customHeight="1">
      <c r="A3518" s="361" t="s">
        <v>4383</v>
      </c>
      <c r="B3518" s="361" t="s">
        <v>4384</v>
      </c>
      <c r="C3518" s="1427">
        <f>ROUNDUP(E3518/0.8/140,2)</f>
        <v>10.99</v>
      </c>
      <c r="D3518" s="1427">
        <f>ROUNDUP((E3518+400)/0.8/140,2)</f>
        <v>14.56</v>
      </c>
      <c r="E3518" s="1590">
        <f>1200+30</f>
        <v>1230</v>
      </c>
      <c r="F3518" s="1591">
        <f>(C3518-(E3518/H3518))/C3518</f>
        <v>0.20057194852463273</v>
      </c>
      <c r="G3518" s="1591">
        <f>(D3518-((E3518+400)/H3518))/D3518</f>
        <v>0.20035321821036112</v>
      </c>
      <c r="H3518" s="1549">
        <v>140</v>
      </c>
    </row>
    <row r="3521" spans="1:10" s="290" customFormat="1" ht="38.25">
      <c r="A3521" s="1435" t="s">
        <v>174</v>
      </c>
      <c r="B3521" s="1435" t="s">
        <v>4388</v>
      </c>
      <c r="C3521" s="1606" t="s">
        <v>4401</v>
      </c>
      <c r="D3521" s="1606" t="s">
        <v>4402</v>
      </c>
      <c r="E3521" s="1736" t="s">
        <v>4386</v>
      </c>
      <c r="F3521" s="1736" t="s">
        <v>4387</v>
      </c>
      <c r="G3521" s="1547" t="s">
        <v>4403</v>
      </c>
      <c r="H3521" s="1547" t="s">
        <v>4404</v>
      </c>
      <c r="I3521" s="1547" t="s">
        <v>1843</v>
      </c>
    </row>
    <row r="3522" spans="1:10" s="290" customFormat="1">
      <c r="A3522" s="1674" t="s">
        <v>4390</v>
      </c>
      <c r="B3522" s="1674" t="s">
        <v>4389</v>
      </c>
      <c r="C3522" s="1737">
        <f t="shared" ref="C3522:C3532" si="99">ROUNDUP(E3522/0.8/I3522,2)</f>
        <v>34.83</v>
      </c>
      <c r="D3522" s="1737">
        <f t="shared" ref="D3522:D3532" si="100">ROUNDUP(F3522/0.8/I3522,2)</f>
        <v>31.34</v>
      </c>
      <c r="E3522" s="1736">
        <v>3900</v>
      </c>
      <c r="F3522" s="1736">
        <v>3510</v>
      </c>
      <c r="G3522" s="1591">
        <f t="shared" ref="G3522:G3532" si="101">(C3522-(E3522/I3522))/C3522</f>
        <v>0.20019687461547922</v>
      </c>
      <c r="H3522" s="1591">
        <f t="shared" ref="H3522:H3532" si="102">(D3522-(F3522/I3522))/D3522</f>
        <v>0.20001823320266199</v>
      </c>
      <c r="I3522" s="1549">
        <v>140</v>
      </c>
    </row>
    <row r="3523" spans="1:10" s="290" customFormat="1">
      <c r="A3523" s="302" t="s">
        <v>4391</v>
      </c>
      <c r="B3523" s="1674" t="s">
        <v>4389</v>
      </c>
      <c r="C3523" s="1737">
        <f t="shared" si="99"/>
        <v>43.309999999999995</v>
      </c>
      <c r="D3523" s="1737">
        <f t="shared" si="100"/>
        <v>39.019999999999996</v>
      </c>
      <c r="E3523" s="1736">
        <v>4850</v>
      </c>
      <c r="F3523" s="1736">
        <v>4370</v>
      </c>
      <c r="G3523" s="1591">
        <f t="shared" si="101"/>
        <v>0.2001187452584357</v>
      </c>
      <c r="H3523" s="1591">
        <f t="shared" si="102"/>
        <v>0.20004393351394878</v>
      </c>
      <c r="I3523" s="1549">
        <v>140</v>
      </c>
    </row>
    <row r="3524" spans="1:10" s="290" customFormat="1">
      <c r="A3524" s="302" t="s">
        <v>4392</v>
      </c>
      <c r="B3524" s="1674" t="s">
        <v>4389</v>
      </c>
      <c r="C3524" s="1737">
        <f t="shared" si="99"/>
        <v>43.309999999999995</v>
      </c>
      <c r="D3524" s="1737">
        <f t="shared" si="100"/>
        <v>39.019999999999996</v>
      </c>
      <c r="E3524" s="1736">
        <v>4850</v>
      </c>
      <c r="F3524" s="1736">
        <v>4370</v>
      </c>
      <c r="G3524" s="1591">
        <f t="shared" si="101"/>
        <v>0.2001187452584357</v>
      </c>
      <c r="H3524" s="1591">
        <f t="shared" si="102"/>
        <v>0.20004393351394878</v>
      </c>
      <c r="I3524" s="1549">
        <v>140</v>
      </c>
    </row>
    <row r="3525" spans="1:10" s="290" customFormat="1">
      <c r="A3525" s="302" t="s">
        <v>4393</v>
      </c>
      <c r="B3525" s="1674" t="s">
        <v>4389</v>
      </c>
      <c r="C3525" s="1737">
        <f t="shared" si="99"/>
        <v>41.97</v>
      </c>
      <c r="D3525" s="1737">
        <f t="shared" si="100"/>
        <v>37.769999999999996</v>
      </c>
      <c r="E3525" s="1736">
        <v>4700</v>
      </c>
      <c r="F3525" s="1736">
        <v>4230</v>
      </c>
      <c r="G3525" s="1591">
        <f t="shared" si="101"/>
        <v>0.20010892133837097</v>
      </c>
      <c r="H3525" s="1591">
        <f t="shared" si="102"/>
        <v>0.2000453874957448</v>
      </c>
      <c r="I3525" s="1549">
        <v>140</v>
      </c>
    </row>
    <row r="3526" spans="1:10" s="290" customFormat="1">
      <c r="A3526" s="302" t="s">
        <v>4394</v>
      </c>
      <c r="B3526" s="1674" t="s">
        <v>4389</v>
      </c>
      <c r="C3526" s="1737">
        <f t="shared" si="99"/>
        <v>41.97</v>
      </c>
      <c r="D3526" s="1737">
        <f t="shared" si="100"/>
        <v>37.769999999999996</v>
      </c>
      <c r="E3526" s="1736">
        <v>4700</v>
      </c>
      <c r="F3526" s="1736">
        <v>4230</v>
      </c>
      <c r="G3526" s="1591">
        <f t="shared" si="101"/>
        <v>0.20010892133837097</v>
      </c>
      <c r="H3526" s="1591">
        <f t="shared" si="102"/>
        <v>0.2000453874957448</v>
      </c>
      <c r="I3526" s="1549">
        <v>140</v>
      </c>
    </row>
    <row r="3527" spans="1:10" s="290" customFormat="1">
      <c r="A3527" s="302" t="s">
        <v>4395</v>
      </c>
      <c r="B3527" s="1674" t="s">
        <v>4389</v>
      </c>
      <c r="C3527" s="1737">
        <f t="shared" si="99"/>
        <v>37.5</v>
      </c>
      <c r="D3527" s="1737">
        <f t="shared" si="100"/>
        <v>33.75</v>
      </c>
      <c r="E3527" s="1736">
        <v>4200</v>
      </c>
      <c r="F3527" s="1736">
        <v>3780</v>
      </c>
      <c r="G3527" s="1591">
        <f t="shared" si="101"/>
        <v>0.2</v>
      </c>
      <c r="H3527" s="1591">
        <f t="shared" si="102"/>
        <v>0.2</v>
      </c>
      <c r="I3527" s="1549">
        <v>140</v>
      </c>
    </row>
    <row r="3528" spans="1:10" s="290" customFormat="1">
      <c r="A3528" s="302" t="s">
        <v>4396</v>
      </c>
      <c r="B3528" s="1674" t="s">
        <v>4389</v>
      </c>
      <c r="C3528" s="1737">
        <f t="shared" si="99"/>
        <v>29.020000000000003</v>
      </c>
      <c r="D3528" s="1737">
        <f t="shared" si="100"/>
        <v>26.17</v>
      </c>
      <c r="E3528" s="1736">
        <v>3250</v>
      </c>
      <c r="F3528" s="1736">
        <v>2930</v>
      </c>
      <c r="G3528" s="1591">
        <f t="shared" si="101"/>
        <v>0.20005907256079555</v>
      </c>
      <c r="H3528" s="1591">
        <f t="shared" si="102"/>
        <v>0.20028385828920803</v>
      </c>
      <c r="I3528" s="1549">
        <v>140</v>
      </c>
    </row>
    <row r="3529" spans="1:10" s="290" customFormat="1">
      <c r="A3529" s="302" t="s">
        <v>4397</v>
      </c>
      <c r="B3529" s="1674" t="s">
        <v>4389</v>
      </c>
      <c r="C3529" s="1737">
        <f t="shared" si="99"/>
        <v>26.34</v>
      </c>
      <c r="D3529" s="1737">
        <f t="shared" si="100"/>
        <v>23.75</v>
      </c>
      <c r="E3529" s="1736">
        <v>2950</v>
      </c>
      <c r="F3529" s="1736">
        <v>2660</v>
      </c>
      <c r="G3529" s="1591">
        <f t="shared" si="101"/>
        <v>0.20002169432693345</v>
      </c>
      <c r="H3529" s="1591">
        <f t="shared" si="102"/>
        <v>0.2</v>
      </c>
      <c r="I3529" s="1549">
        <v>140</v>
      </c>
    </row>
    <row r="3530" spans="1:10" s="290" customFormat="1">
      <c r="A3530" s="302" t="s">
        <v>4398</v>
      </c>
      <c r="B3530" s="1674" t="s">
        <v>4389</v>
      </c>
      <c r="C3530" s="1737">
        <f t="shared" si="99"/>
        <v>38.129999999999995</v>
      </c>
      <c r="D3530" s="1737">
        <f t="shared" si="100"/>
        <v>34.29</v>
      </c>
      <c r="E3530" s="1736">
        <v>4270</v>
      </c>
      <c r="F3530" s="1736">
        <v>3840</v>
      </c>
      <c r="G3530" s="1591">
        <f t="shared" si="101"/>
        <v>0.20010490427484912</v>
      </c>
      <c r="H3530" s="1591">
        <f t="shared" si="102"/>
        <v>0.20009998750156233</v>
      </c>
      <c r="I3530" s="1549">
        <v>140</v>
      </c>
    </row>
    <row r="3531" spans="1:10" s="290" customFormat="1">
      <c r="A3531" s="302" t="s">
        <v>4399</v>
      </c>
      <c r="B3531" s="1674" t="s">
        <v>4389</v>
      </c>
      <c r="C3531" s="1737">
        <f t="shared" si="99"/>
        <v>31.080000000000002</v>
      </c>
      <c r="D3531" s="1737">
        <f t="shared" si="100"/>
        <v>27.950000000000003</v>
      </c>
      <c r="E3531" s="1736">
        <v>3480</v>
      </c>
      <c r="F3531" s="1736">
        <v>3130</v>
      </c>
      <c r="G3531" s="1591">
        <f t="shared" si="101"/>
        <v>0.2002206287920574</v>
      </c>
      <c r="H3531" s="1591">
        <f t="shared" si="102"/>
        <v>0.20010222335803737</v>
      </c>
      <c r="I3531" s="1549">
        <v>140</v>
      </c>
    </row>
    <row r="3532" spans="1:10" s="290" customFormat="1">
      <c r="A3532" s="302" t="s">
        <v>4400</v>
      </c>
      <c r="B3532" s="1674" t="s">
        <v>4389</v>
      </c>
      <c r="C3532" s="1737">
        <f t="shared" si="99"/>
        <v>38.4</v>
      </c>
      <c r="D3532" s="1737">
        <f t="shared" si="100"/>
        <v>34.559999999999995</v>
      </c>
      <c r="E3532" s="1736">
        <v>4300</v>
      </c>
      <c r="F3532" s="1736">
        <v>3870</v>
      </c>
      <c r="G3532" s="1591">
        <f t="shared" si="101"/>
        <v>0.20014880952380948</v>
      </c>
      <c r="H3532" s="1591">
        <f t="shared" si="102"/>
        <v>0.20014880952380942</v>
      </c>
      <c r="I3532" s="1549">
        <v>140</v>
      </c>
    </row>
    <row r="3533" spans="1:10">
      <c r="H3533" s="1591"/>
      <c r="I3533" s="1591"/>
      <c r="J3533" s="1549"/>
    </row>
    <row r="3536" spans="1:10">
      <c r="A3536" s="1435" t="s">
        <v>174</v>
      </c>
      <c r="B3536" s="1435" t="s">
        <v>174</v>
      </c>
      <c r="C3536" s="1435" t="s">
        <v>18</v>
      </c>
      <c r="D3536" s="1435" t="s">
        <v>72</v>
      </c>
    </row>
    <row r="3537" spans="1:6" ht="15">
      <c r="A3537" s="18" t="s">
        <v>4324</v>
      </c>
      <c r="B3537" s="21" t="s">
        <v>25</v>
      </c>
      <c r="C3537" s="17">
        <v>12.4</v>
      </c>
      <c r="D3537" s="17" t="s">
        <v>4406</v>
      </c>
    </row>
    <row r="3538" spans="1:6" ht="36" customHeight="1">
      <c r="A3538" s="18" t="s">
        <v>4327</v>
      </c>
      <c r="B3538" s="21" t="s">
        <v>25</v>
      </c>
      <c r="C3538" s="17">
        <v>12.3</v>
      </c>
      <c r="D3538" s="17" t="s">
        <v>4407</v>
      </c>
    </row>
    <row r="3539" spans="1:6" ht="15">
      <c r="A3539" s="18" t="s">
        <v>4326</v>
      </c>
      <c r="B3539" s="21" t="s">
        <v>25</v>
      </c>
      <c r="C3539" s="17">
        <v>12.4</v>
      </c>
      <c r="D3539" s="17" t="s">
        <v>4408</v>
      </c>
    </row>
    <row r="3540" spans="1:6" ht="15">
      <c r="A3540" s="18" t="s">
        <v>4322</v>
      </c>
      <c r="B3540" s="21" t="s">
        <v>25</v>
      </c>
      <c r="C3540" s="107" t="s">
        <v>4410</v>
      </c>
      <c r="D3540" s="17" t="s">
        <v>4409</v>
      </c>
    </row>
    <row r="3541" spans="1:6" ht="15">
      <c r="A3541" s="18" t="s">
        <v>4323</v>
      </c>
      <c r="B3541" s="21" t="s">
        <v>25</v>
      </c>
      <c r="C3541" s="17">
        <v>12.4</v>
      </c>
      <c r="D3541" s="17" t="s">
        <v>4406</v>
      </c>
    </row>
    <row r="3542" spans="1:6" ht="15">
      <c r="A3542" s="18" t="s">
        <v>4321</v>
      </c>
      <c r="B3542" s="21" t="s">
        <v>25</v>
      </c>
      <c r="C3542" s="17">
        <v>12.4</v>
      </c>
      <c r="D3542" s="17" t="s">
        <v>4411</v>
      </c>
    </row>
    <row r="3543" spans="1:6" ht="15">
      <c r="A3543" s="18" t="s">
        <v>4325</v>
      </c>
      <c r="B3543" s="21" t="s">
        <v>25</v>
      </c>
      <c r="C3543" s="93">
        <v>13.7</v>
      </c>
      <c r="D3543" s="17" t="s">
        <v>4412</v>
      </c>
    </row>
    <row r="3547" spans="1:6">
      <c r="A3547" s="1435" t="s">
        <v>174</v>
      </c>
      <c r="B3547" s="1435" t="s">
        <v>17</v>
      </c>
      <c r="C3547" s="289" t="s">
        <v>163</v>
      </c>
      <c r="D3547" s="289" t="s">
        <v>197</v>
      </c>
      <c r="E3547" s="289" t="s">
        <v>198</v>
      </c>
      <c r="F3547" s="1690" t="s">
        <v>4416</v>
      </c>
    </row>
    <row r="3548" spans="1:6">
      <c r="A3548" s="1182" t="s">
        <v>2722</v>
      </c>
      <c r="B3548" s="41" t="s">
        <v>25</v>
      </c>
      <c r="C3548" s="296">
        <v>13.7</v>
      </c>
      <c r="D3548" s="297">
        <v>15</v>
      </c>
      <c r="E3548" s="1186">
        <f>C3548*D3548</f>
        <v>205.5</v>
      </c>
      <c r="F3548" s="1462" t="s">
        <v>4417</v>
      </c>
    </row>
    <row r="3549" spans="1:6">
      <c r="A3549" s="1182" t="s">
        <v>2048</v>
      </c>
      <c r="B3549" s="41" t="s">
        <v>25</v>
      </c>
      <c r="C3549" s="296">
        <v>13.7</v>
      </c>
      <c r="D3549" s="297">
        <v>2</v>
      </c>
      <c r="E3549" s="1186">
        <f>C3549*D3549</f>
        <v>27.4</v>
      </c>
      <c r="F3549" s="1462" t="s">
        <v>4418</v>
      </c>
    </row>
    <row r="3550" spans="1:6">
      <c r="A3550" s="1182" t="s">
        <v>2280</v>
      </c>
      <c r="B3550" s="41" t="s">
        <v>25</v>
      </c>
      <c r="C3550" s="296">
        <v>13.7</v>
      </c>
      <c r="D3550" s="297">
        <v>2</v>
      </c>
      <c r="E3550" s="1186">
        <f>C3550*D3550</f>
        <v>27.4</v>
      </c>
      <c r="F3550" s="1462" t="s">
        <v>4419</v>
      </c>
    </row>
    <row r="3555" spans="1:9" ht="15">
      <c r="A3555" s="1435" t="s">
        <v>4420</v>
      </c>
      <c r="B3555" s="1435" t="s">
        <v>174</v>
      </c>
      <c r="C3555" s="1435" t="s">
        <v>17</v>
      </c>
      <c r="D3555" s="289" t="s">
        <v>163</v>
      </c>
      <c r="E3555" s="289" t="s">
        <v>197</v>
      </c>
      <c r="F3555" s="289" t="s">
        <v>198</v>
      </c>
      <c r="G3555" s="1541" t="s">
        <v>242</v>
      </c>
      <c r="H3555" s="55"/>
      <c r="I3555" s="15" t="s">
        <v>8</v>
      </c>
    </row>
    <row r="3556" spans="1:9">
      <c r="A3556" s="4" t="s">
        <v>4421</v>
      </c>
      <c r="B3556" s="1182" t="s">
        <v>2722</v>
      </c>
      <c r="C3556" s="41" t="s">
        <v>25</v>
      </c>
      <c r="D3556" s="296">
        <v>13.7</v>
      </c>
      <c r="E3556" s="297">
        <v>15</v>
      </c>
      <c r="F3556" s="1186">
        <f>D3556*E3556</f>
        <v>205.5</v>
      </c>
      <c r="G3556" s="1183">
        <v>3.87</v>
      </c>
    </row>
    <row r="3557" spans="1:9">
      <c r="A3557" s="4" t="s">
        <v>4421</v>
      </c>
      <c r="B3557" s="41"/>
      <c r="C3557" s="136" t="s">
        <v>218</v>
      </c>
      <c r="D3557" s="292"/>
      <c r="E3557" s="297"/>
      <c r="F3557" s="292">
        <v>1</v>
      </c>
      <c r="G3557" s="1181">
        <v>12</v>
      </c>
    </row>
    <row r="3558" spans="1:9">
      <c r="A3558" s="1748"/>
      <c r="B3558" s="1742"/>
      <c r="C3558" s="1743"/>
      <c r="D3558" s="1744"/>
      <c r="E3558" s="1745"/>
      <c r="F3558" s="1746"/>
      <c r="G3558" s="1747"/>
    </row>
    <row r="3559" spans="1:9">
      <c r="A3559" s="4" t="s">
        <v>4422</v>
      </c>
      <c r="B3559" s="1182" t="s">
        <v>2048</v>
      </c>
      <c r="C3559" s="41" t="s">
        <v>25</v>
      </c>
      <c r="D3559" s="296">
        <v>13.7</v>
      </c>
      <c r="E3559" s="297">
        <v>2</v>
      </c>
      <c r="F3559" s="1186">
        <f>D3559*E3559</f>
        <v>27.4</v>
      </c>
      <c r="G3559" s="1183">
        <v>6.46</v>
      </c>
    </row>
    <row r="3560" spans="1:9">
      <c r="A3560" s="4" t="s">
        <v>4422</v>
      </c>
      <c r="B3560" s="1182" t="s">
        <v>2280</v>
      </c>
      <c r="C3560" s="41" t="s">
        <v>25</v>
      </c>
      <c r="D3560" s="296">
        <v>13.7</v>
      </c>
      <c r="E3560" s="297">
        <v>2</v>
      </c>
      <c r="F3560" s="1186">
        <f>D3560*E3560</f>
        <v>27.4</v>
      </c>
      <c r="G3560" s="1183">
        <v>5.94</v>
      </c>
    </row>
    <row r="3563" spans="1:9">
      <c r="A3563" s="289" t="s">
        <v>99</v>
      </c>
      <c r="B3563" s="289" t="s">
        <v>16</v>
      </c>
      <c r="C3563" s="289" t="s">
        <v>203</v>
      </c>
      <c r="D3563" s="289" t="s">
        <v>163</v>
      </c>
      <c r="E3563" s="289" t="s">
        <v>197</v>
      </c>
      <c r="F3563" s="289" t="s">
        <v>198</v>
      </c>
      <c r="G3563" s="1541" t="s">
        <v>242</v>
      </c>
    </row>
    <row r="3564" spans="1:9">
      <c r="A3564" s="41">
        <v>3717</v>
      </c>
      <c r="B3564" s="1749">
        <v>15</v>
      </c>
      <c r="C3564" s="41" t="s">
        <v>2727</v>
      </c>
      <c r="D3564" s="296">
        <v>30</v>
      </c>
      <c r="E3564" s="297">
        <v>2</v>
      </c>
      <c r="F3564" s="298">
        <f>D3564*E3564</f>
        <v>60</v>
      </c>
      <c r="G3564" s="1184">
        <v>0.36</v>
      </c>
    </row>
    <row r="3565" spans="1:9">
      <c r="A3565" s="41"/>
      <c r="B3565" s="136"/>
      <c r="C3565" s="136" t="s">
        <v>218</v>
      </c>
      <c r="D3565" s="292"/>
      <c r="E3565" s="297"/>
      <c r="F3565" s="292">
        <v>1</v>
      </c>
      <c r="G3565" s="1181">
        <v>12</v>
      </c>
    </row>
    <row r="3569" spans="1:9">
      <c r="A3569" s="4" t="s">
        <v>4423</v>
      </c>
      <c r="B3569" s="343" t="s">
        <v>4173</v>
      </c>
      <c r="C3569" s="289" t="s">
        <v>99</v>
      </c>
      <c r="D3569" s="289" t="s">
        <v>16</v>
      </c>
      <c r="E3569" s="289" t="s">
        <v>203</v>
      </c>
      <c r="F3569" s="289" t="s">
        <v>163</v>
      </c>
      <c r="G3569" s="289" t="s">
        <v>197</v>
      </c>
      <c r="H3569" s="289" t="s">
        <v>198</v>
      </c>
      <c r="I3569" s="1541" t="s">
        <v>242</v>
      </c>
    </row>
    <row r="3570" spans="1:9">
      <c r="A3570" s="4" t="s">
        <v>4423</v>
      </c>
      <c r="B3570" s="343" t="s">
        <v>4173</v>
      </c>
      <c r="C3570" s="1400" t="s">
        <v>4134</v>
      </c>
      <c r="D3570" s="300" t="s">
        <v>3624</v>
      </c>
      <c r="E3570" s="41" t="s">
        <v>4174</v>
      </c>
      <c r="F3570" s="298">
        <v>58</v>
      </c>
      <c r="G3570" s="299">
        <v>3</v>
      </c>
      <c r="H3570" s="298">
        <f>F3570*G3570</f>
        <v>174</v>
      </c>
      <c r="I3570" s="1181">
        <v>15.11</v>
      </c>
    </row>
    <row r="3571" spans="1:9">
      <c r="A3571" s="4" t="s">
        <v>4423</v>
      </c>
      <c r="B3571" s="343" t="s">
        <v>4173</v>
      </c>
      <c r="C3571" s="1400" t="s">
        <v>4134</v>
      </c>
      <c r="D3571" s="300" t="s">
        <v>3624</v>
      </c>
      <c r="E3571" s="41" t="s">
        <v>4174</v>
      </c>
      <c r="F3571" s="298">
        <v>16</v>
      </c>
      <c r="G3571" s="299">
        <v>1</v>
      </c>
      <c r="H3571" s="298">
        <f>F3571*G3571</f>
        <v>16</v>
      </c>
      <c r="I3571" s="1181">
        <v>18.23</v>
      </c>
    </row>
    <row r="3575" spans="1:9">
      <c r="A3575" s="289" t="s">
        <v>99</v>
      </c>
      <c r="B3575" s="289" t="s">
        <v>16</v>
      </c>
      <c r="C3575" s="289" t="s">
        <v>203</v>
      </c>
      <c r="D3575" s="289" t="s">
        <v>163</v>
      </c>
      <c r="E3575" s="289" t="s">
        <v>197</v>
      </c>
      <c r="F3575" s="289" t="s">
        <v>198</v>
      </c>
      <c r="G3575" s="1541" t="s">
        <v>242</v>
      </c>
      <c r="H3575" s="1541" t="s">
        <v>3739</v>
      </c>
    </row>
    <row r="3576" spans="1:9">
      <c r="A3576" s="41">
        <v>4141</v>
      </c>
      <c r="B3576" s="1264">
        <v>6</v>
      </c>
      <c r="C3576" s="41" t="s">
        <v>2798</v>
      </c>
      <c r="D3576" s="296">
        <v>20</v>
      </c>
      <c r="E3576" s="297">
        <v>10</v>
      </c>
      <c r="F3576" s="298">
        <f t="shared" ref="F3576:F3584" si="103">D3576*E3576</f>
        <v>200</v>
      </c>
      <c r="G3576" s="1184">
        <v>1.2</v>
      </c>
      <c r="H3576" s="1276">
        <f t="shared" ref="H3576:H3584" si="104">G3576*F3576</f>
        <v>240</v>
      </c>
    </row>
    <row r="3577" spans="1:9">
      <c r="A3577" s="41">
        <v>4141</v>
      </c>
      <c r="B3577" s="1264">
        <v>6</v>
      </c>
      <c r="C3577" s="41" t="s">
        <v>4425</v>
      </c>
      <c r="D3577" s="296">
        <v>20</v>
      </c>
      <c r="E3577" s="297">
        <v>8</v>
      </c>
      <c r="F3577" s="298">
        <f t="shared" si="103"/>
        <v>160</v>
      </c>
      <c r="G3577" s="1184">
        <v>1.2</v>
      </c>
      <c r="H3577" s="1276">
        <f t="shared" si="104"/>
        <v>192</v>
      </c>
    </row>
    <row r="3578" spans="1:9">
      <c r="A3578" s="41">
        <v>4141</v>
      </c>
      <c r="B3578" s="1264">
        <v>6</v>
      </c>
      <c r="C3578" s="41" t="s">
        <v>4426</v>
      </c>
      <c r="D3578" s="296">
        <v>20</v>
      </c>
      <c r="E3578" s="297">
        <v>5</v>
      </c>
      <c r="F3578" s="298">
        <f t="shared" si="103"/>
        <v>100</v>
      </c>
      <c r="G3578" s="1184">
        <v>1.2</v>
      </c>
      <c r="H3578" s="1276">
        <f t="shared" si="104"/>
        <v>120</v>
      </c>
    </row>
    <row r="3579" spans="1:9">
      <c r="A3579" s="41">
        <v>4141</v>
      </c>
      <c r="B3579" s="1264">
        <v>6</v>
      </c>
      <c r="C3579" s="41" t="s">
        <v>4427</v>
      </c>
      <c r="D3579" s="296">
        <v>20</v>
      </c>
      <c r="E3579" s="297">
        <v>7</v>
      </c>
      <c r="F3579" s="298">
        <f t="shared" si="103"/>
        <v>140</v>
      </c>
      <c r="G3579" s="1184">
        <v>1.2</v>
      </c>
      <c r="H3579" s="1276">
        <f t="shared" si="104"/>
        <v>168</v>
      </c>
    </row>
    <row r="3580" spans="1:9">
      <c r="A3580" s="41">
        <v>4141</v>
      </c>
      <c r="B3580" s="1264">
        <v>6</v>
      </c>
      <c r="C3580" s="41" t="s">
        <v>277</v>
      </c>
      <c r="D3580" s="296">
        <v>20</v>
      </c>
      <c r="E3580" s="297">
        <v>50</v>
      </c>
      <c r="F3580" s="298">
        <f t="shared" si="103"/>
        <v>1000</v>
      </c>
      <c r="G3580" s="1184">
        <v>1.2</v>
      </c>
      <c r="H3580" s="1276">
        <f t="shared" si="104"/>
        <v>1200</v>
      </c>
    </row>
    <row r="3581" spans="1:9">
      <c r="A3581" s="41">
        <v>4141</v>
      </c>
      <c r="B3581" s="1264">
        <v>9</v>
      </c>
      <c r="C3581" s="41" t="s">
        <v>4425</v>
      </c>
      <c r="D3581" s="296">
        <v>20</v>
      </c>
      <c r="E3581" s="297">
        <v>5</v>
      </c>
      <c r="F3581" s="298">
        <f t="shared" si="103"/>
        <v>100</v>
      </c>
      <c r="G3581" s="1184">
        <v>1.33</v>
      </c>
      <c r="H3581" s="1276">
        <f t="shared" si="104"/>
        <v>133</v>
      </c>
    </row>
    <row r="3582" spans="1:9">
      <c r="A3582" s="41">
        <v>4141</v>
      </c>
      <c r="B3582" s="1264">
        <v>9</v>
      </c>
      <c r="C3582" s="41" t="s">
        <v>4428</v>
      </c>
      <c r="D3582" s="296">
        <v>20</v>
      </c>
      <c r="E3582" s="297">
        <v>5</v>
      </c>
      <c r="F3582" s="298">
        <f t="shared" si="103"/>
        <v>100</v>
      </c>
      <c r="G3582" s="1184">
        <v>1.33</v>
      </c>
      <c r="H3582" s="1276">
        <f t="shared" si="104"/>
        <v>133</v>
      </c>
    </row>
    <row r="3583" spans="1:9">
      <c r="A3583" s="41">
        <v>4141</v>
      </c>
      <c r="B3583" s="1264">
        <v>9</v>
      </c>
      <c r="C3583" s="41" t="s">
        <v>4427</v>
      </c>
      <c r="D3583" s="296">
        <v>20</v>
      </c>
      <c r="E3583" s="297">
        <v>5</v>
      </c>
      <c r="F3583" s="298">
        <f t="shared" si="103"/>
        <v>100</v>
      </c>
      <c r="G3583" s="1184">
        <v>1.33</v>
      </c>
      <c r="H3583" s="1276">
        <f t="shared" si="104"/>
        <v>133</v>
      </c>
    </row>
    <row r="3584" spans="1:9">
      <c r="A3584" s="41">
        <v>4141</v>
      </c>
      <c r="B3584" s="1264">
        <v>9</v>
      </c>
      <c r="C3584" s="41" t="s">
        <v>4429</v>
      </c>
      <c r="D3584" s="296">
        <v>20</v>
      </c>
      <c r="E3584" s="297">
        <v>5</v>
      </c>
      <c r="F3584" s="298">
        <f t="shared" si="103"/>
        <v>100</v>
      </c>
      <c r="G3584" s="1184">
        <v>1.33</v>
      </c>
      <c r="H3584" s="1276">
        <f t="shared" si="104"/>
        <v>133</v>
      </c>
    </row>
    <row r="3585" spans="1:8">
      <c r="A3585" s="41"/>
      <c r="B3585" s="136"/>
      <c r="C3585" s="136" t="s">
        <v>4430</v>
      </c>
      <c r="D3585" s="292"/>
      <c r="E3585" s="297"/>
      <c r="F3585" s="292">
        <v>6</v>
      </c>
      <c r="G3585" s="1181">
        <v>270</v>
      </c>
      <c r="H3585" s="1276">
        <f>G3585*F3585</f>
        <v>1620</v>
      </c>
    </row>
    <row r="3586" spans="1:8">
      <c r="A3586" s="41"/>
      <c r="B3586" s="136"/>
      <c r="C3586" s="136" t="s">
        <v>4431</v>
      </c>
      <c r="D3586" s="292"/>
      <c r="E3586" s="297"/>
      <c r="F3586" s="292">
        <v>4</v>
      </c>
      <c r="G3586" s="1181">
        <v>65</v>
      </c>
      <c r="H3586" s="1276">
        <f>G3586*F3586</f>
        <v>260</v>
      </c>
    </row>
    <row r="3587" spans="1:8">
      <c r="G3587" s="1541" t="s">
        <v>4432</v>
      </c>
      <c r="H3587" s="1488">
        <f>SUM(H3576:H3586)</f>
        <v>4332</v>
      </c>
    </row>
    <row r="3592" spans="1:8">
      <c r="A3592" s="289" t="s">
        <v>99</v>
      </c>
      <c r="B3592" s="289" t="s">
        <v>16</v>
      </c>
      <c r="C3592" s="289" t="s">
        <v>203</v>
      </c>
      <c r="D3592" s="289" t="s">
        <v>163</v>
      </c>
      <c r="E3592" s="289" t="s">
        <v>197</v>
      </c>
      <c r="F3592" s="289" t="s">
        <v>198</v>
      </c>
      <c r="G3592" s="1541" t="s">
        <v>242</v>
      </c>
    </row>
    <row r="3593" spans="1:8">
      <c r="A3593" s="1400" t="s">
        <v>4134</v>
      </c>
      <c r="B3593" s="300" t="s">
        <v>3624</v>
      </c>
      <c r="C3593" s="41" t="s">
        <v>4174</v>
      </c>
      <c r="D3593" s="328">
        <v>58.8</v>
      </c>
      <c r="E3593" s="299">
        <v>1</v>
      </c>
      <c r="F3593" s="328">
        <f>D3593*E3593</f>
        <v>58.8</v>
      </c>
      <c r="G3593" s="1181">
        <v>15.11</v>
      </c>
    </row>
    <row r="3594" spans="1:8">
      <c r="A3594" s="1400" t="s">
        <v>4134</v>
      </c>
      <c r="B3594" s="300" t="s">
        <v>3624</v>
      </c>
      <c r="C3594" s="41" t="s">
        <v>4174</v>
      </c>
      <c r="D3594" s="328">
        <v>59.1</v>
      </c>
      <c r="E3594" s="299">
        <v>1</v>
      </c>
      <c r="F3594" s="328">
        <f>D3594*E3594</f>
        <v>59.1</v>
      </c>
      <c r="G3594" s="1181">
        <v>15.11</v>
      </c>
    </row>
    <row r="3595" spans="1:8">
      <c r="A3595" s="1400" t="s">
        <v>4134</v>
      </c>
      <c r="B3595" s="300" t="s">
        <v>3624</v>
      </c>
      <c r="C3595" s="41" t="s">
        <v>4174</v>
      </c>
      <c r="D3595" s="328">
        <v>59.4</v>
      </c>
      <c r="E3595" s="299">
        <v>1</v>
      </c>
      <c r="F3595" s="328">
        <f>D3595*E3595</f>
        <v>59.4</v>
      </c>
      <c r="G3595" s="1181">
        <v>15.11</v>
      </c>
    </row>
    <row r="3596" spans="1:8">
      <c r="A3596" s="1400" t="s">
        <v>4134</v>
      </c>
      <c r="B3596" s="300" t="s">
        <v>3624</v>
      </c>
      <c r="C3596" s="41" t="s">
        <v>4174</v>
      </c>
      <c r="D3596" s="328">
        <v>13</v>
      </c>
      <c r="E3596" s="299">
        <v>1</v>
      </c>
      <c r="F3596" s="328">
        <f>D3596*E3596</f>
        <v>13</v>
      </c>
      <c r="G3596" s="1181">
        <v>18.23</v>
      </c>
    </row>
    <row r="3600" spans="1:8">
      <c r="A3600" s="289" t="s">
        <v>16</v>
      </c>
      <c r="B3600" s="289" t="s">
        <v>203</v>
      </c>
      <c r="C3600" s="289" t="s">
        <v>163</v>
      </c>
      <c r="D3600" s="289" t="s">
        <v>197</v>
      </c>
      <c r="E3600" s="289" t="s">
        <v>198</v>
      </c>
      <c r="F3600" s="1406" t="s">
        <v>4444</v>
      </c>
    </row>
    <row r="3601" spans="1:8">
      <c r="A3601" s="1283">
        <v>6</v>
      </c>
      <c r="B3601" s="1750" t="s">
        <v>4425</v>
      </c>
      <c r="C3601" s="296">
        <v>20</v>
      </c>
      <c r="D3601" s="297">
        <v>8</v>
      </c>
      <c r="E3601" s="43">
        <v>160</v>
      </c>
      <c r="F3601" s="1674" t="s">
        <v>4445</v>
      </c>
    </row>
    <row r="3602" spans="1:8">
      <c r="A3602" s="1283">
        <v>6</v>
      </c>
      <c r="B3602" s="41" t="s">
        <v>4426</v>
      </c>
      <c r="C3602" s="296">
        <v>20</v>
      </c>
      <c r="D3602" s="297">
        <v>5</v>
      </c>
      <c r="E3602" s="43">
        <v>100</v>
      </c>
      <c r="F3602" s="302" t="s">
        <v>4445</v>
      </c>
    </row>
    <row r="3603" spans="1:8">
      <c r="A3603" s="1283">
        <v>6</v>
      </c>
      <c r="B3603" s="1751" t="s">
        <v>4427</v>
      </c>
      <c r="C3603" s="296">
        <v>20</v>
      </c>
      <c r="D3603" s="297">
        <v>7</v>
      </c>
      <c r="E3603" s="43">
        <v>140</v>
      </c>
      <c r="F3603" s="302" t="s">
        <v>4445</v>
      </c>
    </row>
    <row r="3604" spans="1:8">
      <c r="A3604" s="1283">
        <v>9</v>
      </c>
      <c r="B3604" s="1750" t="s">
        <v>4425</v>
      </c>
      <c r="C3604" s="296">
        <v>20</v>
      </c>
      <c r="D3604" s="297">
        <v>5</v>
      </c>
      <c r="E3604" s="43">
        <v>100</v>
      </c>
      <c r="F3604" s="302" t="s">
        <v>4446</v>
      </c>
    </row>
    <row r="3605" spans="1:8">
      <c r="A3605" s="1283">
        <v>9</v>
      </c>
      <c r="B3605" s="41" t="s">
        <v>4428</v>
      </c>
      <c r="C3605" s="296">
        <v>20</v>
      </c>
      <c r="D3605" s="297">
        <v>5</v>
      </c>
      <c r="E3605" s="43">
        <v>100</v>
      </c>
      <c r="F3605" s="302" t="s">
        <v>4446</v>
      </c>
    </row>
    <row r="3606" spans="1:8">
      <c r="A3606" s="1283">
        <v>9</v>
      </c>
      <c r="B3606" s="1751" t="s">
        <v>4427</v>
      </c>
      <c r="C3606" s="296">
        <v>20</v>
      </c>
      <c r="D3606" s="297">
        <v>5</v>
      </c>
      <c r="E3606" s="43">
        <v>100</v>
      </c>
      <c r="F3606" s="302" t="s">
        <v>4446</v>
      </c>
    </row>
    <row r="3607" spans="1:8">
      <c r="A3607" s="1283"/>
      <c r="B3607" s="1404" t="s">
        <v>4438</v>
      </c>
      <c r="C3607" s="292"/>
      <c r="D3607" s="1181"/>
      <c r="E3607" s="1752" t="s">
        <v>4439</v>
      </c>
      <c r="F3607" s="1753" t="s">
        <v>4447</v>
      </c>
    </row>
    <row r="3608" spans="1:8">
      <c r="A3608" s="1283"/>
      <c r="B3608" s="1404" t="s">
        <v>4440</v>
      </c>
      <c r="C3608" s="292"/>
      <c r="D3608" s="1181"/>
      <c r="E3608" s="1752" t="s">
        <v>4441</v>
      </c>
      <c r="F3608" s="1753" t="s">
        <v>4448</v>
      </c>
    </row>
    <row r="3609" spans="1:8">
      <c r="A3609" s="1283"/>
      <c r="B3609" s="1404" t="s">
        <v>4442</v>
      </c>
      <c r="C3609" s="292"/>
      <c r="D3609" s="1181"/>
      <c r="E3609" s="1752" t="s">
        <v>4443</v>
      </c>
      <c r="F3609" s="1753" t="s">
        <v>4449</v>
      </c>
    </row>
    <row r="3612" spans="1:8">
      <c r="A3612" s="289" t="s">
        <v>99</v>
      </c>
      <c r="B3612" s="289" t="s">
        <v>16</v>
      </c>
      <c r="C3612" s="289" t="s">
        <v>203</v>
      </c>
      <c r="D3612" s="289" t="s">
        <v>163</v>
      </c>
      <c r="E3612" s="289" t="s">
        <v>197</v>
      </c>
      <c r="F3612" s="289" t="s">
        <v>198</v>
      </c>
      <c r="G3612" s="1541" t="s">
        <v>242</v>
      </c>
      <c r="H3612" s="1541" t="s">
        <v>4452</v>
      </c>
    </row>
    <row r="3613" spans="1:8">
      <c r="A3613" s="41">
        <v>4141</v>
      </c>
      <c r="B3613" s="1283">
        <v>9</v>
      </c>
      <c r="C3613" s="41" t="s">
        <v>4211</v>
      </c>
      <c r="D3613" s="1624">
        <v>20</v>
      </c>
      <c r="E3613" s="1625">
        <v>15</v>
      </c>
      <c r="F3613" s="1634">
        <f>D3613*E3613</f>
        <v>300</v>
      </c>
      <c r="G3613" s="1468">
        <v>1.33</v>
      </c>
      <c r="H3613" s="1468" t="s">
        <v>4456</v>
      </c>
    </row>
    <row r="3614" spans="1:8">
      <c r="A3614" s="41"/>
      <c r="B3614" s="136"/>
      <c r="C3614" s="136" t="s">
        <v>4430</v>
      </c>
      <c r="D3614" s="1635"/>
      <c r="E3614" s="1625"/>
      <c r="F3614" s="1635">
        <v>1</v>
      </c>
      <c r="G3614" s="1187">
        <v>270</v>
      </c>
      <c r="H3614" s="1468"/>
    </row>
    <row r="3615" spans="1:8">
      <c r="A3615" s="41">
        <v>4141</v>
      </c>
      <c r="B3615" s="1283">
        <v>9</v>
      </c>
      <c r="C3615" s="41" t="s">
        <v>4255</v>
      </c>
      <c r="D3615" s="1624">
        <v>20</v>
      </c>
      <c r="E3615" s="1625">
        <v>5</v>
      </c>
      <c r="F3615" s="1634">
        <f>D3615*E3615</f>
        <v>100</v>
      </c>
      <c r="G3615" s="1468">
        <v>1.33</v>
      </c>
      <c r="H3615" s="1468" t="s">
        <v>4454</v>
      </c>
    </row>
    <row r="3616" spans="1:8">
      <c r="A3616" s="41"/>
      <c r="B3616" s="136"/>
      <c r="C3616" s="136" t="s">
        <v>218</v>
      </c>
      <c r="D3616" s="1635"/>
      <c r="E3616" s="1625"/>
      <c r="F3616" s="1635">
        <v>1</v>
      </c>
      <c r="G3616" s="1187">
        <v>12</v>
      </c>
      <c r="H3616" s="131"/>
    </row>
    <row r="3620" spans="1:8">
      <c r="A3620" s="41">
        <v>4141</v>
      </c>
      <c r="B3620" s="1283">
        <v>9</v>
      </c>
      <c r="C3620" s="41" t="s">
        <v>4255</v>
      </c>
      <c r="D3620" s="1624">
        <v>20</v>
      </c>
      <c r="E3620" s="1625">
        <v>5</v>
      </c>
      <c r="F3620" s="1634">
        <f>D3620*E3620</f>
        <v>100</v>
      </c>
    </row>
    <row r="3621" spans="1:8">
      <c r="A3621" s="41">
        <v>4141</v>
      </c>
      <c r="B3621" s="1283">
        <v>6</v>
      </c>
      <c r="C3621" s="41" t="s">
        <v>4255</v>
      </c>
      <c r="D3621" s="1624">
        <v>20</v>
      </c>
      <c r="E3621" s="1625">
        <v>10</v>
      </c>
      <c r="F3621" s="1634">
        <f>D3621*E3621</f>
        <v>200</v>
      </c>
    </row>
    <row r="3623" spans="1:8">
      <c r="A3623" s="289" t="s">
        <v>99</v>
      </c>
      <c r="B3623" s="289" t="s">
        <v>16</v>
      </c>
      <c r="C3623" s="289" t="s">
        <v>203</v>
      </c>
      <c r="D3623" s="289" t="s">
        <v>163</v>
      </c>
      <c r="E3623" s="289" t="s">
        <v>197</v>
      </c>
      <c r="F3623" s="289" t="s">
        <v>198</v>
      </c>
      <c r="G3623" s="1541" t="s">
        <v>242</v>
      </c>
      <c r="H3623" s="1541" t="s">
        <v>4452</v>
      </c>
    </row>
    <row r="3624" spans="1:8">
      <c r="A3624" s="41">
        <v>4141</v>
      </c>
      <c r="B3624" s="1283">
        <v>9</v>
      </c>
      <c r="C3624" s="41" t="s">
        <v>4211</v>
      </c>
      <c r="D3624" s="1624">
        <v>20</v>
      </c>
      <c r="E3624" s="1625">
        <v>5</v>
      </c>
      <c r="F3624" s="1634">
        <f>D3624*E3624</f>
        <v>100</v>
      </c>
      <c r="G3624" s="1468">
        <v>1.33</v>
      </c>
      <c r="H3624" s="1468" t="s">
        <v>4453</v>
      </c>
    </row>
    <row r="3625" spans="1:8">
      <c r="A3625" s="41">
        <v>4141</v>
      </c>
      <c r="B3625" s="1283">
        <v>9</v>
      </c>
      <c r="C3625" s="41" t="s">
        <v>4255</v>
      </c>
      <c r="D3625" s="1624">
        <v>20</v>
      </c>
      <c r="E3625" s="1625">
        <v>5</v>
      </c>
      <c r="F3625" s="1634">
        <f>D3625*E3625</f>
        <v>100</v>
      </c>
      <c r="G3625" s="1468">
        <v>1.33</v>
      </c>
      <c r="H3625" s="1468" t="s">
        <v>4455</v>
      </c>
    </row>
    <row r="3626" spans="1:8">
      <c r="A3626" s="41">
        <v>4141</v>
      </c>
      <c r="B3626" s="1283">
        <v>6</v>
      </c>
      <c r="C3626" s="41" t="s">
        <v>4255</v>
      </c>
      <c r="D3626" s="1624">
        <v>20</v>
      </c>
      <c r="E3626" s="1625">
        <v>10</v>
      </c>
      <c r="F3626" s="1634">
        <f>D3626*E3626</f>
        <v>200</v>
      </c>
      <c r="G3626" s="1468">
        <v>1.2</v>
      </c>
      <c r="H3626" s="1468" t="s">
        <v>4455</v>
      </c>
    </row>
    <row r="3627" spans="1:8">
      <c r="A3627" s="41"/>
      <c r="B3627" s="136"/>
      <c r="C3627" s="136" t="s">
        <v>4430</v>
      </c>
      <c r="D3627" s="1635"/>
      <c r="E3627" s="1625"/>
      <c r="F3627" s="1635">
        <v>1</v>
      </c>
      <c r="G3627" s="1187">
        <v>270</v>
      </c>
      <c r="H3627" s="131"/>
    </row>
    <row r="3628" spans="1:8">
      <c r="A3628" s="41"/>
      <c r="B3628" s="136"/>
      <c r="C3628" s="136" t="s">
        <v>218</v>
      </c>
      <c r="D3628" s="1635"/>
      <c r="E3628" s="1625"/>
      <c r="F3628" s="1635">
        <v>1</v>
      </c>
      <c r="G3628" s="1187">
        <v>12</v>
      </c>
      <c r="H3628" s="131"/>
    </row>
    <row r="3632" spans="1:8">
      <c r="A3632" s="4" t="s">
        <v>4459</v>
      </c>
      <c r="B3632" s="289" t="s">
        <v>99</v>
      </c>
      <c r="C3632" s="289" t="s">
        <v>203</v>
      </c>
      <c r="D3632" s="289" t="s">
        <v>198</v>
      </c>
      <c r="E3632" s="1541" t="s">
        <v>242</v>
      </c>
      <c r="F3632" s="1606" t="s">
        <v>4464</v>
      </c>
    </row>
    <row r="3633" spans="1:8">
      <c r="A3633" s="4" t="s">
        <v>4462</v>
      </c>
      <c r="B3633" s="1182" t="s">
        <v>3857</v>
      </c>
      <c r="C3633" s="41" t="s">
        <v>25</v>
      </c>
      <c r="D3633" s="1754">
        <v>50</v>
      </c>
      <c r="E3633" s="1184">
        <v>1.17</v>
      </c>
      <c r="F3633" s="1605" t="s">
        <v>4465</v>
      </c>
    </row>
    <row r="3634" spans="1:8">
      <c r="A3634" s="4" t="s">
        <v>4463</v>
      </c>
      <c r="B3634" s="1182" t="s">
        <v>4461</v>
      </c>
      <c r="C3634" s="41" t="s">
        <v>25</v>
      </c>
      <c r="D3634" s="1754">
        <v>50</v>
      </c>
      <c r="E3634" s="1184">
        <v>1.21</v>
      </c>
      <c r="F3634" s="1605" t="s">
        <v>4466</v>
      </c>
    </row>
    <row r="3635" spans="1:8">
      <c r="A3635" s="4" t="s">
        <v>4462</v>
      </c>
      <c r="B3635" s="1182" t="s">
        <v>4461</v>
      </c>
      <c r="C3635" s="41" t="s">
        <v>25</v>
      </c>
      <c r="D3635" s="1754">
        <v>150</v>
      </c>
      <c r="E3635" s="1184">
        <v>1.21</v>
      </c>
      <c r="F3635" s="1605" t="s">
        <v>4465</v>
      </c>
    </row>
    <row r="3636" spans="1:8">
      <c r="A3636" s="4" t="s">
        <v>4462</v>
      </c>
      <c r="B3636" s="41"/>
      <c r="C3636" s="136" t="s">
        <v>218</v>
      </c>
      <c r="D3636" s="292">
        <v>1</v>
      </c>
      <c r="E3636" s="1181">
        <v>12</v>
      </c>
      <c r="F3636" s="1276"/>
    </row>
    <row r="3638" spans="1:8">
      <c r="A3638" s="345" t="s">
        <v>4467</v>
      </c>
    </row>
    <row r="3639" spans="1:8" ht="25.5">
      <c r="A3639" s="1527" t="s">
        <v>4469</v>
      </c>
      <c r="B3639" s="1528" t="s">
        <v>142</v>
      </c>
      <c r="C3639" s="1528" t="s">
        <v>3604</v>
      </c>
      <c r="D3639" s="1408" t="s">
        <v>4471</v>
      </c>
      <c r="E3639" s="1524" t="s">
        <v>4476</v>
      </c>
      <c r="F3639" s="1524" t="s">
        <v>3909</v>
      </c>
      <c r="G3639" s="1521" t="s">
        <v>1843</v>
      </c>
    </row>
    <row r="3640" spans="1:8">
      <c r="A3640" s="41" t="s">
        <v>4468</v>
      </c>
      <c r="B3640" s="41" t="s">
        <v>4473</v>
      </c>
      <c r="C3640" s="1529">
        <f>ROUNDUP(E3640/0.6/140,2)</f>
        <v>5.6</v>
      </c>
      <c r="D3640" s="1755" t="s">
        <v>231</v>
      </c>
      <c r="E3640" s="1525">
        <v>470</v>
      </c>
      <c r="F3640" s="1591">
        <f>(C3640-(E3640/G3640))/C3640</f>
        <v>0.40051020408163263</v>
      </c>
      <c r="G3640" s="1523">
        <v>140</v>
      </c>
    </row>
    <row r="3641" spans="1:8">
      <c r="A3641" s="41" t="s">
        <v>4470</v>
      </c>
      <c r="B3641" s="41" t="s">
        <v>4473</v>
      </c>
      <c r="C3641" s="1529">
        <f>ROUNDUP(E3641/0.6/140,2)</f>
        <v>5.96</v>
      </c>
      <c r="D3641" s="1756" t="s">
        <v>231</v>
      </c>
      <c r="E3641" s="1525">
        <v>500</v>
      </c>
      <c r="F3641" s="1591">
        <f>(C3641-(E3641/G3641))/C3641</f>
        <v>0.40076701821668259</v>
      </c>
      <c r="G3641" s="1523">
        <v>140</v>
      </c>
      <c r="H3641" s="1523"/>
    </row>
    <row r="3642" spans="1:8">
      <c r="A3642" s="41" t="s">
        <v>4472</v>
      </c>
      <c r="B3642" s="41" t="s">
        <v>4474</v>
      </c>
      <c r="C3642" s="1529">
        <f>ROUNDUP(E3642/0.6/140,2)</f>
        <v>6.31</v>
      </c>
      <c r="D3642" s="1755">
        <v>110</v>
      </c>
      <c r="E3642" s="1525">
        <f>470+60</f>
        <v>530</v>
      </c>
      <c r="F3642" s="1591">
        <f>(C3642-(E3642/G3642))/C3642</f>
        <v>0.40004527960153952</v>
      </c>
      <c r="G3642" s="1523">
        <v>140</v>
      </c>
      <c r="H3642" t="s">
        <v>4475</v>
      </c>
    </row>
    <row r="3644" spans="1:8">
      <c r="A3644" s="41" t="s">
        <v>4468</v>
      </c>
      <c r="B3644" s="41" t="s">
        <v>4481</v>
      </c>
      <c r="C3644" s="1529">
        <f>ROUNDUP(E3644/0.6/140,2)</f>
        <v>5.3599999999999994</v>
      </c>
      <c r="D3644" s="1755" t="s">
        <v>231</v>
      </c>
      <c r="E3644" s="1525">
        <v>450</v>
      </c>
      <c r="F3644" s="1591">
        <f>(C3644-(E3644/G3644))/C3644</f>
        <v>0.40031982942430694</v>
      </c>
      <c r="G3644" s="1523">
        <v>140</v>
      </c>
    </row>
    <row r="3649" spans="1:6">
      <c r="A3649" s="289" t="s">
        <v>99</v>
      </c>
      <c r="B3649" s="289" t="s">
        <v>203</v>
      </c>
      <c r="C3649" s="289" t="s">
        <v>163</v>
      </c>
      <c r="D3649" s="289" t="s">
        <v>197</v>
      </c>
      <c r="E3649" s="289" t="s">
        <v>198</v>
      </c>
      <c r="F3649" s="1541" t="s">
        <v>242</v>
      </c>
    </row>
    <row r="3650" spans="1:6">
      <c r="A3650" s="41" t="s">
        <v>4479</v>
      </c>
      <c r="B3650" s="41" t="s">
        <v>25</v>
      </c>
      <c r="C3650" s="296">
        <v>13.7</v>
      </c>
      <c r="D3650" s="297">
        <v>1</v>
      </c>
      <c r="E3650" s="328">
        <f>C3650*D3650</f>
        <v>13.7</v>
      </c>
      <c r="F3650" s="1181">
        <v>5.6</v>
      </c>
    </row>
    <row r="3651" spans="1:6">
      <c r="A3651" s="41"/>
      <c r="B3651" s="136" t="s">
        <v>218</v>
      </c>
      <c r="C3651" s="292"/>
      <c r="D3651" s="297"/>
      <c r="E3651" s="292">
        <v>1</v>
      </c>
      <c r="F3651" s="1181">
        <v>12</v>
      </c>
    </row>
    <row r="3655" spans="1:6">
      <c r="A3655" s="289" t="s">
        <v>99</v>
      </c>
      <c r="B3655" s="289" t="s">
        <v>203</v>
      </c>
      <c r="C3655" s="289" t="s">
        <v>198</v>
      </c>
      <c r="D3655" s="1541" t="s">
        <v>242</v>
      </c>
    </row>
    <row r="3656" spans="1:6">
      <c r="A3656" s="41" t="s">
        <v>4482</v>
      </c>
      <c r="B3656" s="41" t="s">
        <v>25</v>
      </c>
      <c r="C3656" s="298">
        <v>5</v>
      </c>
      <c r="D3656" s="1181">
        <v>6.55</v>
      </c>
    </row>
    <row r="3657" spans="1:6">
      <c r="A3657" s="41" t="s">
        <v>4483</v>
      </c>
      <c r="B3657" s="41" t="s">
        <v>25</v>
      </c>
      <c r="C3657" s="298">
        <v>5</v>
      </c>
      <c r="D3657" s="1181"/>
    </row>
    <row r="3658" spans="1:6">
      <c r="A3658" s="41" t="s">
        <v>4484</v>
      </c>
      <c r="B3658" s="41" t="s">
        <v>25</v>
      </c>
      <c r="C3658" s="298">
        <v>5</v>
      </c>
      <c r="D3658" s="1181">
        <v>2.74</v>
      </c>
    </row>
    <row r="3659" spans="1:6">
      <c r="A3659" s="41" t="s">
        <v>4485</v>
      </c>
      <c r="B3659" s="41" t="s">
        <v>25</v>
      </c>
      <c r="C3659" s="298">
        <v>5</v>
      </c>
      <c r="D3659" s="1181">
        <v>2.2400000000000002</v>
      </c>
    </row>
    <row r="3660" spans="1:6">
      <c r="A3660" s="41" t="s">
        <v>4486</v>
      </c>
      <c r="B3660" s="41" t="s">
        <v>25</v>
      </c>
      <c r="C3660" s="298">
        <v>5</v>
      </c>
      <c r="D3660" s="1181">
        <v>1.48</v>
      </c>
    </row>
    <row r="3661" spans="1:6">
      <c r="A3661" s="41"/>
      <c r="B3661" s="136" t="s">
        <v>218</v>
      </c>
      <c r="C3661" s="292">
        <v>1</v>
      </c>
      <c r="D3661" s="1181">
        <v>12</v>
      </c>
    </row>
    <row r="3664" spans="1:6">
      <c r="A3664" s="289" t="s">
        <v>99</v>
      </c>
      <c r="B3664" s="289" t="s">
        <v>203</v>
      </c>
      <c r="C3664" s="289" t="s">
        <v>198</v>
      </c>
      <c r="D3664" s="1541" t="s">
        <v>242</v>
      </c>
    </row>
    <row r="3665" spans="1:5">
      <c r="A3665" s="41" t="s">
        <v>4482</v>
      </c>
      <c r="B3665" s="41" t="s">
        <v>25</v>
      </c>
      <c r="C3665" s="298">
        <v>5</v>
      </c>
      <c r="D3665" s="1181">
        <v>6.55</v>
      </c>
    </row>
    <row r="3666" spans="1:5">
      <c r="A3666" s="41" t="s">
        <v>4483</v>
      </c>
      <c r="B3666" s="41" t="s">
        <v>25</v>
      </c>
      <c r="C3666" s="298">
        <v>5</v>
      </c>
      <c r="D3666" s="1181">
        <v>1.97</v>
      </c>
    </row>
    <row r="3667" spans="1:5">
      <c r="A3667" s="41" t="s">
        <v>4484</v>
      </c>
      <c r="B3667" s="41" t="s">
        <v>25</v>
      </c>
      <c r="C3667" s="298">
        <v>5</v>
      </c>
      <c r="D3667" s="1181">
        <v>2.74</v>
      </c>
    </row>
    <row r="3668" spans="1:5">
      <c r="A3668" s="41" t="s">
        <v>4485</v>
      </c>
      <c r="B3668" s="41" t="s">
        <v>25</v>
      </c>
      <c r="C3668" s="298">
        <v>5</v>
      </c>
      <c r="D3668" s="1181">
        <v>2.2400000000000002</v>
      </c>
    </row>
    <row r="3669" spans="1:5">
      <c r="A3669" s="41" t="s">
        <v>4486</v>
      </c>
      <c r="B3669" s="41" t="s">
        <v>25</v>
      </c>
      <c r="C3669" s="298">
        <v>5</v>
      </c>
      <c r="D3669" s="1181">
        <v>1.48</v>
      </c>
    </row>
    <row r="3670" spans="1:5">
      <c r="A3670" s="41"/>
      <c r="B3670" s="136" t="s">
        <v>218</v>
      </c>
      <c r="C3670" s="292">
        <v>1</v>
      </c>
      <c r="D3670" s="1181">
        <v>12</v>
      </c>
    </row>
    <row r="3674" spans="1:5">
      <c r="A3674" s="289" t="s">
        <v>99</v>
      </c>
      <c r="B3674" s="289" t="s">
        <v>203</v>
      </c>
      <c r="C3674" s="289" t="s">
        <v>198</v>
      </c>
      <c r="D3674" s="1541" t="s">
        <v>242</v>
      </c>
      <c r="E3674" s="1606" t="s">
        <v>3739</v>
      </c>
    </row>
    <row r="3675" spans="1:5">
      <c r="A3675" s="41" t="s">
        <v>4484</v>
      </c>
      <c r="B3675" s="41" t="s">
        <v>25</v>
      </c>
      <c r="C3675" s="298">
        <v>5</v>
      </c>
      <c r="D3675" s="1181">
        <v>2.74</v>
      </c>
      <c r="E3675" s="1276">
        <f>D3675*C3675</f>
        <v>13.700000000000001</v>
      </c>
    </row>
    <row r="3676" spans="1:5">
      <c r="A3676" s="41" t="s">
        <v>4485</v>
      </c>
      <c r="B3676" s="41" t="s">
        <v>25</v>
      </c>
      <c r="C3676" s="298">
        <v>5</v>
      </c>
      <c r="D3676" s="1181">
        <v>2.2400000000000002</v>
      </c>
      <c r="E3676" s="1276">
        <f>D3676*C3676</f>
        <v>11.200000000000001</v>
      </c>
    </row>
    <row r="3677" spans="1:5">
      <c r="A3677" s="41"/>
      <c r="B3677" s="136" t="s">
        <v>218</v>
      </c>
      <c r="C3677" s="292">
        <v>1</v>
      </c>
      <c r="D3677" s="1181">
        <v>12</v>
      </c>
      <c r="E3677" s="1276">
        <f>D3677*C3677</f>
        <v>12</v>
      </c>
    </row>
    <row r="3678" spans="1:5">
      <c r="A3678" s="41"/>
      <c r="B3678" s="136"/>
      <c r="C3678" s="292"/>
      <c r="D3678" s="1487" t="s">
        <v>89</v>
      </c>
      <c r="E3678" s="1488">
        <f>SUM(E3675:E3677)</f>
        <v>36.900000000000006</v>
      </c>
    </row>
    <row r="3680" spans="1:5">
      <c r="A3680" s="1633" t="s">
        <v>4488</v>
      </c>
    </row>
    <row r="3681" spans="1:7" ht="14.25" thickBot="1"/>
    <row r="3682" spans="1:7" ht="14.25" thickBot="1">
      <c r="A3682" s="348" t="s">
        <v>4146</v>
      </c>
      <c r="B3682" s="1631" t="s">
        <v>3654</v>
      </c>
      <c r="C3682" s="1631" t="s">
        <v>4135</v>
      </c>
      <c r="D3682" s="348" t="s">
        <v>4136</v>
      </c>
      <c r="E3682" s="1639" t="s">
        <v>3609</v>
      </c>
      <c r="F3682" s="1640" t="s">
        <v>3909</v>
      </c>
      <c r="G3682" s="1640" t="s">
        <v>1843</v>
      </c>
    </row>
    <row r="3683" spans="1:7" ht="15" thickBot="1">
      <c r="A3683" s="351" t="s">
        <v>4019</v>
      </c>
      <c r="B3683" s="351" t="s">
        <v>4138</v>
      </c>
      <c r="C3683" s="1632" t="s">
        <v>4142</v>
      </c>
      <c r="D3683" s="1638">
        <v>20.13</v>
      </c>
      <c r="E3683" s="1641">
        <v>1910</v>
      </c>
      <c r="F3683" s="1642">
        <f>(D3683-(E3683/G3683))/D3683</f>
        <v>0.24093392945851963</v>
      </c>
      <c r="G3683" s="1643">
        <v>125</v>
      </c>
    </row>
    <row r="3684" spans="1:7" ht="15" thickBot="1">
      <c r="A3684" s="351" t="s">
        <v>4137</v>
      </c>
      <c r="B3684" s="351" t="s">
        <v>4138</v>
      </c>
      <c r="C3684" s="1632" t="s">
        <v>4143</v>
      </c>
      <c r="D3684" s="1638">
        <v>23.38</v>
      </c>
      <c r="E3684" s="1641">
        <f>1910+300</f>
        <v>2210</v>
      </c>
      <c r="F3684" s="1642">
        <f>(D3684-(E3684/G3684))/D3684</f>
        <v>0.24379811804961504</v>
      </c>
      <c r="G3684" s="1643">
        <v>125</v>
      </c>
    </row>
    <row r="3685" spans="1:7" ht="15" thickBot="1">
      <c r="A3685" s="351" t="s">
        <v>4141</v>
      </c>
      <c r="B3685" s="351" t="s">
        <v>4138</v>
      </c>
      <c r="C3685" s="1632" t="s">
        <v>4142</v>
      </c>
      <c r="D3685" s="1638">
        <v>20.13</v>
      </c>
      <c r="E3685" s="1641">
        <v>1910</v>
      </c>
      <c r="F3685" s="1642">
        <f>(D3685-(E3685/G3685))/D3685</f>
        <v>0.24093392945851963</v>
      </c>
      <c r="G3685" s="1643">
        <v>125</v>
      </c>
    </row>
    <row r="3686" spans="1:7" ht="15" thickBot="1">
      <c r="A3686" s="351" t="s">
        <v>4141</v>
      </c>
      <c r="B3686" s="351" t="s">
        <v>4138</v>
      </c>
      <c r="C3686" s="1632" t="s">
        <v>4143</v>
      </c>
      <c r="D3686" s="1638">
        <v>23.38</v>
      </c>
      <c r="E3686" s="1641">
        <f>1910+300</f>
        <v>2210</v>
      </c>
      <c r="F3686" s="1642">
        <f>(D3686-(E3686/G3686))/D3686</f>
        <v>0.24379811804961504</v>
      </c>
      <c r="G3686" s="1643">
        <v>125</v>
      </c>
    </row>
    <row r="3687" spans="1:7">
      <c r="A3687" s="1520" t="s">
        <v>4144</v>
      </c>
    </row>
    <row r="3688" spans="1:7">
      <c r="A3688" s="2062" t="s">
        <v>4489</v>
      </c>
      <c r="B3688" s="2062"/>
      <c r="C3688" s="2062"/>
    </row>
    <row r="3689" spans="1:7">
      <c r="A3689" s="1758" t="s">
        <v>4490</v>
      </c>
      <c r="B3689" s="1758"/>
      <c r="C3689" s="1758"/>
    </row>
    <row r="3690" spans="1:7">
      <c r="A3690" s="1474" t="s">
        <v>4491</v>
      </c>
    </row>
    <row r="3693" spans="1:7">
      <c r="A3693" s="345" t="s">
        <v>4492</v>
      </c>
    </row>
    <row r="3694" spans="1:7" ht="15">
      <c r="A3694" s="1527" t="s">
        <v>4469</v>
      </c>
      <c r="B3694" s="1528" t="s">
        <v>142</v>
      </c>
      <c r="C3694" s="1528" t="s">
        <v>3604</v>
      </c>
      <c r="D3694" s="1524" t="s">
        <v>4476</v>
      </c>
      <c r="E3694" s="1524" t="s">
        <v>3909</v>
      </c>
      <c r="F3694" s="1521" t="s">
        <v>1843</v>
      </c>
    </row>
    <row r="3695" spans="1:7">
      <c r="A3695" s="41" t="s">
        <v>4493</v>
      </c>
      <c r="B3695" s="41" t="s">
        <v>188</v>
      </c>
      <c r="C3695" s="1529">
        <f>ROUNDUP(D3695/0.6/140,2)</f>
        <v>4.58</v>
      </c>
      <c r="D3695" s="1525">
        <v>384</v>
      </c>
      <c r="E3695" s="1591">
        <f>(C3695-(D3695/F3695))/C3695</f>
        <v>0.40112289457267625</v>
      </c>
      <c r="F3695" s="1523">
        <v>140</v>
      </c>
    </row>
    <row r="3697" spans="1:6" ht="15">
      <c r="A3697" s="1527" t="s">
        <v>4469</v>
      </c>
      <c r="B3697" s="1528" t="s">
        <v>142</v>
      </c>
      <c r="C3697" s="1528" t="s">
        <v>3604</v>
      </c>
      <c r="D3697" s="1524" t="s">
        <v>4476</v>
      </c>
      <c r="E3697" s="1524" t="s">
        <v>3909</v>
      </c>
      <c r="F3697" s="1521" t="s">
        <v>1843</v>
      </c>
    </row>
    <row r="3698" spans="1:6">
      <c r="A3698" s="41" t="s">
        <v>4494</v>
      </c>
      <c r="B3698" s="41" t="s">
        <v>188</v>
      </c>
      <c r="C3698" s="1529">
        <f>ROUNDUP(D3698/0.6/140,2)</f>
        <v>2.8299999999999996</v>
      </c>
      <c r="D3698" s="1525">
        <v>237</v>
      </c>
      <c r="E3698" s="1591">
        <f>(C3698-(D3698/F3698))/C3698</f>
        <v>0.40181726400807666</v>
      </c>
      <c r="F3698" s="1523">
        <v>140</v>
      </c>
    </row>
    <row r="3699" spans="1:6">
      <c r="A3699" s="41" t="s">
        <v>4495</v>
      </c>
      <c r="B3699" s="41" t="s">
        <v>188</v>
      </c>
      <c r="C3699" s="1529">
        <f>ROUNDUP(D3699/0.6/140,2)</f>
        <v>2.0999999999999996</v>
      </c>
      <c r="D3699" s="1525">
        <v>176</v>
      </c>
      <c r="E3699" s="1591">
        <f>(C3699-(D3699/F3699))/C3699</f>
        <v>0.40136054421768697</v>
      </c>
      <c r="F3699" s="1523">
        <v>140</v>
      </c>
    </row>
    <row r="3700" spans="1:6">
      <c r="A3700" s="41" t="s">
        <v>4496</v>
      </c>
      <c r="B3700" s="41" t="s">
        <v>188</v>
      </c>
      <c r="C3700" s="1529">
        <f>ROUNDUP(D3700/0.6/140,2)</f>
        <v>2.0599999999999996</v>
      </c>
      <c r="D3700" s="1525">
        <v>173</v>
      </c>
      <c r="E3700" s="1591">
        <f>(C3700-(D3700/F3700))/C3700</f>
        <v>0.40013869625520099</v>
      </c>
      <c r="F3700" s="1523">
        <v>140</v>
      </c>
    </row>
    <row r="3701" spans="1:6">
      <c r="A3701" s="41" t="s">
        <v>4497</v>
      </c>
      <c r="B3701" s="41" t="s">
        <v>188</v>
      </c>
      <c r="C3701" s="1529">
        <f>ROUNDUP(D3701/0.6/140,2)</f>
        <v>2.0999999999999996</v>
      </c>
      <c r="D3701" s="1525">
        <v>176</v>
      </c>
      <c r="E3701" s="1591">
        <f>(C3701-(D3701/F3701))/C3701</f>
        <v>0.40136054421768697</v>
      </c>
      <c r="F3701" s="1523">
        <v>140</v>
      </c>
    </row>
    <row r="3702" spans="1:6">
      <c r="A3702" s="41" t="s">
        <v>4498</v>
      </c>
      <c r="B3702" s="41" t="s">
        <v>188</v>
      </c>
      <c r="C3702" s="1529">
        <f>ROUNDUP(D3702/0.6/140,2)</f>
        <v>2.21</v>
      </c>
      <c r="D3702" s="1525">
        <v>185</v>
      </c>
      <c r="E3702" s="1591">
        <f>(C3702-(D3702/F3702))/C3702</f>
        <v>0.40206851971557855</v>
      </c>
      <c r="F3702" s="1523">
        <v>140</v>
      </c>
    </row>
    <row r="3704" spans="1:6">
      <c r="A3704" s="345" t="s">
        <v>4499</v>
      </c>
    </row>
    <row r="3705" spans="1:6" ht="15">
      <c r="A3705" s="1527" t="s">
        <v>4469</v>
      </c>
      <c r="B3705" s="1528" t="s">
        <v>142</v>
      </c>
      <c r="C3705" s="1528" t="s">
        <v>3604</v>
      </c>
      <c r="D3705" s="1524" t="s">
        <v>4476</v>
      </c>
      <c r="E3705" s="1524" t="s">
        <v>3909</v>
      </c>
      <c r="F3705" s="1521" t="s">
        <v>1843</v>
      </c>
    </row>
    <row r="3706" spans="1:6">
      <c r="A3706" s="41" t="s">
        <v>4500</v>
      </c>
      <c r="B3706" s="41" t="s">
        <v>188</v>
      </c>
      <c r="C3706" s="1529">
        <f t="shared" ref="C3706:C3711" si="105">ROUNDUP(D3706/0.6/140,2)</f>
        <v>2.92</v>
      </c>
      <c r="D3706" s="1525">
        <v>245</v>
      </c>
      <c r="E3706" s="1591">
        <f t="shared" ref="E3706:E3711" si="106">(C3706-(D3706/F3706))/C3706</f>
        <v>0.40068493150684931</v>
      </c>
      <c r="F3706" s="1523">
        <v>140</v>
      </c>
    </row>
    <row r="3707" spans="1:6">
      <c r="A3707" s="41" t="s">
        <v>4501</v>
      </c>
      <c r="B3707" s="41" t="s">
        <v>188</v>
      </c>
      <c r="C3707" s="1529">
        <f t="shared" si="105"/>
        <v>1.23</v>
      </c>
      <c r="D3707" s="1525">
        <v>103</v>
      </c>
      <c r="E3707" s="1591">
        <f t="shared" si="106"/>
        <v>0.40185830429732866</v>
      </c>
      <c r="F3707" s="1523">
        <v>140</v>
      </c>
    </row>
    <row r="3708" spans="1:6">
      <c r="A3708" s="41" t="s">
        <v>4502</v>
      </c>
      <c r="B3708" s="41" t="s">
        <v>188</v>
      </c>
      <c r="C3708" s="1529">
        <f t="shared" si="105"/>
        <v>1.1599999999999999</v>
      </c>
      <c r="D3708" s="1525">
        <v>97</v>
      </c>
      <c r="E3708" s="1591">
        <f t="shared" si="106"/>
        <v>0.40270935960591131</v>
      </c>
      <c r="F3708" s="1523">
        <v>140</v>
      </c>
    </row>
    <row r="3709" spans="1:6">
      <c r="A3709" s="41" t="s">
        <v>4503</v>
      </c>
      <c r="B3709" s="41" t="s">
        <v>188</v>
      </c>
      <c r="C3709" s="1529">
        <f t="shared" si="105"/>
        <v>1.25</v>
      </c>
      <c r="D3709" s="1525">
        <v>105</v>
      </c>
      <c r="E3709" s="1591">
        <f t="shared" si="106"/>
        <v>0.4</v>
      </c>
      <c r="F3709" s="1523">
        <v>140</v>
      </c>
    </row>
    <row r="3710" spans="1:6">
      <c r="A3710" s="41" t="s">
        <v>4504</v>
      </c>
      <c r="B3710" s="41" t="s">
        <v>188</v>
      </c>
      <c r="C3710" s="1529">
        <f t="shared" si="105"/>
        <v>1.22</v>
      </c>
      <c r="D3710" s="1525">
        <v>102</v>
      </c>
      <c r="E3710" s="1591">
        <f t="shared" si="106"/>
        <v>0.40281030444964872</v>
      </c>
      <c r="F3710" s="1523">
        <v>140</v>
      </c>
    </row>
    <row r="3711" spans="1:6">
      <c r="A3711" s="41" t="s">
        <v>4505</v>
      </c>
      <c r="B3711" s="41" t="s">
        <v>188</v>
      </c>
      <c r="C3711" s="1529">
        <f t="shared" si="105"/>
        <v>1.05</v>
      </c>
      <c r="D3711" s="1525">
        <v>88</v>
      </c>
      <c r="E3711" s="1591">
        <f t="shared" si="106"/>
        <v>0.40136054421768713</v>
      </c>
      <c r="F3711" s="1523">
        <v>140</v>
      </c>
    </row>
    <row r="3713" spans="1:8">
      <c r="A3713" s="289" t="s">
        <v>99</v>
      </c>
      <c r="B3713" s="289" t="s">
        <v>203</v>
      </c>
      <c r="C3713" s="289" t="s">
        <v>198</v>
      </c>
      <c r="D3713" s="1541" t="s">
        <v>242</v>
      </c>
    </row>
    <row r="3714" spans="1:8">
      <c r="A3714" s="41" t="s">
        <v>4507</v>
      </c>
      <c r="B3714" s="41" t="s">
        <v>4508</v>
      </c>
      <c r="C3714" s="298">
        <v>10</v>
      </c>
      <c r="D3714" s="1181">
        <v>2.92</v>
      </c>
    </row>
    <row r="3715" spans="1:8">
      <c r="A3715" s="41"/>
      <c r="B3715" s="136" t="s">
        <v>218</v>
      </c>
      <c r="C3715" s="292">
        <v>1</v>
      </c>
      <c r="D3715" s="1181">
        <v>12</v>
      </c>
    </row>
    <row r="3718" spans="1:8">
      <c r="A3718" s="345" t="s">
        <v>4510</v>
      </c>
    </row>
    <row r="3719" spans="1:8" ht="25.5">
      <c r="A3719" s="1527" t="s">
        <v>4469</v>
      </c>
      <c r="B3719" s="1528" t="s">
        <v>142</v>
      </c>
      <c r="C3719" s="1528" t="s">
        <v>3604</v>
      </c>
      <c r="D3719" s="1408" t="s">
        <v>4471</v>
      </c>
      <c r="E3719" s="1524" t="s">
        <v>4476</v>
      </c>
      <c r="F3719" s="1524" t="s">
        <v>3909</v>
      </c>
      <c r="G3719" s="1521" t="s">
        <v>1843</v>
      </c>
    </row>
    <row r="3720" spans="1:8">
      <c r="A3720" s="41" t="s">
        <v>4511</v>
      </c>
      <c r="B3720" s="41" t="s">
        <v>188</v>
      </c>
      <c r="C3720" s="1529">
        <f>ROUNDUP(E3720/0.6/130,2)</f>
        <v>1.18</v>
      </c>
      <c r="D3720" s="1759" t="s">
        <v>231</v>
      </c>
      <c r="E3720" s="1525">
        <v>92</v>
      </c>
      <c r="F3720" s="1591">
        <f>(C3720-(E3720/G3720))/C3720</f>
        <v>0.40026075619295953</v>
      </c>
      <c r="G3720" s="1523">
        <v>130</v>
      </c>
    </row>
    <row r="3721" spans="1:8">
      <c r="A3721" s="41" t="s">
        <v>4512</v>
      </c>
      <c r="B3721" s="41" t="s">
        <v>3745</v>
      </c>
      <c r="C3721" s="1529">
        <f>ROUNDUP(E3721/0.6/130,2)</f>
        <v>2.0799999999999996</v>
      </c>
      <c r="D3721" s="1755" t="s">
        <v>4514</v>
      </c>
      <c r="E3721" s="1525">
        <f>92+70</f>
        <v>162</v>
      </c>
      <c r="F3721" s="1591">
        <f>(C3721-(E3721/G3721))/C3721</f>
        <v>0.40088757396449692</v>
      </c>
      <c r="G3721" s="1523">
        <v>130</v>
      </c>
      <c r="H3721" t="s">
        <v>4513</v>
      </c>
    </row>
    <row r="3724" spans="1:8">
      <c r="A3724" s="345" t="s">
        <v>4515</v>
      </c>
    </row>
    <row r="3725" spans="1:8" ht="25.5">
      <c r="A3725" s="1527" t="s">
        <v>4469</v>
      </c>
      <c r="B3725" s="1528" t="s">
        <v>142</v>
      </c>
      <c r="C3725" s="1528" t="s">
        <v>3604</v>
      </c>
      <c r="D3725" s="1408" t="s">
        <v>4471</v>
      </c>
      <c r="E3725" s="1524" t="s">
        <v>4476</v>
      </c>
      <c r="F3725" s="1524" t="s">
        <v>3909</v>
      </c>
      <c r="G3725" s="1521" t="s">
        <v>1843</v>
      </c>
    </row>
    <row r="3726" spans="1:8">
      <c r="A3726" s="41" t="s">
        <v>4516</v>
      </c>
      <c r="B3726" s="41" t="s">
        <v>4517</v>
      </c>
      <c r="C3726" s="1529">
        <f>ROUNDUP(E3726/0.6/140,2)</f>
        <v>0.66</v>
      </c>
      <c r="D3726" s="1755" t="s">
        <v>231</v>
      </c>
      <c r="E3726" s="1525">
        <v>55</v>
      </c>
      <c r="F3726" s="1591">
        <f>(C3726-(E3726/G3726))/C3726</f>
        <v>0.40476190476190482</v>
      </c>
      <c r="G3726" s="1523">
        <v>140</v>
      </c>
    </row>
    <row r="3727" spans="1:8">
      <c r="A3727" s="41" t="s">
        <v>4518</v>
      </c>
      <c r="B3727" s="41" t="s">
        <v>4525</v>
      </c>
      <c r="C3727" s="1529">
        <f>ROUNDUP(E3727/0.6/140,2)</f>
        <v>1.1399999999999999</v>
      </c>
      <c r="D3727" s="1755">
        <v>110</v>
      </c>
      <c r="E3727" s="1525">
        <f>55+40</f>
        <v>95</v>
      </c>
      <c r="F3727" s="1591">
        <f>(C3727-(E3727/G3727))/C3727</f>
        <v>0.40476190476190466</v>
      </c>
      <c r="G3727" s="1523">
        <v>140</v>
      </c>
      <c r="H3727" t="s">
        <v>4475</v>
      </c>
    </row>
    <row r="3728" spans="1:8">
      <c r="A3728" s="41" t="s">
        <v>4519</v>
      </c>
      <c r="B3728" s="41" t="s">
        <v>4517</v>
      </c>
      <c r="C3728" s="1529">
        <f>ROUNDUP(E3728/0.6/140,2)</f>
        <v>0.72</v>
      </c>
      <c r="D3728" s="1755" t="s">
        <v>231</v>
      </c>
      <c r="E3728" s="1525">
        <v>60</v>
      </c>
      <c r="F3728" s="1591">
        <f>(C3728-(E3728/G3728))/C3728</f>
        <v>0.40476190476190477</v>
      </c>
      <c r="G3728" s="1523">
        <v>140</v>
      </c>
    </row>
    <row r="3729" spans="1:8">
      <c r="A3729" s="41" t="s">
        <v>4520</v>
      </c>
      <c r="B3729" s="41" t="s">
        <v>4525</v>
      </c>
      <c r="C3729" s="1529">
        <f>ROUNDUP(E3729/0.6/140,2)</f>
        <v>1.2</v>
      </c>
      <c r="D3729" s="1755">
        <v>110</v>
      </c>
      <c r="E3729" s="1525">
        <f>60+40</f>
        <v>100</v>
      </c>
      <c r="F3729" s="1591">
        <f>(C3729-(E3729/G3729))/C3729</f>
        <v>0.40476190476190471</v>
      </c>
      <c r="G3729" s="1523">
        <v>140</v>
      </c>
      <c r="H3729" t="s">
        <v>4475</v>
      </c>
    </row>
    <row r="3732" spans="1:8">
      <c r="A3732" s="289" t="s">
        <v>4532</v>
      </c>
      <c r="B3732" s="1766" t="s">
        <v>4527</v>
      </c>
      <c r="C3732" s="1406" t="s">
        <v>4533</v>
      </c>
      <c r="D3732" s="80" t="s">
        <v>4535</v>
      </c>
      <c r="E3732" s="80" t="s">
        <v>4534</v>
      </c>
    </row>
    <row r="3733" spans="1:8">
      <c r="A3733" s="41" t="s">
        <v>4528</v>
      </c>
      <c r="B3733" s="1763">
        <v>5000</v>
      </c>
      <c r="C3733" s="1764">
        <v>1583</v>
      </c>
      <c r="D3733" s="1763">
        <f>(143+60)*10</f>
        <v>2030</v>
      </c>
      <c r="E3733" s="1763">
        <f>SUM(B3733:D3733)</f>
        <v>8613</v>
      </c>
    </row>
    <row r="3734" spans="1:8">
      <c r="A3734" s="41" t="s">
        <v>4529</v>
      </c>
      <c r="B3734" s="1763">
        <v>5000</v>
      </c>
      <c r="C3734" s="1763">
        <v>292</v>
      </c>
      <c r="D3734" s="1763">
        <f>(180+15)*10</f>
        <v>1950</v>
      </c>
      <c r="E3734" s="1763">
        <f>SUM(B3734:D3734)</f>
        <v>7242</v>
      </c>
    </row>
    <row r="3735" spans="1:8">
      <c r="A3735" s="41" t="s">
        <v>4530</v>
      </c>
      <c r="B3735" s="1763">
        <v>5000</v>
      </c>
      <c r="C3735" s="1764">
        <v>481</v>
      </c>
      <c r="D3735" s="1763">
        <f>(106+30)*10</f>
        <v>1360</v>
      </c>
      <c r="E3735" s="1763">
        <f>SUM(B3735:D3735)</f>
        <v>6841</v>
      </c>
    </row>
    <row r="3736" spans="1:8">
      <c r="A3736" s="41" t="s">
        <v>4531</v>
      </c>
      <c r="B3736" s="1763">
        <v>5000</v>
      </c>
      <c r="C3736" s="1763">
        <v>1062</v>
      </c>
      <c r="D3736" s="1763">
        <f>(103+105)*10</f>
        <v>2080</v>
      </c>
      <c r="E3736" s="1763">
        <f>SUM(B3736:D3736)</f>
        <v>8142</v>
      </c>
    </row>
    <row r="3737" spans="1:8">
      <c r="A3737" s="131"/>
      <c r="B3737" s="1765">
        <f>SUM(B3733:B3736)</f>
        <v>20000</v>
      </c>
      <c r="C3737" s="1765">
        <f>SUM(C3733:C3736)</f>
        <v>3418</v>
      </c>
      <c r="D3737" s="1765">
        <f>SUM(D3733:D3736)</f>
        <v>7420</v>
      </c>
      <c r="E3737" s="1767">
        <f>SUM(E3733:E3736)</f>
        <v>30838</v>
      </c>
    </row>
    <row r="3739" spans="1:8">
      <c r="A3739" s="345" t="s">
        <v>4536</v>
      </c>
    </row>
    <row r="3740" spans="1:8" ht="15">
      <c r="A3740" s="1527" t="s">
        <v>4469</v>
      </c>
      <c r="B3740" s="1528" t="s">
        <v>142</v>
      </c>
      <c r="C3740" s="1528" t="s">
        <v>3604</v>
      </c>
      <c r="D3740" s="1524" t="s">
        <v>4476</v>
      </c>
      <c r="E3740" s="1524" t="s">
        <v>3909</v>
      </c>
      <c r="F3740" s="1521" t="s">
        <v>1843</v>
      </c>
    </row>
    <row r="3741" spans="1:8">
      <c r="A3741" s="41" t="s">
        <v>4537</v>
      </c>
      <c r="B3741" s="41" t="s">
        <v>4538</v>
      </c>
      <c r="C3741" s="1529">
        <f>ROUNDUP(D3741/0.6/140,2)</f>
        <v>10</v>
      </c>
      <c r="D3741" s="1525">
        <v>840</v>
      </c>
      <c r="E3741" s="1591">
        <f>(C3741-(D3741/F3741))/C3741</f>
        <v>0.4</v>
      </c>
      <c r="F3741" s="1523">
        <v>140</v>
      </c>
    </row>
    <row r="3742" spans="1:8">
      <c r="A3742" s="41" t="s">
        <v>4539</v>
      </c>
      <c r="B3742" s="41" t="s">
        <v>4538</v>
      </c>
      <c r="C3742" s="1529">
        <f>ROUNDUP(D3742/0.6/140,2)</f>
        <v>5.72</v>
      </c>
      <c r="D3742" s="1525">
        <v>480</v>
      </c>
      <c r="E3742" s="1591">
        <f>(C3742-(D3742/F3742))/C3742</f>
        <v>0.40059940059940058</v>
      </c>
      <c r="F3742" s="1523">
        <v>140</v>
      </c>
    </row>
    <row r="3743" spans="1:8">
      <c r="A3743" s="41" t="s">
        <v>4540</v>
      </c>
      <c r="B3743" s="41" t="s">
        <v>4538</v>
      </c>
      <c r="C3743" s="1529">
        <f>ROUNDUP(D3743/0.6/140,2)</f>
        <v>6.31</v>
      </c>
      <c r="D3743" s="1525">
        <v>530</v>
      </c>
      <c r="E3743" s="1591">
        <f>(C3743-(D3743/F3743))/C3743</f>
        <v>0.40004527960153952</v>
      </c>
      <c r="F3743" s="1523">
        <v>140</v>
      </c>
    </row>
    <row r="3745" spans="1:5">
      <c r="A3745" s="287" t="s">
        <v>4542</v>
      </c>
      <c r="D3745" t="s">
        <v>4541</v>
      </c>
    </row>
    <row r="3746" spans="1:5">
      <c r="A3746" s="289" t="s">
        <v>4532</v>
      </c>
      <c r="B3746" s="1766" t="s">
        <v>4527</v>
      </c>
      <c r="C3746" s="1406" t="s">
        <v>4533</v>
      </c>
      <c r="D3746" s="80" t="s">
        <v>4544</v>
      </c>
      <c r="E3746" s="80" t="s">
        <v>4534</v>
      </c>
    </row>
    <row r="3747" spans="1:5">
      <c r="A3747" s="41" t="s">
        <v>4528</v>
      </c>
      <c r="B3747" s="1763">
        <v>5000</v>
      </c>
      <c r="C3747" s="1764">
        <v>1583</v>
      </c>
      <c r="D3747" s="1763">
        <f>150*40</f>
        <v>6000</v>
      </c>
      <c r="E3747" s="1763">
        <f>SUM(B3747:D3747)</f>
        <v>12583</v>
      </c>
    </row>
    <row r="3748" spans="1:5">
      <c r="A3748" s="41" t="s">
        <v>4529</v>
      </c>
      <c r="B3748" s="1763">
        <v>5000</v>
      </c>
      <c r="C3748" s="1763">
        <v>292</v>
      </c>
      <c r="D3748" s="1763">
        <f>200*30</f>
        <v>6000</v>
      </c>
      <c r="E3748" s="1763">
        <f>SUM(B3748:D3748)</f>
        <v>11292</v>
      </c>
    </row>
    <row r="3749" spans="1:5">
      <c r="A3749" s="41" t="s">
        <v>4530</v>
      </c>
      <c r="B3749" s="1763">
        <v>5000</v>
      </c>
      <c r="C3749" s="1764">
        <v>481</v>
      </c>
      <c r="D3749" s="1763">
        <f>120*30</f>
        <v>3600</v>
      </c>
      <c r="E3749" s="1763">
        <f>SUM(B3749:D3749)</f>
        <v>9081</v>
      </c>
    </row>
    <row r="3750" spans="1:5">
      <c r="A3750" s="41" t="s">
        <v>4543</v>
      </c>
      <c r="B3750" s="1763">
        <v>5000</v>
      </c>
      <c r="C3750" s="1764">
        <v>2820</v>
      </c>
      <c r="D3750" s="1763">
        <f>235*30</f>
        <v>7050</v>
      </c>
      <c r="E3750" s="1763">
        <f>SUM(B3750:D3750)</f>
        <v>14870</v>
      </c>
    </row>
    <row r="3751" spans="1:5">
      <c r="A3751" s="1768" t="s">
        <v>4546</v>
      </c>
      <c r="B3751" s="1763"/>
      <c r="C3751" s="1764"/>
      <c r="D3751" s="1763"/>
      <c r="E3751" s="1763">
        <v>2000</v>
      </c>
    </row>
    <row r="3752" spans="1:5">
      <c r="A3752" s="131"/>
      <c r="B3752" s="1765">
        <f>SUM(B3747:B3750)</f>
        <v>20000</v>
      </c>
      <c r="C3752" s="1765">
        <f>SUM(C3747:C3750)</f>
        <v>5176</v>
      </c>
      <c r="D3752" s="1765">
        <f>SUM(D3747:D3750)</f>
        <v>22650</v>
      </c>
      <c r="E3752" s="1765">
        <f>SUM(E3747:E3751)</f>
        <v>49826</v>
      </c>
    </row>
    <row r="3754" spans="1:5">
      <c r="A3754" s="289" t="s">
        <v>4532</v>
      </c>
      <c r="B3754" s="1766" t="s">
        <v>4527</v>
      </c>
      <c r="C3754" s="1406" t="s">
        <v>4545</v>
      </c>
      <c r="D3754" s="80" t="s">
        <v>4544</v>
      </c>
      <c r="E3754" s="80" t="s">
        <v>4534</v>
      </c>
    </row>
    <row r="3755" spans="1:5">
      <c r="A3755" s="41" t="s">
        <v>4528</v>
      </c>
      <c r="B3755" s="1763">
        <v>5000</v>
      </c>
      <c r="C3755" s="1763">
        <v>1583</v>
      </c>
      <c r="D3755" s="1763">
        <f>150*40</f>
        <v>6000</v>
      </c>
      <c r="E3755" s="1763">
        <f>SUM(B3755:D3755)</f>
        <v>12583</v>
      </c>
    </row>
    <row r="3756" spans="1:5">
      <c r="A3756" s="41" t="s">
        <v>4529</v>
      </c>
      <c r="B3756" s="1763">
        <v>5000</v>
      </c>
      <c r="C3756" s="1763">
        <v>292</v>
      </c>
      <c r="D3756" s="1763">
        <f>200*30</f>
        <v>6000</v>
      </c>
      <c r="E3756" s="1763">
        <f>SUM(B3756:D3756)</f>
        <v>11292</v>
      </c>
    </row>
    <row r="3757" spans="1:5">
      <c r="A3757" s="41" t="s">
        <v>4530</v>
      </c>
      <c r="B3757" s="1763">
        <v>5000</v>
      </c>
      <c r="C3757" s="1763">
        <v>481</v>
      </c>
      <c r="D3757" s="1763">
        <f>120*30</f>
        <v>3600</v>
      </c>
      <c r="E3757" s="1763">
        <f>SUM(B3757:D3757)</f>
        <v>9081</v>
      </c>
    </row>
    <row r="3758" spans="1:5">
      <c r="A3758" s="131"/>
      <c r="B3758" s="1765">
        <f>SUM(B3755:B3757)</f>
        <v>15000</v>
      </c>
      <c r="C3758" s="1765">
        <f>SUM(C3755:C3757)</f>
        <v>2356</v>
      </c>
      <c r="D3758" s="1765">
        <f>SUM(D3755:D3757)</f>
        <v>15600</v>
      </c>
      <c r="E3758" s="1765">
        <f>SUM(E3755:E3757)</f>
        <v>32956</v>
      </c>
    </row>
    <row r="3760" spans="1:5">
      <c r="A3760" s="289" t="s">
        <v>4532</v>
      </c>
      <c r="B3760" s="1766" t="s">
        <v>4527</v>
      </c>
      <c r="C3760" s="1406" t="s">
        <v>4545</v>
      </c>
      <c r="D3760" s="80" t="s">
        <v>4544</v>
      </c>
      <c r="E3760" s="80" t="s">
        <v>4534</v>
      </c>
    </row>
    <row r="3761" spans="1:5">
      <c r="A3761" s="41" t="s">
        <v>4543</v>
      </c>
      <c r="B3761" s="1763">
        <v>5000</v>
      </c>
      <c r="C3761" s="1763">
        <v>2820</v>
      </c>
      <c r="D3761" s="1763">
        <f>235*30</f>
        <v>7050</v>
      </c>
      <c r="E3761" s="1763">
        <f>SUM(B3761:D3761)</f>
        <v>14870</v>
      </c>
    </row>
    <row r="3762" spans="1:5">
      <c r="A3762" s="131"/>
      <c r="B3762" s="1765">
        <f>SUM(B3761:B3761)</f>
        <v>5000</v>
      </c>
      <c r="C3762" s="1765">
        <f>SUM(C3761:C3761)</f>
        <v>2820</v>
      </c>
      <c r="D3762" s="1765">
        <f>SUM(D3761:D3761)</f>
        <v>7050</v>
      </c>
      <c r="E3762" s="1765">
        <f>SUM(E3761:E3761)</f>
        <v>14870</v>
      </c>
    </row>
    <row r="3767" spans="1:5">
      <c r="A3767" s="289" t="s">
        <v>4532</v>
      </c>
      <c r="B3767" s="1766" t="s">
        <v>4527</v>
      </c>
      <c r="C3767" s="80" t="s">
        <v>4547</v>
      </c>
    </row>
    <row r="3768" spans="1:5">
      <c r="A3768" s="41" t="s">
        <v>4528</v>
      </c>
      <c r="B3768" s="1763">
        <v>5000</v>
      </c>
      <c r="C3768" s="1763">
        <f>150</f>
        <v>150</v>
      </c>
    </row>
    <row r="3772" spans="1:5">
      <c r="A3772" s="41" t="s">
        <v>4548</v>
      </c>
    </row>
    <row r="3773" spans="1:5">
      <c r="A3773" s="41" t="s">
        <v>4549</v>
      </c>
    </row>
    <row r="3774" spans="1:5">
      <c r="A3774" s="41" t="s">
        <v>4550</v>
      </c>
    </row>
    <row r="3778" spans="1:12">
      <c r="A3778" s="289" t="s">
        <v>99</v>
      </c>
      <c r="B3778" s="289" t="s">
        <v>203</v>
      </c>
      <c r="C3778" s="289" t="s">
        <v>198</v>
      </c>
      <c r="D3778" s="1770" t="s">
        <v>4562</v>
      </c>
      <c r="E3778" s="1766" t="s">
        <v>4563</v>
      </c>
    </row>
    <row r="3779" spans="1:12">
      <c r="A3779" s="41" t="s">
        <v>4553</v>
      </c>
      <c r="B3779" s="41" t="s">
        <v>25</v>
      </c>
      <c r="C3779" s="298">
        <v>200</v>
      </c>
      <c r="D3779" s="41">
        <v>68</v>
      </c>
      <c r="E3779" s="1766"/>
    </row>
    <row r="3780" spans="1:12">
      <c r="A3780" s="41" t="s">
        <v>4554</v>
      </c>
      <c r="B3780" s="41" t="s">
        <v>25</v>
      </c>
      <c r="C3780" s="298">
        <v>50</v>
      </c>
      <c r="D3780" s="41">
        <v>49</v>
      </c>
      <c r="E3780" s="1766"/>
    </row>
    <row r="3781" spans="1:12">
      <c r="A3781" s="41" t="s">
        <v>4555</v>
      </c>
      <c r="B3781" s="41" t="s">
        <v>25</v>
      </c>
      <c r="C3781" s="298">
        <v>50</v>
      </c>
      <c r="D3781" s="41">
        <v>50</v>
      </c>
      <c r="E3781" s="1766"/>
    </row>
    <row r="3782" spans="1:12">
      <c r="A3782" s="41" t="s">
        <v>4556</v>
      </c>
      <c r="B3782" s="41" t="s">
        <v>25</v>
      </c>
      <c r="C3782" s="298">
        <v>50</v>
      </c>
      <c r="D3782" s="41">
        <v>48</v>
      </c>
      <c r="E3782" s="1766"/>
    </row>
    <row r="3783" spans="1:12">
      <c r="A3783" s="41" t="s">
        <v>4557</v>
      </c>
      <c r="B3783" s="41" t="s">
        <v>25</v>
      </c>
      <c r="C3783" s="298">
        <v>50</v>
      </c>
      <c r="D3783" s="41">
        <v>79</v>
      </c>
      <c r="E3783" s="1766"/>
    </row>
    <row r="3784" spans="1:12">
      <c r="A3784" s="41" t="s">
        <v>4558</v>
      </c>
      <c r="B3784" s="41" t="s">
        <v>4559</v>
      </c>
      <c r="C3784" s="298">
        <v>50</v>
      </c>
      <c r="D3784" s="41">
        <v>36</v>
      </c>
      <c r="E3784" s="1766"/>
    </row>
    <row r="3785" spans="1:12">
      <c r="A3785" s="41" t="s">
        <v>4560</v>
      </c>
      <c r="B3785" s="41" t="s">
        <v>4559</v>
      </c>
      <c r="C3785" s="298">
        <v>50</v>
      </c>
      <c r="D3785" s="41">
        <v>27</v>
      </c>
      <c r="E3785" s="1766"/>
    </row>
    <row r="3786" spans="1:12">
      <c r="A3786" s="41" t="s">
        <v>4561</v>
      </c>
      <c r="B3786" s="41" t="s">
        <v>4559</v>
      </c>
      <c r="C3786" s="298">
        <v>50</v>
      </c>
      <c r="D3786" s="41">
        <v>38</v>
      </c>
      <c r="E3786" s="1766"/>
    </row>
    <row r="3791" spans="1:12">
      <c r="A3791" t="s">
        <v>4573</v>
      </c>
    </row>
    <row r="3792" spans="1:12" s="290" customFormat="1" ht="12.75">
      <c r="A3792" s="289" t="s">
        <v>99</v>
      </c>
      <c r="B3792" s="289" t="s">
        <v>203</v>
      </c>
      <c r="C3792" s="289" t="s">
        <v>198</v>
      </c>
      <c r="D3792" s="1528" t="s">
        <v>3604</v>
      </c>
      <c r="E3792" s="1528" t="s">
        <v>3477</v>
      </c>
      <c r="F3792" s="1772"/>
      <c r="G3792" s="1524" t="s">
        <v>3909</v>
      </c>
      <c r="H3792" s="1521" t="s">
        <v>1843</v>
      </c>
      <c r="I3792" s="1528"/>
      <c r="J3792" s="33"/>
      <c r="K3792" s="33"/>
      <c r="L3792" s="1769"/>
    </row>
    <row r="3793" spans="1:12" s="290" customFormat="1" ht="12.75">
      <c r="A3793" s="41" t="s">
        <v>4553</v>
      </c>
      <c r="B3793" s="41" t="s">
        <v>25</v>
      </c>
      <c r="C3793" s="298">
        <v>200</v>
      </c>
      <c r="D3793" s="1181">
        <v>0.69</v>
      </c>
      <c r="E3793" s="1773" t="s">
        <v>4571</v>
      </c>
      <c r="F3793" s="364">
        <v>68</v>
      </c>
      <c r="G3793" s="1591">
        <f t="shared" ref="G3793:G3804" si="107">(D3793-(F3793/H3793))/D3793</f>
        <v>0.29606625258799169</v>
      </c>
      <c r="H3793" s="1523">
        <v>140</v>
      </c>
      <c r="I3793" s="1276">
        <f t="shared" ref="I3793:I3804" si="108">D3793*C3793</f>
        <v>138</v>
      </c>
      <c r="J3793" s="363" t="s">
        <v>224</v>
      </c>
      <c r="K3793" s="33"/>
      <c r="L3793" s="350"/>
    </row>
    <row r="3794" spans="1:12" s="290" customFormat="1" ht="12.75">
      <c r="A3794" s="41" t="s">
        <v>4554</v>
      </c>
      <c r="B3794" s="41" t="s">
        <v>25</v>
      </c>
      <c r="C3794" s="298">
        <v>50</v>
      </c>
      <c r="D3794" s="1181">
        <v>0.5</v>
      </c>
      <c r="E3794" s="1773" t="s">
        <v>4572</v>
      </c>
      <c r="F3794" s="364">
        <v>49</v>
      </c>
      <c r="G3794" s="1591">
        <f t="shared" si="107"/>
        <v>0.30000000000000004</v>
      </c>
      <c r="H3794" s="1523">
        <v>140</v>
      </c>
      <c r="I3794" s="1276">
        <f t="shared" si="108"/>
        <v>25</v>
      </c>
      <c r="J3794" s="363" t="s">
        <v>224</v>
      </c>
      <c r="K3794" s="33"/>
      <c r="L3794" s="350"/>
    </row>
    <row r="3795" spans="1:12" s="290" customFormat="1" ht="12.75">
      <c r="A3795" s="41" t="s">
        <v>4555</v>
      </c>
      <c r="B3795" s="41" t="s">
        <v>25</v>
      </c>
      <c r="C3795" s="298">
        <v>50</v>
      </c>
      <c r="D3795" s="1181">
        <v>0.51</v>
      </c>
      <c r="E3795" s="1773" t="s">
        <v>4572</v>
      </c>
      <c r="F3795" s="364">
        <v>50</v>
      </c>
      <c r="G3795" s="1591">
        <f t="shared" si="107"/>
        <v>0.29971988795518206</v>
      </c>
      <c r="H3795" s="1523">
        <v>140</v>
      </c>
      <c r="I3795" s="1276">
        <f t="shared" si="108"/>
        <v>25.5</v>
      </c>
      <c r="J3795" s="363" t="s">
        <v>224</v>
      </c>
      <c r="K3795" s="33"/>
      <c r="L3795" s="350"/>
    </row>
    <row r="3796" spans="1:12" s="290" customFormat="1" ht="12.75">
      <c r="A3796" s="41" t="s">
        <v>4556</v>
      </c>
      <c r="B3796" s="41" t="s">
        <v>25</v>
      </c>
      <c r="C3796" s="298">
        <v>50</v>
      </c>
      <c r="D3796" s="1181">
        <v>0.49</v>
      </c>
      <c r="E3796" s="1773" t="s">
        <v>4572</v>
      </c>
      <c r="F3796" s="364">
        <v>48</v>
      </c>
      <c r="G3796" s="1591">
        <f t="shared" si="107"/>
        <v>0.30029154518950435</v>
      </c>
      <c r="H3796" s="1523">
        <v>140</v>
      </c>
      <c r="I3796" s="1276">
        <f t="shared" si="108"/>
        <v>24.5</v>
      </c>
      <c r="J3796" s="363" t="s">
        <v>224</v>
      </c>
      <c r="K3796" s="33"/>
      <c r="L3796" s="350"/>
    </row>
    <row r="3797" spans="1:12" s="290" customFormat="1" ht="12.75">
      <c r="A3797" s="41" t="s">
        <v>4557</v>
      </c>
      <c r="B3797" s="41" t="s">
        <v>25</v>
      </c>
      <c r="C3797" s="298">
        <v>50</v>
      </c>
      <c r="D3797" s="1181">
        <v>0.81</v>
      </c>
      <c r="E3797" s="1773" t="s">
        <v>4572</v>
      </c>
      <c r="F3797" s="364">
        <v>79</v>
      </c>
      <c r="G3797" s="1591">
        <f t="shared" si="107"/>
        <v>0.30335097001763672</v>
      </c>
      <c r="H3797" s="1523">
        <v>140</v>
      </c>
      <c r="I3797" s="1276">
        <f t="shared" si="108"/>
        <v>40.5</v>
      </c>
      <c r="J3797" s="363" t="s">
        <v>224</v>
      </c>
      <c r="K3797" s="33"/>
      <c r="L3797" s="350"/>
    </row>
    <row r="3798" spans="1:12" s="290" customFormat="1" ht="12.75">
      <c r="A3798" s="41" t="s">
        <v>4558</v>
      </c>
      <c r="B3798" s="41" t="s">
        <v>4559</v>
      </c>
      <c r="C3798" s="298">
        <v>50</v>
      </c>
      <c r="D3798" s="1181">
        <v>0.37</v>
      </c>
      <c r="E3798" s="1773" t="s">
        <v>4593</v>
      </c>
      <c r="F3798" s="364">
        <v>36</v>
      </c>
      <c r="G3798" s="1591">
        <f t="shared" si="107"/>
        <v>0.30501930501930508</v>
      </c>
      <c r="H3798" s="1523">
        <v>140</v>
      </c>
      <c r="I3798" s="1276">
        <f t="shared" si="108"/>
        <v>18.5</v>
      </c>
      <c r="J3798" s="363" t="s">
        <v>224</v>
      </c>
      <c r="K3798" s="33"/>
      <c r="L3798" s="350"/>
    </row>
    <row r="3799" spans="1:12" s="290" customFormat="1" ht="12.75">
      <c r="A3799" s="41" t="s">
        <v>4560</v>
      </c>
      <c r="B3799" s="41" t="s">
        <v>4559</v>
      </c>
      <c r="C3799" s="298">
        <v>50</v>
      </c>
      <c r="D3799" s="1181">
        <v>0.28000000000000003</v>
      </c>
      <c r="E3799" s="1773" t="s">
        <v>4593</v>
      </c>
      <c r="F3799" s="364">
        <v>27</v>
      </c>
      <c r="G3799" s="1591">
        <f t="shared" si="107"/>
        <v>0.31122448979591838</v>
      </c>
      <c r="H3799" s="1523">
        <v>140</v>
      </c>
      <c r="I3799" s="1276">
        <f t="shared" si="108"/>
        <v>14.000000000000002</v>
      </c>
      <c r="J3799" s="363" t="s">
        <v>224</v>
      </c>
      <c r="K3799" s="33"/>
      <c r="L3799" s="350"/>
    </row>
    <row r="3800" spans="1:12" s="290" customFormat="1" ht="12.75">
      <c r="A3800" s="41" t="s">
        <v>4561</v>
      </c>
      <c r="B3800" s="41" t="s">
        <v>4559</v>
      </c>
      <c r="C3800" s="298">
        <v>50</v>
      </c>
      <c r="D3800" s="1181">
        <v>0.39</v>
      </c>
      <c r="E3800" s="1773" t="s">
        <v>4593</v>
      </c>
      <c r="F3800" s="364">
        <v>38</v>
      </c>
      <c r="G3800" s="1591">
        <f t="shared" si="107"/>
        <v>0.30402930402930411</v>
      </c>
      <c r="H3800" s="1523">
        <v>140</v>
      </c>
      <c r="I3800" s="1276">
        <f t="shared" si="108"/>
        <v>19.5</v>
      </c>
      <c r="J3800" s="363" t="s">
        <v>224</v>
      </c>
      <c r="K3800" s="33"/>
      <c r="L3800" s="350"/>
    </row>
    <row r="3801" spans="1:12" s="290" customFormat="1" ht="12.75">
      <c r="A3801" s="41"/>
      <c r="B3801" s="136" t="s">
        <v>71</v>
      </c>
      <c r="C3801" s="292">
        <v>3</v>
      </c>
      <c r="D3801" s="1181">
        <v>65</v>
      </c>
      <c r="E3801" s="1773"/>
      <c r="F3801" s="364">
        <v>7000</v>
      </c>
      <c r="G3801" s="1591">
        <f t="shared" si="107"/>
        <v>0.23076923076923078</v>
      </c>
      <c r="H3801" s="1523">
        <v>140</v>
      </c>
      <c r="I3801" s="1276">
        <f t="shared" si="108"/>
        <v>195</v>
      </c>
      <c r="J3801" s="1531"/>
      <c r="K3801" s="33"/>
      <c r="L3801" s="1769"/>
    </row>
    <row r="3802" spans="1:12" s="290" customFormat="1" ht="12.75">
      <c r="A3802" s="41" t="s">
        <v>4558</v>
      </c>
      <c r="B3802" s="41" t="s">
        <v>4559</v>
      </c>
      <c r="C3802" s="298">
        <v>100</v>
      </c>
      <c r="D3802" s="1181">
        <v>1.08</v>
      </c>
      <c r="E3802" s="1211"/>
      <c r="F3802" s="364">
        <f>36+70</f>
        <v>106</v>
      </c>
      <c r="G3802" s="1591">
        <f t="shared" si="107"/>
        <v>0.29894179894179901</v>
      </c>
      <c r="H3802" s="1523">
        <v>140</v>
      </c>
      <c r="I3802" s="1276">
        <f t="shared" si="108"/>
        <v>108</v>
      </c>
      <c r="J3802" s="363" t="s">
        <v>224</v>
      </c>
      <c r="K3802" s="33"/>
      <c r="L3802" s="350"/>
    </row>
    <row r="3803" spans="1:12" s="290" customFormat="1" ht="12.75">
      <c r="A3803" s="41" t="s">
        <v>4560</v>
      </c>
      <c r="B3803" s="41" t="s">
        <v>4559</v>
      </c>
      <c r="C3803" s="298">
        <v>100</v>
      </c>
      <c r="D3803" s="1181">
        <v>0.99</v>
      </c>
      <c r="E3803" s="1211"/>
      <c r="F3803" s="364">
        <f>27+70</f>
        <v>97</v>
      </c>
      <c r="G3803" s="1591">
        <f t="shared" si="107"/>
        <v>0.30014430014430016</v>
      </c>
      <c r="H3803" s="1523">
        <v>140</v>
      </c>
      <c r="I3803" s="1276">
        <f t="shared" si="108"/>
        <v>99</v>
      </c>
      <c r="J3803" s="363" t="s">
        <v>224</v>
      </c>
      <c r="K3803" s="33"/>
      <c r="L3803" s="350"/>
    </row>
    <row r="3804" spans="1:12" s="290" customFormat="1" ht="12.75">
      <c r="A3804" s="41" t="s">
        <v>4561</v>
      </c>
      <c r="B3804" s="41" t="s">
        <v>4559</v>
      </c>
      <c r="C3804" s="298">
        <v>100</v>
      </c>
      <c r="D3804" s="1181">
        <v>1.1000000000000001</v>
      </c>
      <c r="E3804" s="1211"/>
      <c r="F3804" s="364">
        <f>38+70</f>
        <v>108</v>
      </c>
      <c r="G3804" s="1591">
        <f t="shared" si="107"/>
        <v>0.29870129870129875</v>
      </c>
      <c r="H3804" s="1523">
        <v>140</v>
      </c>
      <c r="I3804" s="1276">
        <f t="shared" si="108"/>
        <v>110.00000000000001</v>
      </c>
      <c r="J3804" s="363" t="s">
        <v>224</v>
      </c>
      <c r="K3804" s="33"/>
      <c r="L3804" s="350"/>
    </row>
    <row r="3809" spans="1:7" ht="25.5">
      <c r="A3809" s="1527" t="s">
        <v>4469</v>
      </c>
      <c r="B3809" s="1528" t="s">
        <v>142</v>
      </c>
      <c r="C3809" s="1528" t="s">
        <v>3604</v>
      </c>
      <c r="D3809" s="1408" t="s">
        <v>4471</v>
      </c>
      <c r="E3809" s="1524" t="s">
        <v>4476</v>
      </c>
      <c r="F3809" s="1524" t="s">
        <v>3909</v>
      </c>
      <c r="G3809" s="1521" t="s">
        <v>1843</v>
      </c>
    </row>
    <row r="3810" spans="1:7">
      <c r="A3810" s="41" t="s">
        <v>4565</v>
      </c>
      <c r="B3810" s="41" t="s">
        <v>3069</v>
      </c>
      <c r="C3810" s="1181">
        <v>0.37</v>
      </c>
      <c r="D3810" s="1756" t="s">
        <v>231</v>
      </c>
      <c r="E3810" s="1485">
        <v>36</v>
      </c>
      <c r="F3810" s="1591">
        <f t="shared" ref="F3810:F3815" si="109">(C3810-(E3810/G3810))/C3810</f>
        <v>0.30501930501930508</v>
      </c>
      <c r="G3810" s="1523">
        <v>140</v>
      </c>
    </row>
    <row r="3811" spans="1:7">
      <c r="A3811" s="41" t="s">
        <v>4566</v>
      </c>
      <c r="B3811" s="41" t="s">
        <v>3745</v>
      </c>
      <c r="C3811" s="1686">
        <v>1.08</v>
      </c>
      <c r="D3811" s="1755">
        <v>65</v>
      </c>
      <c r="E3811" s="1485">
        <f>36+70</f>
        <v>106</v>
      </c>
      <c r="F3811" s="1591">
        <f t="shared" si="109"/>
        <v>0.29894179894179901</v>
      </c>
      <c r="G3811" s="1523">
        <v>140</v>
      </c>
    </row>
    <row r="3812" spans="1:7">
      <c r="A3812" s="41" t="s">
        <v>4567</v>
      </c>
      <c r="B3812" s="41" t="s">
        <v>3069</v>
      </c>
      <c r="C3812" s="1181">
        <v>0.28000000000000003</v>
      </c>
      <c r="D3812" s="1756" t="s">
        <v>231</v>
      </c>
      <c r="E3812" s="1485">
        <v>27</v>
      </c>
      <c r="F3812" s="1591">
        <f t="shared" si="109"/>
        <v>0.31122448979591838</v>
      </c>
      <c r="G3812" s="1523">
        <v>140</v>
      </c>
    </row>
    <row r="3813" spans="1:7">
      <c r="A3813" s="41" t="s">
        <v>4568</v>
      </c>
      <c r="B3813" s="41" t="s">
        <v>3745</v>
      </c>
      <c r="C3813" s="1181">
        <v>0.99</v>
      </c>
      <c r="D3813" s="1755">
        <v>65</v>
      </c>
      <c r="E3813" s="1485">
        <f>27+70</f>
        <v>97</v>
      </c>
      <c r="F3813" s="1591">
        <f t="shared" si="109"/>
        <v>0.30014430014430016</v>
      </c>
      <c r="G3813" s="1523">
        <v>140</v>
      </c>
    </row>
    <row r="3814" spans="1:7">
      <c r="A3814" s="41" t="s">
        <v>4569</v>
      </c>
      <c r="B3814" s="41" t="s">
        <v>3069</v>
      </c>
      <c r="C3814" s="1181">
        <v>0.39</v>
      </c>
      <c r="D3814" s="1756" t="s">
        <v>231</v>
      </c>
      <c r="E3814" s="1485">
        <v>38</v>
      </c>
      <c r="F3814" s="1591">
        <f t="shared" si="109"/>
        <v>0.30402930402930411</v>
      </c>
      <c r="G3814" s="1523">
        <v>140</v>
      </c>
    </row>
    <row r="3815" spans="1:7">
      <c r="A3815" s="41" t="s">
        <v>4570</v>
      </c>
      <c r="B3815" s="41" t="s">
        <v>3745</v>
      </c>
      <c r="C3815" s="1181">
        <v>1.1000000000000001</v>
      </c>
      <c r="D3815" s="1755">
        <v>65</v>
      </c>
      <c r="E3815" s="1485">
        <f>38+70</f>
        <v>108</v>
      </c>
      <c r="F3815" s="1591">
        <f t="shared" si="109"/>
        <v>0.29870129870129875</v>
      </c>
      <c r="G3815" s="1523">
        <v>140</v>
      </c>
    </row>
    <row r="3817" spans="1:7">
      <c r="A3817" t="s">
        <v>4573</v>
      </c>
    </row>
    <row r="3818" spans="1:7" ht="25.5">
      <c r="A3818" s="1527" t="s">
        <v>4469</v>
      </c>
      <c r="B3818" s="1528" t="s">
        <v>142</v>
      </c>
      <c r="C3818" s="1528" t="s">
        <v>3604</v>
      </c>
      <c r="D3818" s="1408" t="s">
        <v>4471</v>
      </c>
      <c r="E3818" s="1524" t="s">
        <v>4476</v>
      </c>
      <c r="F3818" s="1524" t="s">
        <v>3909</v>
      </c>
      <c r="G3818" s="1521" t="s">
        <v>1843</v>
      </c>
    </row>
    <row r="3819" spans="1:7">
      <c r="A3819" s="41" t="s">
        <v>4574</v>
      </c>
      <c r="B3819" s="41" t="s">
        <v>3069</v>
      </c>
      <c r="C3819" s="1181">
        <f t="shared" ref="C3819:C3826" si="110">ROUNDUP(E3819/0.7/140,2)</f>
        <v>1.39</v>
      </c>
      <c r="D3819" s="1756" t="s">
        <v>231</v>
      </c>
      <c r="E3819" s="1485">
        <v>136</v>
      </c>
      <c r="F3819" s="1591">
        <f t="shared" ref="F3819:F3826" si="111">(C3819-(E3819/G3819))/C3819</f>
        <v>0.30113052415210684</v>
      </c>
      <c r="G3819" s="1523">
        <v>140</v>
      </c>
    </row>
    <row r="3820" spans="1:7">
      <c r="A3820" s="41" t="s">
        <v>4575</v>
      </c>
      <c r="B3820" s="41" t="s">
        <v>3745</v>
      </c>
      <c r="C3820" s="1181">
        <f t="shared" si="110"/>
        <v>2.21</v>
      </c>
      <c r="D3820" s="1755">
        <v>75</v>
      </c>
      <c r="E3820" s="1485">
        <f>136+80</f>
        <v>216</v>
      </c>
      <c r="F3820" s="1591">
        <f t="shared" si="111"/>
        <v>0.30187459599224303</v>
      </c>
      <c r="G3820" s="1523">
        <v>140</v>
      </c>
    </row>
    <row r="3821" spans="1:7">
      <c r="A3821" s="41" t="s">
        <v>4576</v>
      </c>
      <c r="B3821" s="41" t="s">
        <v>3069</v>
      </c>
      <c r="C3821" s="1181">
        <f t="shared" si="110"/>
        <v>2.0999999999999996</v>
      </c>
      <c r="D3821" s="1756" t="s">
        <v>231</v>
      </c>
      <c r="E3821" s="1485">
        <v>205</v>
      </c>
      <c r="F3821" s="1591">
        <f t="shared" si="111"/>
        <v>0.3027210884353741</v>
      </c>
      <c r="G3821" s="1523">
        <v>140</v>
      </c>
    </row>
    <row r="3822" spans="1:7">
      <c r="A3822" s="41" t="s">
        <v>4577</v>
      </c>
      <c r="B3822" s="41" t="s">
        <v>3745</v>
      </c>
      <c r="C3822" s="1181">
        <f t="shared" si="110"/>
        <v>2.9099999999999997</v>
      </c>
      <c r="D3822" s="1755">
        <v>75</v>
      </c>
      <c r="E3822" s="1485">
        <f>205+80</f>
        <v>285</v>
      </c>
      <c r="F3822" s="1591">
        <f t="shared" si="111"/>
        <v>0.30044182621502208</v>
      </c>
      <c r="G3822" s="1523">
        <v>140</v>
      </c>
    </row>
    <row r="3823" spans="1:7">
      <c r="A3823" s="41" t="s">
        <v>4578</v>
      </c>
      <c r="B3823" s="41" t="s">
        <v>3069</v>
      </c>
      <c r="C3823" s="1181">
        <f t="shared" si="110"/>
        <v>2.5</v>
      </c>
      <c r="D3823" s="1756" t="s">
        <v>231</v>
      </c>
      <c r="E3823" s="1485">
        <v>245</v>
      </c>
      <c r="F3823" s="1591">
        <f t="shared" si="111"/>
        <v>0.3</v>
      </c>
      <c r="G3823" s="1523">
        <v>140</v>
      </c>
    </row>
    <row r="3824" spans="1:7">
      <c r="A3824" s="41" t="s">
        <v>4579</v>
      </c>
      <c r="B3824" s="41" t="s">
        <v>3745</v>
      </c>
      <c r="C3824" s="1181">
        <f t="shared" si="110"/>
        <v>3.53</v>
      </c>
      <c r="D3824" s="1755">
        <v>90</v>
      </c>
      <c r="E3824" s="1485">
        <f>245+100</f>
        <v>345</v>
      </c>
      <c r="F3824" s="1591">
        <f t="shared" si="111"/>
        <v>0.30190206394172392</v>
      </c>
      <c r="G3824" s="1523">
        <v>140</v>
      </c>
    </row>
    <row r="3825" spans="1:7">
      <c r="A3825" s="41" t="s">
        <v>4580</v>
      </c>
      <c r="B3825" s="41" t="s">
        <v>3069</v>
      </c>
      <c r="C3825" s="1181">
        <f t="shared" si="110"/>
        <v>2.0499999999999998</v>
      </c>
      <c r="D3825" s="1756" t="s">
        <v>231</v>
      </c>
      <c r="E3825" s="1485">
        <v>200</v>
      </c>
      <c r="F3825" s="1591">
        <f t="shared" si="111"/>
        <v>0.30313588850174206</v>
      </c>
      <c r="G3825" s="1523">
        <v>140</v>
      </c>
    </row>
    <row r="3826" spans="1:7">
      <c r="A3826" s="41" t="s">
        <v>4581</v>
      </c>
      <c r="B3826" s="41" t="s">
        <v>3745</v>
      </c>
      <c r="C3826" s="1181">
        <f t="shared" si="110"/>
        <v>2.96</v>
      </c>
      <c r="D3826" s="1755">
        <v>85</v>
      </c>
      <c r="E3826" s="1485">
        <f>200+90</f>
        <v>290</v>
      </c>
      <c r="F3826" s="1591">
        <f t="shared" si="111"/>
        <v>0.30019305019305009</v>
      </c>
      <c r="G3826" s="1523">
        <v>140</v>
      </c>
    </row>
    <row r="3830" spans="1:7" ht="15">
      <c r="A3830" s="1527" t="s">
        <v>4589</v>
      </c>
      <c r="B3830" s="1527" t="s">
        <v>17</v>
      </c>
      <c r="C3830" s="1527" t="s">
        <v>18</v>
      </c>
      <c r="D3830" s="1528" t="s">
        <v>3604</v>
      </c>
      <c r="E3830" s="1528" t="s">
        <v>3739</v>
      </c>
    </row>
    <row r="3831" spans="1:7">
      <c r="A3831" s="41" t="s">
        <v>4584</v>
      </c>
      <c r="B3831" s="41" t="s">
        <v>20</v>
      </c>
      <c r="C3831" s="298">
        <v>10</v>
      </c>
      <c r="D3831" s="1181">
        <v>1.39</v>
      </c>
      <c r="E3831" s="1276">
        <f t="shared" ref="E3831" si="112">D3831*C3831</f>
        <v>13.899999999999999</v>
      </c>
    </row>
    <row r="3832" spans="1:7">
      <c r="A3832" s="41"/>
      <c r="B3832" s="136" t="s">
        <v>4587</v>
      </c>
      <c r="C3832" s="292">
        <v>1</v>
      </c>
      <c r="D3832" s="1181">
        <v>75</v>
      </c>
      <c r="E3832" s="1276">
        <f t="shared" ref="E3832:E3838" si="113">D3832*C3832</f>
        <v>75</v>
      </c>
    </row>
    <row r="3833" spans="1:7">
      <c r="A3833" s="41" t="s">
        <v>4585</v>
      </c>
      <c r="B3833" s="41" t="s">
        <v>20</v>
      </c>
      <c r="C3833" s="298">
        <v>10</v>
      </c>
      <c r="D3833" s="1181">
        <v>2.0999999999999996</v>
      </c>
      <c r="E3833" s="1276">
        <f t="shared" si="113"/>
        <v>20.999999999999996</v>
      </c>
    </row>
    <row r="3834" spans="1:7">
      <c r="A3834" s="41"/>
      <c r="B3834" s="136" t="s">
        <v>4587</v>
      </c>
      <c r="C3834" s="292">
        <v>1</v>
      </c>
      <c r="D3834" s="1181">
        <v>75</v>
      </c>
      <c r="E3834" s="1276">
        <f t="shared" si="113"/>
        <v>75</v>
      </c>
    </row>
    <row r="3835" spans="1:7">
      <c r="A3835" s="41" t="s">
        <v>4586</v>
      </c>
      <c r="B3835" s="41" t="s">
        <v>20</v>
      </c>
      <c r="C3835" s="298">
        <v>10</v>
      </c>
      <c r="D3835" s="1181">
        <v>2.5</v>
      </c>
      <c r="E3835" s="1276">
        <f t="shared" si="113"/>
        <v>25</v>
      </c>
    </row>
    <row r="3836" spans="1:7">
      <c r="A3836" s="41"/>
      <c r="B3836" s="136" t="s">
        <v>4587</v>
      </c>
      <c r="C3836" s="292">
        <v>1</v>
      </c>
      <c r="D3836" s="1181">
        <v>90</v>
      </c>
      <c r="E3836" s="1276">
        <f t="shared" si="113"/>
        <v>90</v>
      </c>
    </row>
    <row r="3837" spans="1:7">
      <c r="A3837" s="41" t="s">
        <v>4588</v>
      </c>
      <c r="B3837" s="41" t="s">
        <v>20</v>
      </c>
      <c r="C3837" s="298">
        <v>10</v>
      </c>
      <c r="D3837" s="1181">
        <v>2.0499999999999998</v>
      </c>
      <c r="E3837" s="1276">
        <f t="shared" si="113"/>
        <v>20.5</v>
      </c>
    </row>
    <row r="3838" spans="1:7">
      <c r="A3838" s="41"/>
      <c r="B3838" s="136" t="s">
        <v>4587</v>
      </c>
      <c r="C3838" s="292">
        <v>1</v>
      </c>
      <c r="D3838" s="1181">
        <v>85</v>
      </c>
      <c r="E3838" s="1276">
        <f t="shared" si="113"/>
        <v>85</v>
      </c>
    </row>
    <row r="3840" spans="1:7">
      <c r="A3840" t="s">
        <v>4590</v>
      </c>
    </row>
    <row r="3841" spans="1:117" s="353" customFormat="1" ht="15.75">
      <c r="A3841" s="1407" t="s">
        <v>171</v>
      </c>
      <c r="B3841" s="1470" t="s">
        <v>2</v>
      </c>
      <c r="C3841" s="1471" t="s">
        <v>204</v>
      </c>
      <c r="D3841" s="1541" t="s">
        <v>242</v>
      </c>
      <c r="E3841" s="1676" t="s">
        <v>4313</v>
      </c>
      <c r="F3841" s="1677" t="s">
        <v>4285</v>
      </c>
      <c r="G3841" s="1677" t="s">
        <v>4286</v>
      </c>
    </row>
    <row r="3842" spans="1:117" s="49" customFormat="1" ht="15" customHeight="1">
      <c r="A3842" s="355" t="s">
        <v>4591</v>
      </c>
      <c r="B3842" s="356">
        <v>50</v>
      </c>
      <c r="C3842" s="357" t="s">
        <v>4338</v>
      </c>
      <c r="D3842" s="1181">
        <v>0.25</v>
      </c>
      <c r="E3842" s="1698">
        <v>15.7</v>
      </c>
      <c r="F3842" s="1666">
        <f>(((D3842*G3842)-E3842)/(D3842*G3842))</f>
        <v>0.49760000000000004</v>
      </c>
      <c r="G3842" s="1667">
        <v>125</v>
      </c>
      <c r="H3842" s="1229"/>
      <c r="I3842" s="1229"/>
      <c r="J3842" s="1229"/>
      <c r="K3842" s="1229"/>
      <c r="L3842" s="1229"/>
      <c r="M3842" s="1229"/>
      <c r="N3842" s="1229"/>
      <c r="O3842" s="1229"/>
      <c r="P3842" s="1229"/>
      <c r="Q3842" s="1229"/>
      <c r="R3842" s="1229"/>
      <c r="S3842" s="1229"/>
      <c r="T3842" s="1229"/>
      <c r="U3842" s="1229"/>
      <c r="V3842" s="1229"/>
      <c r="W3842" s="1229"/>
      <c r="X3842" s="1229"/>
      <c r="Y3842" s="1229"/>
      <c r="Z3842" s="1229"/>
      <c r="AA3842" s="1229"/>
      <c r="AB3842" s="1229"/>
      <c r="AC3842" s="1229"/>
      <c r="AD3842" s="1229"/>
      <c r="AE3842" s="1229"/>
      <c r="AF3842" s="1229"/>
      <c r="AG3842" s="1229"/>
      <c r="AH3842" s="1229"/>
      <c r="AI3842" s="1229"/>
      <c r="AJ3842" s="1229"/>
      <c r="AK3842" s="1229"/>
      <c r="AL3842" s="1229"/>
      <c r="AM3842" s="1229"/>
      <c r="AN3842" s="1229"/>
      <c r="AO3842" s="1229"/>
      <c r="AP3842" s="1229"/>
      <c r="AQ3842" s="1229"/>
      <c r="AR3842" s="1229"/>
      <c r="AS3842" s="1229"/>
      <c r="AT3842" s="1229"/>
      <c r="AU3842" s="1229"/>
      <c r="AV3842" s="1229"/>
      <c r="AW3842" s="1229"/>
      <c r="AX3842" s="1229"/>
      <c r="AY3842" s="1229"/>
      <c r="AZ3842" s="1229"/>
      <c r="BA3842" s="1229"/>
      <c r="BB3842" s="1229"/>
      <c r="BC3842" s="1229"/>
      <c r="BD3842" s="1229"/>
      <c r="BE3842" s="1229"/>
      <c r="BF3842" s="1229"/>
      <c r="BG3842" s="1229"/>
      <c r="BH3842" s="1229"/>
      <c r="BI3842" s="1229"/>
      <c r="BJ3842" s="1229"/>
      <c r="BK3842" s="1229"/>
      <c r="BL3842" s="1229"/>
      <c r="BM3842" s="1229"/>
      <c r="BN3842" s="1229"/>
      <c r="BO3842" s="1229"/>
      <c r="BP3842" s="1229"/>
      <c r="BQ3842" s="1229"/>
      <c r="BR3842" s="1229"/>
      <c r="BS3842" s="1229"/>
      <c r="BT3842" s="1229"/>
      <c r="BU3842" s="1229"/>
      <c r="BV3842" s="1229"/>
      <c r="BW3842" s="1229"/>
      <c r="BX3842" s="1229"/>
      <c r="BY3842" s="1229"/>
      <c r="BZ3842" s="1229"/>
      <c r="CA3842" s="1229"/>
      <c r="CB3842" s="1229"/>
      <c r="CC3842" s="1229"/>
      <c r="CD3842" s="1229"/>
      <c r="CE3842" s="1229"/>
      <c r="CF3842" s="1229"/>
      <c r="CG3842" s="1229"/>
      <c r="CH3842" s="1229"/>
      <c r="CI3842" s="1229"/>
      <c r="CJ3842" s="1229"/>
      <c r="CK3842" s="1229"/>
      <c r="CL3842" s="1229"/>
      <c r="CM3842" s="1229"/>
      <c r="CN3842" s="1229"/>
      <c r="CO3842" s="1229"/>
      <c r="CP3842" s="1229"/>
      <c r="CQ3842" s="1229"/>
      <c r="CR3842" s="1229"/>
      <c r="CS3842" s="1229"/>
      <c r="CT3842" s="1229"/>
      <c r="CU3842" s="1229"/>
      <c r="CV3842" s="1229"/>
      <c r="CW3842" s="1229"/>
      <c r="CX3842" s="1229"/>
      <c r="CY3842" s="1229"/>
      <c r="CZ3842" s="1229"/>
      <c r="DA3842" s="1229"/>
      <c r="DB3842" s="1229"/>
      <c r="DC3842" s="1229"/>
      <c r="DD3842" s="1229"/>
      <c r="DE3842" s="1229"/>
      <c r="DF3842" s="1229"/>
      <c r="DG3842" s="1229"/>
      <c r="DH3842" s="1229"/>
      <c r="DI3842" s="1229"/>
      <c r="DJ3842" s="1229"/>
      <c r="DK3842" s="1229"/>
      <c r="DL3842" s="1229"/>
      <c r="DM3842" s="1229"/>
    </row>
    <row r="3843" spans="1:117" s="49" customFormat="1" ht="15" customHeight="1">
      <c r="A3843" s="355" t="s">
        <v>4592</v>
      </c>
      <c r="B3843" s="356">
        <v>50</v>
      </c>
      <c r="C3843" s="357" t="s">
        <v>4338</v>
      </c>
      <c r="D3843" s="1181">
        <v>0.23</v>
      </c>
      <c r="E3843" s="1698">
        <v>14.4</v>
      </c>
      <c r="F3843" s="1666">
        <f>(((D3843*G3843)-E3843)/(D3843*G3843))</f>
        <v>0.49913043478260866</v>
      </c>
      <c r="G3843" s="1667">
        <v>125</v>
      </c>
      <c r="H3843" s="1229"/>
      <c r="I3843" s="1229"/>
      <c r="J3843" s="1229"/>
      <c r="K3843" s="1229"/>
      <c r="L3843" s="1229"/>
      <c r="M3843" s="1229"/>
      <c r="N3843" s="1229"/>
      <c r="O3843" s="1229"/>
      <c r="P3843" s="1229"/>
      <c r="Q3843" s="1229"/>
      <c r="R3843" s="1229"/>
      <c r="S3843" s="1229"/>
      <c r="T3843" s="1229"/>
      <c r="U3843" s="1229"/>
      <c r="V3843" s="1229"/>
      <c r="W3843" s="1229"/>
      <c r="X3843" s="1229"/>
      <c r="Y3843" s="1229"/>
      <c r="Z3843" s="1229"/>
      <c r="AA3843" s="1229"/>
      <c r="AB3843" s="1229"/>
      <c r="AC3843" s="1229"/>
      <c r="AD3843" s="1229"/>
      <c r="AE3843" s="1229"/>
      <c r="AF3843" s="1229"/>
      <c r="AG3843" s="1229"/>
      <c r="AH3843" s="1229"/>
      <c r="AI3843" s="1229"/>
      <c r="AJ3843" s="1229"/>
      <c r="AK3843" s="1229"/>
      <c r="AL3843" s="1229"/>
      <c r="AM3843" s="1229"/>
      <c r="AN3843" s="1229"/>
      <c r="AO3843" s="1229"/>
      <c r="AP3843" s="1229"/>
      <c r="AQ3843" s="1229"/>
      <c r="AR3843" s="1229"/>
      <c r="AS3843" s="1229"/>
      <c r="AT3843" s="1229"/>
      <c r="AU3843" s="1229"/>
      <c r="AV3843" s="1229"/>
      <c r="AW3843" s="1229"/>
      <c r="AX3843" s="1229"/>
      <c r="AY3843" s="1229"/>
      <c r="AZ3843" s="1229"/>
      <c r="BA3843" s="1229"/>
      <c r="BB3843" s="1229"/>
      <c r="BC3843" s="1229"/>
      <c r="BD3843" s="1229"/>
      <c r="BE3843" s="1229"/>
      <c r="BF3843" s="1229"/>
      <c r="BG3843" s="1229"/>
      <c r="BH3843" s="1229"/>
      <c r="BI3843" s="1229"/>
      <c r="BJ3843" s="1229"/>
      <c r="BK3843" s="1229"/>
      <c r="BL3843" s="1229"/>
      <c r="BM3843" s="1229"/>
      <c r="BN3843" s="1229"/>
      <c r="BO3843" s="1229"/>
      <c r="BP3843" s="1229"/>
      <c r="BQ3843" s="1229"/>
      <c r="BR3843" s="1229"/>
      <c r="BS3843" s="1229"/>
      <c r="BT3843" s="1229"/>
      <c r="BU3843" s="1229"/>
      <c r="BV3843" s="1229"/>
      <c r="BW3843" s="1229"/>
      <c r="BX3843" s="1229"/>
      <c r="BY3843" s="1229"/>
      <c r="BZ3843" s="1229"/>
      <c r="CA3843" s="1229"/>
      <c r="CB3843" s="1229"/>
      <c r="CC3843" s="1229"/>
      <c r="CD3843" s="1229"/>
      <c r="CE3843" s="1229"/>
      <c r="CF3843" s="1229"/>
      <c r="CG3843" s="1229"/>
      <c r="CH3843" s="1229"/>
      <c r="CI3843" s="1229"/>
      <c r="CJ3843" s="1229"/>
      <c r="CK3843" s="1229"/>
      <c r="CL3843" s="1229"/>
      <c r="CM3843" s="1229"/>
      <c r="CN3843" s="1229"/>
      <c r="CO3843" s="1229"/>
      <c r="CP3843" s="1229"/>
      <c r="CQ3843" s="1229"/>
      <c r="CR3843" s="1229"/>
      <c r="CS3843" s="1229"/>
      <c r="CT3843" s="1229"/>
      <c r="CU3843" s="1229"/>
      <c r="CV3843" s="1229"/>
      <c r="CW3843" s="1229"/>
      <c r="CX3843" s="1229"/>
      <c r="CY3843" s="1229"/>
      <c r="CZ3843" s="1229"/>
      <c r="DA3843" s="1229"/>
      <c r="DB3843" s="1229"/>
      <c r="DC3843" s="1229"/>
      <c r="DD3843" s="1229"/>
      <c r="DE3843" s="1229"/>
      <c r="DF3843" s="1229"/>
      <c r="DG3843" s="1229"/>
      <c r="DH3843" s="1229"/>
      <c r="DI3843" s="1229"/>
      <c r="DJ3843" s="1229"/>
      <c r="DK3843" s="1229"/>
      <c r="DL3843" s="1229"/>
      <c r="DM3843" s="1229"/>
    </row>
    <row r="3847" spans="1:117">
      <c r="A3847" s="289" t="s">
        <v>99</v>
      </c>
      <c r="B3847" s="289" t="s">
        <v>203</v>
      </c>
      <c r="C3847" s="289" t="s">
        <v>198</v>
      </c>
      <c r="D3847" s="1528" t="s">
        <v>3604</v>
      </c>
      <c r="E3847" s="1528" t="s">
        <v>3477</v>
      </c>
      <c r="F3847" s="298"/>
      <c r="G3847" s="44" t="s">
        <v>8</v>
      </c>
    </row>
    <row r="3848" spans="1:117">
      <c r="A3848" s="41" t="s">
        <v>4584</v>
      </c>
      <c r="B3848" s="41" t="s">
        <v>25</v>
      </c>
      <c r="C3848" s="298">
        <v>1</v>
      </c>
      <c r="D3848" s="1181">
        <v>1.39</v>
      </c>
      <c r="E3848" s="1773" t="s">
        <v>4276</v>
      </c>
    </row>
    <row r="3849" spans="1:117">
      <c r="A3849" s="41" t="s">
        <v>4585</v>
      </c>
      <c r="B3849" s="41" t="s">
        <v>25</v>
      </c>
      <c r="C3849" s="298">
        <v>1</v>
      </c>
      <c r="D3849" s="1181">
        <v>2.0999999999999996</v>
      </c>
      <c r="E3849" s="1773" t="s">
        <v>4276</v>
      </c>
    </row>
    <row r="3850" spans="1:117">
      <c r="A3850" s="41" t="s">
        <v>4586</v>
      </c>
      <c r="B3850" s="41" t="s">
        <v>25</v>
      </c>
      <c r="C3850" s="298">
        <v>1</v>
      </c>
      <c r="D3850" s="1181">
        <v>2.5</v>
      </c>
      <c r="E3850" s="1773" t="s">
        <v>4276</v>
      </c>
    </row>
    <row r="3851" spans="1:117">
      <c r="A3851" s="41" t="s">
        <v>4588</v>
      </c>
      <c r="B3851" s="41" t="s">
        <v>25</v>
      </c>
      <c r="C3851" s="298">
        <v>1</v>
      </c>
      <c r="D3851" s="1181">
        <v>2.0499999999999998</v>
      </c>
      <c r="E3851" s="1773" t="s">
        <v>4276</v>
      </c>
    </row>
    <row r="3853" spans="1:117">
      <c r="A3853" s="1775" t="s">
        <v>4598</v>
      </c>
    </row>
    <row r="3854" spans="1:117">
      <c r="A3854" s="289" t="s">
        <v>4595</v>
      </c>
      <c r="B3854" s="289" t="s">
        <v>4597</v>
      </c>
      <c r="C3854" s="1528" t="s">
        <v>3604</v>
      </c>
      <c r="D3854" s="1524" t="s">
        <v>4476</v>
      </c>
      <c r="E3854" s="1524" t="s">
        <v>3909</v>
      </c>
      <c r="F3854" s="1521" t="s">
        <v>1843</v>
      </c>
    </row>
    <row r="3855" spans="1:117">
      <c r="A3855" s="1182" t="s">
        <v>4596</v>
      </c>
      <c r="B3855" s="41" t="s">
        <v>4600</v>
      </c>
      <c r="C3855" s="1183">
        <v>5.94</v>
      </c>
      <c r="D3855" s="1485">
        <v>520</v>
      </c>
      <c r="E3855" s="1591">
        <f>(C3855-(D3855/F3855))/C3855</f>
        <v>0.29966329966329969</v>
      </c>
      <c r="F3855" s="1523">
        <v>125</v>
      </c>
    </row>
    <row r="3856" spans="1:117">
      <c r="A3856" s="1182" t="s">
        <v>4596</v>
      </c>
      <c r="B3856" s="41" t="s">
        <v>4601</v>
      </c>
      <c r="C3856" s="1183">
        <v>6.75</v>
      </c>
      <c r="D3856" s="1485">
        <v>590</v>
      </c>
      <c r="E3856" s="1591">
        <f>(C3856-(D3856/F3856))/C3856</f>
        <v>0.30074074074074075</v>
      </c>
      <c r="F3856" s="1523">
        <v>125</v>
      </c>
    </row>
    <row r="3857" spans="1:152">
      <c r="A3857" s="1182" t="s">
        <v>4596</v>
      </c>
      <c r="B3857" s="41" t="s">
        <v>4602</v>
      </c>
      <c r="C3857" s="1183">
        <v>7.43</v>
      </c>
      <c r="D3857" s="1485">
        <v>650</v>
      </c>
      <c r="E3857" s="1591">
        <f>(C3857-(D3857/F3857))/C3857</f>
        <v>0.30013458950201877</v>
      </c>
      <c r="F3857" s="1523">
        <v>125</v>
      </c>
    </row>
    <row r="3858" spans="1:152">
      <c r="A3858" s="1776" t="s">
        <v>4599</v>
      </c>
    </row>
    <row r="3860" spans="1:152">
      <c r="A3860" s="289" t="s">
        <v>4595</v>
      </c>
      <c r="B3860" s="289" t="s">
        <v>4597</v>
      </c>
      <c r="C3860" s="1778" t="s">
        <v>4603</v>
      </c>
    </row>
    <row r="3861" spans="1:152">
      <c r="A3861" s="1182" t="s">
        <v>4596</v>
      </c>
      <c r="B3861" s="1777" t="s">
        <v>4604</v>
      </c>
      <c r="C3861" s="41">
        <v>520</v>
      </c>
    </row>
    <row r="3862" spans="1:152">
      <c r="A3862" s="1182" t="s">
        <v>4596</v>
      </c>
      <c r="B3862" s="1777" t="s">
        <v>4605</v>
      </c>
      <c r="C3862" s="41">
        <v>590</v>
      </c>
    </row>
    <row r="3863" spans="1:152">
      <c r="A3863" s="1182" t="s">
        <v>4596</v>
      </c>
      <c r="B3863" s="1777" t="s">
        <v>4606</v>
      </c>
      <c r="C3863" s="41">
        <v>650</v>
      </c>
    </row>
    <row r="3864" spans="1:152">
      <c r="A3864" s="1790"/>
      <c r="B3864" s="1791"/>
      <c r="C3864" s="1485"/>
    </row>
    <row r="3865" spans="1:152">
      <c r="A3865" s="1790"/>
      <c r="B3865" s="1791"/>
      <c r="C3865" s="1485"/>
    </row>
    <row r="3866" spans="1:152">
      <c r="A3866" t="s">
        <v>4621</v>
      </c>
    </row>
    <row r="3867" spans="1:152" s="359" customFormat="1" ht="25.5">
      <c r="A3867" s="1407" t="s">
        <v>171</v>
      </c>
      <c r="B3867" s="1469" t="s">
        <v>90</v>
      </c>
      <c r="C3867" s="1470" t="s">
        <v>2</v>
      </c>
      <c r="D3867" s="1471" t="s">
        <v>204</v>
      </c>
      <c r="E3867" s="295" t="s">
        <v>225</v>
      </c>
      <c r="F3867" s="295" t="s">
        <v>161</v>
      </c>
      <c r="G3867" s="1792" t="s">
        <v>4620</v>
      </c>
      <c r="H3867" s="1676" t="s">
        <v>4313</v>
      </c>
      <c r="I3867" s="1677" t="s">
        <v>4285</v>
      </c>
      <c r="J3867" s="1677" t="s">
        <v>4286</v>
      </c>
    </row>
    <row r="3868" spans="1:152" s="1423" customFormat="1" ht="15" customHeight="1">
      <c r="A3868" s="357" t="s">
        <v>3235</v>
      </c>
      <c r="B3868" s="357" t="s">
        <v>4615</v>
      </c>
      <c r="C3868" s="356">
        <v>50</v>
      </c>
      <c r="D3868" s="357" t="s">
        <v>211</v>
      </c>
      <c r="E3868" s="357" t="s">
        <v>3233</v>
      </c>
      <c r="F3868" s="357" t="s">
        <v>3234</v>
      </c>
      <c r="G3868" s="1184">
        <f>ROUNDUP(H3868/0.5/125,2)</f>
        <v>0.22</v>
      </c>
      <c r="H3868" s="260">
        <v>13.5</v>
      </c>
      <c r="I3868" s="1666">
        <f>(((G3868*J3868)-H3868)/(G3868*J3868))</f>
        <v>0.50909090909090904</v>
      </c>
      <c r="J3868" s="1667">
        <v>125</v>
      </c>
      <c r="K3868" s="1793"/>
      <c r="L3868" s="1793"/>
      <c r="M3868" s="1570"/>
      <c r="N3868" s="1570"/>
      <c r="O3868" s="1570"/>
      <c r="P3868" s="1570"/>
      <c r="Q3868" s="1570"/>
      <c r="R3868" s="1570"/>
      <c r="S3868" s="1570"/>
      <c r="T3868" s="1570"/>
      <c r="U3868" s="1570"/>
      <c r="V3868" s="1570"/>
      <c r="W3868" s="1570"/>
      <c r="X3868" s="1570"/>
      <c r="Y3868" s="1570"/>
      <c r="Z3868" s="1570"/>
      <c r="AA3868" s="1570"/>
      <c r="AB3868" s="1570"/>
      <c r="AC3868" s="1570"/>
      <c r="AD3868" s="1570"/>
      <c r="AE3868" s="1570"/>
      <c r="AF3868" s="1570"/>
      <c r="AG3868" s="1570"/>
      <c r="AH3868" s="1570"/>
      <c r="AI3868" s="1570"/>
      <c r="AJ3868" s="1570"/>
      <c r="AK3868" s="1570"/>
      <c r="AL3868" s="1570"/>
      <c r="AM3868" s="1570"/>
      <c r="AN3868" s="1570"/>
      <c r="AO3868" s="1570"/>
      <c r="AP3868" s="1570"/>
      <c r="AQ3868" s="1570"/>
      <c r="AR3868" s="1570"/>
      <c r="AS3868" s="1570"/>
      <c r="AT3868" s="1570"/>
      <c r="AU3868" s="1570"/>
      <c r="AV3868" s="1570"/>
      <c r="AW3868" s="1570"/>
      <c r="AX3868" s="1570"/>
      <c r="AY3868" s="1570"/>
      <c r="AZ3868" s="1570"/>
      <c r="BA3868" s="1570"/>
      <c r="BB3868" s="1570"/>
      <c r="BC3868" s="1570"/>
      <c r="BD3868" s="1570"/>
      <c r="BE3868" s="1570"/>
      <c r="BF3868" s="1570"/>
      <c r="BG3868" s="1570"/>
      <c r="BH3868" s="1570"/>
      <c r="BI3868" s="1570"/>
      <c r="BJ3868" s="1570"/>
      <c r="BK3868" s="1570"/>
      <c r="BL3868" s="1570"/>
      <c r="BM3868" s="1570"/>
      <c r="BN3868" s="1570"/>
      <c r="BO3868" s="1570"/>
      <c r="BP3868" s="1570"/>
      <c r="BQ3868" s="1570"/>
      <c r="BR3868" s="1570"/>
      <c r="BS3868" s="1570"/>
      <c r="BT3868" s="1570"/>
      <c r="BU3868" s="1570"/>
      <c r="BV3868" s="1570"/>
      <c r="BW3868" s="1570"/>
      <c r="BX3868" s="1570"/>
      <c r="BY3868" s="1570"/>
      <c r="BZ3868" s="1570"/>
      <c r="CA3868" s="1570"/>
      <c r="CB3868" s="1570"/>
      <c r="CC3868" s="1570"/>
      <c r="CD3868" s="1570"/>
      <c r="CE3868" s="1570"/>
      <c r="CF3868" s="1570"/>
      <c r="CG3868" s="1570"/>
      <c r="CH3868" s="1570"/>
      <c r="CI3868" s="1570"/>
      <c r="CJ3868" s="1570"/>
      <c r="CK3868" s="1570"/>
      <c r="CL3868" s="1570"/>
      <c r="CM3868" s="1570"/>
      <c r="CN3868" s="1570"/>
      <c r="CO3868" s="1570"/>
      <c r="CP3868" s="1570"/>
      <c r="CQ3868" s="1570"/>
      <c r="CR3868" s="1570"/>
      <c r="CS3868" s="1570"/>
      <c r="CT3868" s="1570"/>
      <c r="CU3868" s="1570"/>
      <c r="CV3868" s="1570"/>
      <c r="CW3868" s="1570"/>
      <c r="CX3868" s="1570"/>
      <c r="CY3868" s="1570"/>
      <c r="CZ3868" s="1570"/>
      <c r="DA3868" s="1570"/>
      <c r="DB3868" s="1570"/>
      <c r="DC3868" s="1570"/>
      <c r="DD3868" s="1570"/>
      <c r="DE3868" s="1570"/>
      <c r="DF3868" s="1570"/>
      <c r="DG3868" s="1570"/>
      <c r="DH3868" s="1570"/>
      <c r="DI3868" s="1570"/>
      <c r="DJ3868" s="1570"/>
      <c r="DK3868" s="1570"/>
      <c r="DL3868" s="1570"/>
      <c r="DM3868" s="1570"/>
      <c r="DN3868" s="1570"/>
      <c r="DO3868" s="1570"/>
      <c r="DP3868" s="1570"/>
      <c r="DQ3868" s="1570"/>
      <c r="DR3868" s="1570"/>
      <c r="DS3868" s="1570"/>
      <c r="DT3868" s="1570"/>
      <c r="DU3868" s="1570"/>
      <c r="DV3868" s="1570"/>
      <c r="DW3868" s="1570"/>
      <c r="DX3868" s="1570"/>
      <c r="DY3868" s="1570"/>
      <c r="DZ3868" s="1570"/>
      <c r="EA3868" s="1570"/>
      <c r="EB3868" s="1570"/>
      <c r="EC3868" s="1570"/>
      <c r="ED3868" s="1570"/>
      <c r="EE3868" s="1570"/>
      <c r="EF3868" s="1570"/>
      <c r="EG3868" s="1570"/>
      <c r="EH3868" s="1570"/>
      <c r="EI3868" s="1570"/>
      <c r="EJ3868" s="1570"/>
      <c r="EK3868" s="1570"/>
      <c r="EL3868" s="1570"/>
      <c r="EM3868" s="1570"/>
      <c r="EN3868" s="1570"/>
      <c r="EO3868" s="1570"/>
      <c r="EP3868" s="1570"/>
      <c r="EQ3868" s="1570"/>
      <c r="ER3868" s="1570"/>
      <c r="ES3868" s="1570"/>
      <c r="ET3868" s="1570"/>
      <c r="EU3868" s="1570"/>
      <c r="EV3868" s="1570"/>
    </row>
    <row r="3869" spans="1:152" s="1423" customFormat="1" ht="15" customHeight="1">
      <c r="A3869" s="357" t="s">
        <v>3235</v>
      </c>
      <c r="B3869" s="357" t="s">
        <v>4616</v>
      </c>
      <c r="C3869" s="356">
        <v>50</v>
      </c>
      <c r="D3869" s="357" t="s">
        <v>211</v>
      </c>
      <c r="E3869" s="357" t="s">
        <v>3233</v>
      </c>
      <c r="F3869" s="357" t="s">
        <v>3234</v>
      </c>
      <c r="G3869" s="1184">
        <f>ROUNDUP(H3869/0.5/125,2)</f>
        <v>0.28000000000000003</v>
      </c>
      <c r="H3869" s="260">
        <v>17.2</v>
      </c>
      <c r="I3869" s="1666">
        <f>(((G3869*J3869)-H3869)/(G3869*J3869))</f>
        <v>0.50857142857142856</v>
      </c>
      <c r="J3869" s="1667">
        <v>125</v>
      </c>
      <c r="K3869" s="1793"/>
      <c r="L3869" s="1793"/>
      <c r="M3869" s="1570"/>
      <c r="N3869" s="1570"/>
      <c r="O3869" s="1570"/>
      <c r="P3869" s="1570"/>
      <c r="Q3869" s="1570"/>
      <c r="R3869" s="1570"/>
      <c r="S3869" s="1570"/>
      <c r="T3869" s="1570"/>
      <c r="U3869" s="1570"/>
      <c r="V3869" s="1570"/>
      <c r="W3869" s="1570"/>
      <c r="X3869" s="1570"/>
      <c r="Y3869" s="1570"/>
      <c r="Z3869" s="1570"/>
      <c r="AA3869" s="1570"/>
      <c r="AB3869" s="1570"/>
      <c r="AC3869" s="1570"/>
      <c r="AD3869" s="1570"/>
      <c r="AE3869" s="1570"/>
      <c r="AF3869" s="1570"/>
      <c r="AG3869" s="1570"/>
      <c r="AH3869" s="1570"/>
      <c r="AI3869" s="1570"/>
      <c r="AJ3869" s="1570"/>
      <c r="AK3869" s="1570"/>
      <c r="AL3869" s="1570"/>
      <c r="AM3869" s="1570"/>
      <c r="AN3869" s="1570"/>
      <c r="AO3869" s="1570"/>
      <c r="AP3869" s="1570"/>
      <c r="AQ3869" s="1570"/>
      <c r="AR3869" s="1570"/>
      <c r="AS3869" s="1570"/>
      <c r="AT3869" s="1570"/>
      <c r="AU3869" s="1570"/>
      <c r="AV3869" s="1570"/>
      <c r="AW3869" s="1570"/>
      <c r="AX3869" s="1570"/>
      <c r="AY3869" s="1570"/>
      <c r="AZ3869" s="1570"/>
      <c r="BA3869" s="1570"/>
      <c r="BB3869" s="1570"/>
      <c r="BC3869" s="1570"/>
      <c r="BD3869" s="1570"/>
      <c r="BE3869" s="1570"/>
      <c r="BF3869" s="1570"/>
      <c r="BG3869" s="1570"/>
      <c r="BH3869" s="1570"/>
      <c r="BI3869" s="1570"/>
      <c r="BJ3869" s="1570"/>
      <c r="BK3869" s="1570"/>
      <c r="BL3869" s="1570"/>
      <c r="BM3869" s="1570"/>
      <c r="BN3869" s="1570"/>
      <c r="BO3869" s="1570"/>
      <c r="BP3869" s="1570"/>
      <c r="BQ3869" s="1570"/>
      <c r="BR3869" s="1570"/>
      <c r="BS3869" s="1570"/>
      <c r="BT3869" s="1570"/>
      <c r="BU3869" s="1570"/>
      <c r="BV3869" s="1570"/>
      <c r="BW3869" s="1570"/>
      <c r="BX3869" s="1570"/>
      <c r="BY3869" s="1570"/>
      <c r="BZ3869" s="1570"/>
      <c r="CA3869" s="1570"/>
      <c r="CB3869" s="1570"/>
      <c r="CC3869" s="1570"/>
      <c r="CD3869" s="1570"/>
      <c r="CE3869" s="1570"/>
      <c r="CF3869" s="1570"/>
      <c r="CG3869" s="1570"/>
      <c r="CH3869" s="1570"/>
      <c r="CI3869" s="1570"/>
      <c r="CJ3869" s="1570"/>
      <c r="CK3869" s="1570"/>
      <c r="CL3869" s="1570"/>
      <c r="CM3869" s="1570"/>
      <c r="CN3869" s="1570"/>
      <c r="CO3869" s="1570"/>
      <c r="CP3869" s="1570"/>
      <c r="CQ3869" s="1570"/>
      <c r="CR3869" s="1570"/>
      <c r="CS3869" s="1570"/>
      <c r="CT3869" s="1570"/>
      <c r="CU3869" s="1570"/>
      <c r="CV3869" s="1570"/>
      <c r="CW3869" s="1570"/>
      <c r="CX3869" s="1570"/>
      <c r="CY3869" s="1570"/>
      <c r="CZ3869" s="1570"/>
      <c r="DA3869" s="1570"/>
      <c r="DB3869" s="1570"/>
      <c r="DC3869" s="1570"/>
      <c r="DD3869" s="1570"/>
      <c r="DE3869" s="1570"/>
      <c r="DF3869" s="1570"/>
      <c r="DG3869" s="1570"/>
      <c r="DH3869" s="1570"/>
      <c r="DI3869" s="1570"/>
      <c r="DJ3869" s="1570"/>
      <c r="DK3869" s="1570"/>
      <c r="DL3869" s="1570"/>
      <c r="DM3869" s="1570"/>
      <c r="DN3869" s="1570"/>
      <c r="DO3869" s="1570"/>
      <c r="DP3869" s="1570"/>
      <c r="DQ3869" s="1570"/>
      <c r="DR3869" s="1570"/>
      <c r="DS3869" s="1570"/>
      <c r="DT3869" s="1570"/>
      <c r="DU3869" s="1570"/>
      <c r="DV3869" s="1570"/>
      <c r="DW3869" s="1570"/>
      <c r="DX3869" s="1570"/>
      <c r="DY3869" s="1570"/>
      <c r="DZ3869" s="1570"/>
      <c r="EA3869" s="1570"/>
      <c r="EB3869" s="1570"/>
      <c r="EC3869" s="1570"/>
      <c r="ED3869" s="1570"/>
      <c r="EE3869" s="1570"/>
      <c r="EF3869" s="1570"/>
      <c r="EG3869" s="1570"/>
      <c r="EH3869" s="1570"/>
      <c r="EI3869" s="1570"/>
      <c r="EJ3869" s="1570"/>
      <c r="EK3869" s="1570"/>
      <c r="EL3869" s="1570"/>
      <c r="EM3869" s="1570"/>
      <c r="EN3869" s="1570"/>
      <c r="EO3869" s="1570"/>
      <c r="EP3869" s="1570"/>
      <c r="EQ3869" s="1570"/>
      <c r="ER3869" s="1570"/>
      <c r="ES3869" s="1570"/>
      <c r="ET3869" s="1570"/>
      <c r="EU3869" s="1570"/>
      <c r="EV3869" s="1570"/>
    </row>
    <row r="3870" spans="1:152" s="1423" customFormat="1" ht="15" customHeight="1">
      <c r="A3870" s="357" t="s">
        <v>3235</v>
      </c>
      <c r="B3870" s="357" t="s">
        <v>4617</v>
      </c>
      <c r="C3870" s="356">
        <v>50</v>
      </c>
      <c r="D3870" s="357" t="s">
        <v>211</v>
      </c>
      <c r="E3870" s="357" t="s">
        <v>3233</v>
      </c>
      <c r="F3870" s="357" t="s">
        <v>3234</v>
      </c>
      <c r="G3870" s="1184">
        <v>0.27</v>
      </c>
      <c r="H3870" s="260">
        <v>16.899999999999999</v>
      </c>
      <c r="I3870" s="1666">
        <f>(((G3870*J3870)-H3870)/(G3870*J3870))</f>
        <v>0.49925925925925929</v>
      </c>
      <c r="J3870" s="1667">
        <v>125</v>
      </c>
      <c r="K3870" s="1793"/>
      <c r="L3870" s="1793"/>
      <c r="M3870" s="1570"/>
      <c r="N3870" s="1570"/>
      <c r="O3870" s="1570"/>
      <c r="P3870" s="1570"/>
      <c r="Q3870" s="1570"/>
      <c r="R3870" s="1570"/>
      <c r="S3870" s="1570"/>
      <c r="T3870" s="1570"/>
      <c r="U3870" s="1570"/>
      <c r="V3870" s="1570"/>
      <c r="W3870" s="1570"/>
      <c r="X3870" s="1570"/>
      <c r="Y3870" s="1570"/>
      <c r="Z3870" s="1570"/>
      <c r="AA3870" s="1570"/>
      <c r="AB3870" s="1570"/>
      <c r="AC3870" s="1570"/>
      <c r="AD3870" s="1570"/>
      <c r="AE3870" s="1570"/>
      <c r="AF3870" s="1570"/>
      <c r="AG3870" s="1570"/>
      <c r="AH3870" s="1570"/>
      <c r="AI3870" s="1570"/>
      <c r="AJ3870" s="1570"/>
      <c r="AK3870" s="1570"/>
      <c r="AL3870" s="1570"/>
      <c r="AM3870" s="1570"/>
      <c r="AN3870" s="1570"/>
      <c r="AO3870" s="1570"/>
      <c r="AP3870" s="1570"/>
      <c r="AQ3870" s="1570"/>
      <c r="AR3870" s="1570"/>
      <c r="AS3870" s="1570"/>
      <c r="AT3870" s="1570"/>
      <c r="AU3870" s="1570"/>
      <c r="AV3870" s="1570"/>
      <c r="AW3870" s="1570"/>
      <c r="AX3870" s="1570"/>
      <c r="AY3870" s="1570"/>
      <c r="AZ3870" s="1570"/>
      <c r="BA3870" s="1570"/>
      <c r="BB3870" s="1570"/>
      <c r="BC3870" s="1570"/>
      <c r="BD3870" s="1570"/>
      <c r="BE3870" s="1570"/>
      <c r="BF3870" s="1570"/>
      <c r="BG3870" s="1570"/>
      <c r="BH3870" s="1570"/>
      <c r="BI3870" s="1570"/>
      <c r="BJ3870" s="1570"/>
      <c r="BK3870" s="1570"/>
      <c r="BL3870" s="1570"/>
      <c r="BM3870" s="1570"/>
      <c r="BN3870" s="1570"/>
      <c r="BO3870" s="1570"/>
      <c r="BP3870" s="1570"/>
      <c r="BQ3870" s="1570"/>
      <c r="BR3870" s="1570"/>
      <c r="BS3870" s="1570"/>
      <c r="BT3870" s="1570"/>
      <c r="BU3870" s="1570"/>
      <c r="BV3870" s="1570"/>
      <c r="BW3870" s="1570"/>
      <c r="BX3870" s="1570"/>
      <c r="BY3870" s="1570"/>
      <c r="BZ3870" s="1570"/>
      <c r="CA3870" s="1570"/>
      <c r="CB3870" s="1570"/>
      <c r="CC3870" s="1570"/>
      <c r="CD3870" s="1570"/>
      <c r="CE3870" s="1570"/>
      <c r="CF3870" s="1570"/>
      <c r="CG3870" s="1570"/>
      <c r="CH3870" s="1570"/>
      <c r="CI3870" s="1570"/>
      <c r="CJ3870" s="1570"/>
      <c r="CK3870" s="1570"/>
      <c r="CL3870" s="1570"/>
      <c r="CM3870" s="1570"/>
      <c r="CN3870" s="1570"/>
      <c r="CO3870" s="1570"/>
      <c r="CP3870" s="1570"/>
      <c r="CQ3870" s="1570"/>
      <c r="CR3870" s="1570"/>
      <c r="CS3870" s="1570"/>
      <c r="CT3870" s="1570"/>
      <c r="CU3870" s="1570"/>
      <c r="CV3870" s="1570"/>
      <c r="CW3870" s="1570"/>
      <c r="CX3870" s="1570"/>
      <c r="CY3870" s="1570"/>
      <c r="CZ3870" s="1570"/>
      <c r="DA3870" s="1570"/>
      <c r="DB3870" s="1570"/>
      <c r="DC3870" s="1570"/>
      <c r="DD3870" s="1570"/>
      <c r="DE3870" s="1570"/>
      <c r="DF3870" s="1570"/>
      <c r="DG3870" s="1570"/>
      <c r="DH3870" s="1570"/>
      <c r="DI3870" s="1570"/>
      <c r="DJ3870" s="1570"/>
      <c r="DK3870" s="1570"/>
      <c r="DL3870" s="1570"/>
      <c r="DM3870" s="1570"/>
      <c r="DN3870" s="1570"/>
      <c r="DO3870" s="1570"/>
      <c r="DP3870" s="1570"/>
      <c r="DQ3870" s="1570"/>
      <c r="DR3870" s="1570"/>
      <c r="DS3870" s="1570"/>
      <c r="DT3870" s="1570"/>
      <c r="DU3870" s="1570"/>
      <c r="DV3870" s="1570"/>
      <c r="DW3870" s="1570"/>
      <c r="DX3870" s="1570"/>
      <c r="DY3870" s="1570"/>
      <c r="DZ3870" s="1570"/>
      <c r="EA3870" s="1570"/>
      <c r="EB3870" s="1570"/>
      <c r="EC3870" s="1570"/>
      <c r="ED3870" s="1570"/>
      <c r="EE3870" s="1570"/>
      <c r="EF3870" s="1570"/>
      <c r="EG3870" s="1570"/>
      <c r="EH3870" s="1570"/>
      <c r="EI3870" s="1570"/>
      <c r="EJ3870" s="1570"/>
      <c r="EK3870" s="1570"/>
      <c r="EL3870" s="1570"/>
      <c r="EM3870" s="1570"/>
      <c r="EN3870" s="1570"/>
      <c r="EO3870" s="1570"/>
      <c r="EP3870" s="1570"/>
      <c r="EQ3870" s="1570"/>
      <c r="ER3870" s="1570"/>
      <c r="ES3870" s="1570"/>
      <c r="ET3870" s="1570"/>
      <c r="EU3870" s="1570"/>
      <c r="EV3870" s="1570"/>
    </row>
    <row r="3871" spans="1:152" s="1423" customFormat="1" ht="15" customHeight="1">
      <c r="A3871" s="357" t="s">
        <v>3235</v>
      </c>
      <c r="B3871" s="357" t="s">
        <v>4618</v>
      </c>
      <c r="C3871" s="356">
        <v>50</v>
      </c>
      <c r="D3871" s="357" t="s">
        <v>211</v>
      </c>
      <c r="E3871" s="357" t="s">
        <v>3233</v>
      </c>
      <c r="F3871" s="357" t="s">
        <v>3234</v>
      </c>
      <c r="G3871" s="1184">
        <f>ROUNDUP(H3871/0.5/125,2)</f>
        <v>0.34</v>
      </c>
      <c r="H3871" s="260">
        <v>21.2</v>
      </c>
      <c r="I3871" s="1666">
        <f>(((G3871*J3871)-H3871)/(G3871*J3871))</f>
        <v>0.50117647058823533</v>
      </c>
      <c r="J3871" s="1667">
        <v>125</v>
      </c>
      <c r="K3871" s="1793"/>
      <c r="L3871" s="1793"/>
      <c r="M3871" s="1570"/>
      <c r="N3871" s="1570"/>
      <c r="O3871" s="1570"/>
      <c r="P3871" s="1570"/>
      <c r="Q3871" s="1570"/>
      <c r="R3871" s="1570"/>
      <c r="S3871" s="1570"/>
      <c r="T3871" s="1570"/>
      <c r="U3871" s="1570"/>
      <c r="V3871" s="1570"/>
      <c r="W3871" s="1570"/>
      <c r="X3871" s="1570"/>
      <c r="Y3871" s="1570"/>
      <c r="Z3871" s="1570"/>
      <c r="AA3871" s="1570"/>
      <c r="AB3871" s="1570"/>
      <c r="AC3871" s="1570"/>
      <c r="AD3871" s="1570"/>
      <c r="AE3871" s="1570"/>
      <c r="AF3871" s="1570"/>
      <c r="AG3871" s="1570"/>
      <c r="AH3871" s="1570"/>
      <c r="AI3871" s="1570"/>
      <c r="AJ3871" s="1570"/>
      <c r="AK3871" s="1570"/>
      <c r="AL3871" s="1570"/>
      <c r="AM3871" s="1570"/>
      <c r="AN3871" s="1570"/>
      <c r="AO3871" s="1570"/>
      <c r="AP3871" s="1570"/>
      <c r="AQ3871" s="1570"/>
      <c r="AR3871" s="1570"/>
      <c r="AS3871" s="1570"/>
      <c r="AT3871" s="1570"/>
      <c r="AU3871" s="1570"/>
      <c r="AV3871" s="1570"/>
      <c r="AW3871" s="1570"/>
      <c r="AX3871" s="1570"/>
      <c r="AY3871" s="1570"/>
      <c r="AZ3871" s="1570"/>
      <c r="BA3871" s="1570"/>
      <c r="BB3871" s="1570"/>
      <c r="BC3871" s="1570"/>
      <c r="BD3871" s="1570"/>
      <c r="BE3871" s="1570"/>
      <c r="BF3871" s="1570"/>
      <c r="BG3871" s="1570"/>
      <c r="BH3871" s="1570"/>
      <c r="BI3871" s="1570"/>
      <c r="BJ3871" s="1570"/>
      <c r="BK3871" s="1570"/>
      <c r="BL3871" s="1570"/>
      <c r="BM3871" s="1570"/>
      <c r="BN3871" s="1570"/>
      <c r="BO3871" s="1570"/>
      <c r="BP3871" s="1570"/>
      <c r="BQ3871" s="1570"/>
      <c r="BR3871" s="1570"/>
      <c r="BS3871" s="1570"/>
      <c r="BT3871" s="1570"/>
      <c r="BU3871" s="1570"/>
      <c r="BV3871" s="1570"/>
      <c r="BW3871" s="1570"/>
      <c r="BX3871" s="1570"/>
      <c r="BY3871" s="1570"/>
      <c r="BZ3871" s="1570"/>
      <c r="CA3871" s="1570"/>
      <c r="CB3871" s="1570"/>
      <c r="CC3871" s="1570"/>
      <c r="CD3871" s="1570"/>
      <c r="CE3871" s="1570"/>
      <c r="CF3871" s="1570"/>
      <c r="CG3871" s="1570"/>
      <c r="CH3871" s="1570"/>
      <c r="CI3871" s="1570"/>
      <c r="CJ3871" s="1570"/>
      <c r="CK3871" s="1570"/>
      <c r="CL3871" s="1570"/>
      <c r="CM3871" s="1570"/>
      <c r="CN3871" s="1570"/>
      <c r="CO3871" s="1570"/>
      <c r="CP3871" s="1570"/>
      <c r="CQ3871" s="1570"/>
      <c r="CR3871" s="1570"/>
      <c r="CS3871" s="1570"/>
      <c r="CT3871" s="1570"/>
      <c r="CU3871" s="1570"/>
      <c r="CV3871" s="1570"/>
      <c r="CW3871" s="1570"/>
      <c r="CX3871" s="1570"/>
      <c r="CY3871" s="1570"/>
      <c r="CZ3871" s="1570"/>
      <c r="DA3871" s="1570"/>
      <c r="DB3871" s="1570"/>
      <c r="DC3871" s="1570"/>
      <c r="DD3871" s="1570"/>
      <c r="DE3871" s="1570"/>
      <c r="DF3871" s="1570"/>
      <c r="DG3871" s="1570"/>
      <c r="DH3871" s="1570"/>
      <c r="DI3871" s="1570"/>
      <c r="DJ3871" s="1570"/>
      <c r="DK3871" s="1570"/>
      <c r="DL3871" s="1570"/>
      <c r="DM3871" s="1570"/>
      <c r="DN3871" s="1570"/>
      <c r="DO3871" s="1570"/>
      <c r="DP3871" s="1570"/>
      <c r="DQ3871" s="1570"/>
      <c r="DR3871" s="1570"/>
      <c r="DS3871" s="1570"/>
      <c r="DT3871" s="1570"/>
      <c r="DU3871" s="1570"/>
      <c r="DV3871" s="1570"/>
      <c r="DW3871" s="1570"/>
      <c r="DX3871" s="1570"/>
      <c r="DY3871" s="1570"/>
      <c r="DZ3871" s="1570"/>
      <c r="EA3871" s="1570"/>
      <c r="EB3871" s="1570"/>
      <c r="EC3871" s="1570"/>
      <c r="ED3871" s="1570"/>
      <c r="EE3871" s="1570"/>
      <c r="EF3871" s="1570"/>
      <c r="EG3871" s="1570"/>
      <c r="EH3871" s="1570"/>
      <c r="EI3871" s="1570"/>
      <c r="EJ3871" s="1570"/>
      <c r="EK3871" s="1570"/>
      <c r="EL3871" s="1570"/>
      <c r="EM3871" s="1570"/>
      <c r="EN3871" s="1570"/>
      <c r="EO3871" s="1570"/>
      <c r="EP3871" s="1570"/>
      <c r="EQ3871" s="1570"/>
      <c r="ER3871" s="1570"/>
      <c r="ES3871" s="1570"/>
      <c r="ET3871" s="1570"/>
      <c r="EU3871" s="1570"/>
      <c r="EV3871" s="1570"/>
    </row>
    <row r="3872" spans="1:152" s="1423" customFormat="1" ht="15" customHeight="1">
      <c r="A3872" s="357" t="s">
        <v>3235</v>
      </c>
      <c r="B3872" s="357" t="s">
        <v>4619</v>
      </c>
      <c r="C3872" s="356">
        <v>50</v>
      </c>
      <c r="D3872" s="357" t="s">
        <v>211</v>
      </c>
      <c r="E3872" s="357" t="s">
        <v>4630</v>
      </c>
      <c r="F3872" s="357" t="s">
        <v>3234</v>
      </c>
      <c r="G3872" s="1184">
        <f>ROUNDUP(H3872/0.5/125,2)</f>
        <v>0.39</v>
      </c>
      <c r="H3872" s="260">
        <v>23.9</v>
      </c>
      <c r="I3872" s="1666">
        <f>(((G3872*J3872)-H3872)/(G3872*J3872))</f>
        <v>0.5097435897435898</v>
      </c>
      <c r="J3872" s="1667">
        <v>125</v>
      </c>
      <c r="K3872" s="1793"/>
      <c r="L3872" s="1793"/>
      <c r="M3872" s="1570"/>
      <c r="N3872" s="1570"/>
      <c r="O3872" s="1570"/>
      <c r="P3872" s="1570"/>
      <c r="Q3872" s="1570"/>
      <c r="R3872" s="1570"/>
      <c r="S3872" s="1570"/>
      <c r="T3872" s="1570"/>
      <c r="U3872" s="1570"/>
      <c r="V3872" s="1570"/>
      <c r="W3872" s="1570"/>
      <c r="X3872" s="1570"/>
      <c r="Y3872" s="1570"/>
      <c r="Z3872" s="1570"/>
      <c r="AA3872" s="1570"/>
      <c r="AB3872" s="1570"/>
      <c r="AC3872" s="1570"/>
      <c r="AD3872" s="1570"/>
      <c r="AE3872" s="1570"/>
      <c r="AF3872" s="1570"/>
      <c r="AG3872" s="1570"/>
      <c r="AH3872" s="1570"/>
      <c r="AI3872" s="1570"/>
      <c r="AJ3872" s="1570"/>
      <c r="AK3872" s="1570"/>
      <c r="AL3872" s="1570"/>
      <c r="AM3872" s="1570"/>
      <c r="AN3872" s="1570"/>
      <c r="AO3872" s="1570"/>
      <c r="AP3872" s="1570"/>
      <c r="AQ3872" s="1570"/>
      <c r="AR3872" s="1570"/>
      <c r="AS3872" s="1570"/>
      <c r="AT3872" s="1570"/>
      <c r="AU3872" s="1570"/>
      <c r="AV3872" s="1570"/>
      <c r="AW3872" s="1570"/>
      <c r="AX3872" s="1570"/>
      <c r="AY3872" s="1570"/>
      <c r="AZ3872" s="1570"/>
      <c r="BA3872" s="1570"/>
      <c r="BB3872" s="1570"/>
      <c r="BC3872" s="1570"/>
      <c r="BD3872" s="1570"/>
      <c r="BE3872" s="1570"/>
      <c r="BF3872" s="1570"/>
      <c r="BG3872" s="1570"/>
      <c r="BH3872" s="1570"/>
      <c r="BI3872" s="1570"/>
      <c r="BJ3872" s="1570"/>
      <c r="BK3872" s="1570"/>
      <c r="BL3872" s="1570"/>
      <c r="BM3872" s="1570"/>
      <c r="BN3872" s="1570"/>
      <c r="BO3872" s="1570"/>
      <c r="BP3872" s="1570"/>
      <c r="BQ3872" s="1570"/>
      <c r="BR3872" s="1570"/>
      <c r="BS3872" s="1570"/>
      <c r="BT3872" s="1570"/>
      <c r="BU3872" s="1570"/>
      <c r="BV3872" s="1570"/>
      <c r="BW3872" s="1570"/>
      <c r="BX3872" s="1570"/>
      <c r="BY3872" s="1570"/>
      <c r="BZ3872" s="1570"/>
      <c r="CA3872" s="1570"/>
      <c r="CB3872" s="1570"/>
      <c r="CC3872" s="1570"/>
      <c r="CD3872" s="1570"/>
      <c r="CE3872" s="1570"/>
      <c r="CF3872" s="1570"/>
      <c r="CG3872" s="1570"/>
      <c r="CH3872" s="1570"/>
      <c r="CI3872" s="1570"/>
      <c r="CJ3872" s="1570"/>
      <c r="CK3872" s="1570"/>
      <c r="CL3872" s="1570"/>
      <c r="CM3872" s="1570"/>
      <c r="CN3872" s="1570"/>
      <c r="CO3872" s="1570"/>
      <c r="CP3872" s="1570"/>
      <c r="CQ3872" s="1570"/>
      <c r="CR3872" s="1570"/>
      <c r="CS3872" s="1570"/>
      <c r="CT3872" s="1570"/>
      <c r="CU3872" s="1570"/>
      <c r="CV3872" s="1570"/>
      <c r="CW3872" s="1570"/>
      <c r="CX3872" s="1570"/>
      <c r="CY3872" s="1570"/>
      <c r="CZ3872" s="1570"/>
      <c r="DA3872" s="1570"/>
      <c r="DB3872" s="1570"/>
      <c r="DC3872" s="1570"/>
      <c r="DD3872" s="1570"/>
      <c r="DE3872" s="1570"/>
      <c r="DF3872" s="1570"/>
      <c r="DG3872" s="1570"/>
      <c r="DH3872" s="1570"/>
      <c r="DI3872" s="1570"/>
      <c r="DJ3872" s="1570"/>
      <c r="DK3872" s="1570"/>
      <c r="DL3872" s="1570"/>
      <c r="DM3872" s="1570"/>
      <c r="DN3872" s="1570"/>
      <c r="DO3872" s="1570"/>
      <c r="DP3872" s="1570"/>
      <c r="DQ3872" s="1570"/>
      <c r="DR3872" s="1570"/>
      <c r="DS3872" s="1570"/>
      <c r="DT3872" s="1570"/>
      <c r="DU3872" s="1570"/>
      <c r="DV3872" s="1570"/>
      <c r="DW3872" s="1570"/>
      <c r="DX3872" s="1570"/>
      <c r="DY3872" s="1570"/>
      <c r="DZ3872" s="1570"/>
      <c r="EA3872" s="1570"/>
      <c r="EB3872" s="1570"/>
      <c r="EC3872" s="1570"/>
      <c r="ED3872" s="1570"/>
      <c r="EE3872" s="1570"/>
      <c r="EF3872" s="1570"/>
      <c r="EG3872" s="1570"/>
      <c r="EH3872" s="1570"/>
      <c r="EI3872" s="1570"/>
      <c r="EJ3872" s="1570"/>
      <c r="EK3872" s="1570"/>
      <c r="EL3872" s="1570"/>
      <c r="EM3872" s="1570"/>
      <c r="EN3872" s="1570"/>
      <c r="EO3872" s="1570"/>
      <c r="EP3872" s="1570"/>
      <c r="EQ3872" s="1570"/>
      <c r="ER3872" s="1570"/>
      <c r="ES3872" s="1570"/>
      <c r="ET3872" s="1570"/>
      <c r="EU3872" s="1570"/>
      <c r="EV3872" s="1570"/>
    </row>
    <row r="3875" spans="1:8">
      <c r="A3875" s="289" t="s">
        <v>99</v>
      </c>
      <c r="B3875" s="289" t="s">
        <v>16</v>
      </c>
      <c r="C3875" s="289" t="s">
        <v>203</v>
      </c>
      <c r="D3875" s="289" t="s">
        <v>163</v>
      </c>
      <c r="E3875" s="289" t="s">
        <v>197</v>
      </c>
      <c r="F3875" s="289" t="s">
        <v>198</v>
      </c>
      <c r="G3875" s="1541" t="s">
        <v>242</v>
      </c>
      <c r="H3875" s="1606" t="s">
        <v>3739</v>
      </c>
    </row>
    <row r="3876" spans="1:8">
      <c r="A3876" s="41">
        <v>11700</v>
      </c>
      <c r="B3876" s="1264">
        <v>48</v>
      </c>
      <c r="C3876" s="41" t="s">
        <v>37</v>
      </c>
      <c r="D3876" s="296">
        <v>10</v>
      </c>
      <c r="E3876" s="1802">
        <v>1</v>
      </c>
      <c r="F3876" s="298">
        <f t="shared" ref="F3876:F3889" si="114">D3876*E3876</f>
        <v>10</v>
      </c>
      <c r="G3876" s="1801">
        <v>752</v>
      </c>
      <c r="H3876" s="1478">
        <f t="shared" ref="H3876:H3889" si="115">G3876*F3876</f>
        <v>7520</v>
      </c>
    </row>
    <row r="3877" spans="1:8">
      <c r="A3877" s="41">
        <v>11700</v>
      </c>
      <c r="B3877" s="1264">
        <v>48</v>
      </c>
      <c r="C3877" s="41" t="s">
        <v>65</v>
      </c>
      <c r="D3877" s="296">
        <v>10</v>
      </c>
      <c r="E3877" s="1802">
        <v>1</v>
      </c>
      <c r="F3877" s="298">
        <f t="shared" si="114"/>
        <v>10</v>
      </c>
      <c r="G3877" s="1801">
        <v>752</v>
      </c>
      <c r="H3877" s="1478">
        <f t="shared" si="115"/>
        <v>7520</v>
      </c>
    </row>
    <row r="3878" spans="1:8">
      <c r="A3878" s="41">
        <v>11700</v>
      </c>
      <c r="B3878" s="1264">
        <v>48</v>
      </c>
      <c r="C3878" s="41" t="s">
        <v>81</v>
      </c>
      <c r="D3878" s="296">
        <v>10</v>
      </c>
      <c r="E3878" s="1802">
        <v>1</v>
      </c>
      <c r="F3878" s="298">
        <f t="shared" si="114"/>
        <v>10</v>
      </c>
      <c r="G3878" s="1801">
        <v>752</v>
      </c>
      <c r="H3878" s="1478">
        <f t="shared" si="115"/>
        <v>7520</v>
      </c>
    </row>
    <row r="3879" spans="1:8">
      <c r="A3879" s="41">
        <v>11700</v>
      </c>
      <c r="B3879" s="1264">
        <v>48</v>
      </c>
      <c r="C3879" s="41" t="s">
        <v>15</v>
      </c>
      <c r="D3879" s="296">
        <v>10</v>
      </c>
      <c r="E3879" s="1802">
        <v>1</v>
      </c>
      <c r="F3879" s="298">
        <f t="shared" si="114"/>
        <v>10</v>
      </c>
      <c r="G3879" s="1801">
        <v>752</v>
      </c>
      <c r="H3879" s="1478">
        <f t="shared" si="115"/>
        <v>7520</v>
      </c>
    </row>
    <row r="3880" spans="1:8">
      <c r="A3880" s="41">
        <v>11700</v>
      </c>
      <c r="B3880" s="1264">
        <v>48</v>
      </c>
      <c r="C3880" s="41" t="s">
        <v>4262</v>
      </c>
      <c r="D3880" s="296">
        <v>10</v>
      </c>
      <c r="E3880" s="1802">
        <v>1</v>
      </c>
      <c r="F3880" s="298">
        <f t="shared" si="114"/>
        <v>10</v>
      </c>
      <c r="G3880" s="1801">
        <v>752</v>
      </c>
      <c r="H3880" s="1478">
        <f t="shared" si="115"/>
        <v>7520</v>
      </c>
    </row>
    <row r="3881" spans="1:8">
      <c r="A3881" s="41">
        <v>11700</v>
      </c>
      <c r="B3881" s="1264">
        <v>36</v>
      </c>
      <c r="C3881" s="41" t="s">
        <v>15</v>
      </c>
      <c r="D3881" s="296">
        <v>10</v>
      </c>
      <c r="E3881" s="1802">
        <v>1</v>
      </c>
      <c r="F3881" s="298">
        <f t="shared" si="114"/>
        <v>10</v>
      </c>
      <c r="G3881" s="1801">
        <v>511</v>
      </c>
      <c r="H3881" s="1478">
        <f t="shared" si="115"/>
        <v>5110</v>
      </c>
    </row>
    <row r="3882" spans="1:8">
      <c r="A3882" s="41">
        <v>11700</v>
      </c>
      <c r="B3882" s="1264">
        <v>36</v>
      </c>
      <c r="C3882" s="41" t="s">
        <v>4624</v>
      </c>
      <c r="D3882" s="296">
        <v>10</v>
      </c>
      <c r="E3882" s="1802">
        <v>1</v>
      </c>
      <c r="F3882" s="298">
        <f t="shared" si="114"/>
        <v>10</v>
      </c>
      <c r="G3882" s="1801">
        <v>511</v>
      </c>
      <c r="H3882" s="1478">
        <f t="shared" si="115"/>
        <v>5110</v>
      </c>
    </row>
    <row r="3883" spans="1:8">
      <c r="A3883" s="41">
        <v>11700</v>
      </c>
      <c r="B3883" s="1264">
        <v>36</v>
      </c>
      <c r="C3883" s="41" t="s">
        <v>65</v>
      </c>
      <c r="D3883" s="296">
        <v>10</v>
      </c>
      <c r="E3883" s="1802">
        <v>1</v>
      </c>
      <c r="F3883" s="298">
        <f t="shared" si="114"/>
        <v>10</v>
      </c>
      <c r="G3883" s="1801">
        <v>511</v>
      </c>
      <c r="H3883" s="1478">
        <f t="shared" si="115"/>
        <v>5110</v>
      </c>
    </row>
    <row r="3884" spans="1:8">
      <c r="A3884" s="41">
        <v>11700</v>
      </c>
      <c r="B3884" s="1264">
        <v>36</v>
      </c>
      <c r="C3884" s="41" t="s">
        <v>4263</v>
      </c>
      <c r="D3884" s="296">
        <v>10</v>
      </c>
      <c r="E3884" s="1802">
        <v>1</v>
      </c>
      <c r="F3884" s="298">
        <f t="shared" si="114"/>
        <v>10</v>
      </c>
      <c r="G3884" s="1801">
        <v>511</v>
      </c>
      <c r="H3884" s="1478">
        <f t="shared" si="115"/>
        <v>5110</v>
      </c>
    </row>
    <row r="3885" spans="1:8">
      <c r="A3885" s="41">
        <v>11700</v>
      </c>
      <c r="B3885" s="1264">
        <v>24</v>
      </c>
      <c r="C3885" s="41" t="s">
        <v>37</v>
      </c>
      <c r="D3885" s="296">
        <v>10</v>
      </c>
      <c r="E3885" s="1802">
        <v>1</v>
      </c>
      <c r="F3885" s="298">
        <f t="shared" si="114"/>
        <v>10</v>
      </c>
      <c r="G3885" s="1801">
        <v>307</v>
      </c>
      <c r="H3885" s="1478">
        <f t="shared" si="115"/>
        <v>3070</v>
      </c>
    </row>
    <row r="3886" spans="1:8">
      <c r="A3886" s="41">
        <v>11700</v>
      </c>
      <c r="B3886" s="1264">
        <v>24</v>
      </c>
      <c r="C3886" s="41" t="s">
        <v>65</v>
      </c>
      <c r="D3886" s="296">
        <v>10</v>
      </c>
      <c r="E3886" s="1802">
        <v>1</v>
      </c>
      <c r="F3886" s="298">
        <f t="shared" si="114"/>
        <v>10</v>
      </c>
      <c r="G3886" s="1801">
        <v>307</v>
      </c>
      <c r="H3886" s="1478">
        <f t="shared" si="115"/>
        <v>3070</v>
      </c>
    </row>
    <row r="3887" spans="1:8">
      <c r="A3887" s="41">
        <v>11700</v>
      </c>
      <c r="B3887" s="1264">
        <v>24</v>
      </c>
      <c r="C3887" s="41" t="s">
        <v>4263</v>
      </c>
      <c r="D3887" s="296">
        <v>10</v>
      </c>
      <c r="E3887" s="1802">
        <v>1</v>
      </c>
      <c r="F3887" s="298">
        <f t="shared" si="114"/>
        <v>10</v>
      </c>
      <c r="G3887" s="1801">
        <v>307</v>
      </c>
      <c r="H3887" s="1478">
        <f t="shared" si="115"/>
        <v>3070</v>
      </c>
    </row>
    <row r="3888" spans="1:8">
      <c r="A3888" s="41">
        <v>11700</v>
      </c>
      <c r="B3888" s="1264">
        <v>24</v>
      </c>
      <c r="C3888" s="41" t="s">
        <v>4625</v>
      </c>
      <c r="D3888" s="296">
        <v>10</v>
      </c>
      <c r="E3888" s="1802">
        <v>1</v>
      </c>
      <c r="F3888" s="298">
        <f t="shared" si="114"/>
        <v>10</v>
      </c>
      <c r="G3888" s="1801">
        <v>307</v>
      </c>
      <c r="H3888" s="1478">
        <f t="shared" si="115"/>
        <v>3070</v>
      </c>
    </row>
    <row r="3889" spans="1:8">
      <c r="A3889" s="41">
        <v>11700</v>
      </c>
      <c r="B3889" s="1264">
        <v>24</v>
      </c>
      <c r="C3889" s="41" t="s">
        <v>81</v>
      </c>
      <c r="D3889" s="296">
        <v>10</v>
      </c>
      <c r="E3889" s="1802">
        <v>1</v>
      </c>
      <c r="F3889" s="298">
        <f t="shared" si="114"/>
        <v>10</v>
      </c>
      <c r="G3889" s="1801">
        <v>307</v>
      </c>
      <c r="H3889" s="1478">
        <f t="shared" si="115"/>
        <v>3070</v>
      </c>
    </row>
    <row r="3890" spans="1:8">
      <c r="A3890" s="41"/>
      <c r="B3890" s="1264"/>
      <c r="C3890" s="41"/>
      <c r="D3890" s="296"/>
      <c r="E3890" s="1802"/>
      <c r="F3890" s="298"/>
      <c r="G3890" s="1801"/>
      <c r="H3890" s="1478"/>
    </row>
    <row r="3893" spans="1:8">
      <c r="A3893" s="289" t="s">
        <v>99</v>
      </c>
      <c r="B3893" s="289" t="s">
        <v>203</v>
      </c>
      <c r="C3893" s="289" t="s">
        <v>163</v>
      </c>
      <c r="D3893" s="289" t="s">
        <v>197</v>
      </c>
      <c r="E3893" s="289" t="s">
        <v>198</v>
      </c>
      <c r="F3893" s="1541" t="s">
        <v>242</v>
      </c>
      <c r="G3893" s="44" t="s">
        <v>8</v>
      </c>
    </row>
    <row r="3894" spans="1:8">
      <c r="A3894" s="1182" t="s">
        <v>2722</v>
      </c>
      <c r="B3894" s="41" t="s">
        <v>25</v>
      </c>
      <c r="C3894" s="296">
        <v>13.7</v>
      </c>
      <c r="D3894" s="297">
        <v>8</v>
      </c>
      <c r="E3894" s="1186">
        <f>C3894*D3894</f>
        <v>109.6</v>
      </c>
      <c r="F3894" s="1184">
        <v>3.87</v>
      </c>
    </row>
    <row r="3895" spans="1:8">
      <c r="A3895" s="41"/>
      <c r="B3895" s="136" t="s">
        <v>218</v>
      </c>
      <c r="C3895" s="292"/>
      <c r="D3895" s="297"/>
      <c r="E3895" s="292">
        <v>1</v>
      </c>
      <c r="F3895" s="1181">
        <v>12</v>
      </c>
    </row>
    <row r="3901" spans="1:8">
      <c r="A3901" s="289" t="s">
        <v>99</v>
      </c>
      <c r="B3901" s="289" t="s">
        <v>4637</v>
      </c>
      <c r="C3901" s="289" t="s">
        <v>203</v>
      </c>
      <c r="D3901" s="289" t="s">
        <v>163</v>
      </c>
      <c r="E3901" s="289" t="s">
        <v>197</v>
      </c>
      <c r="F3901" s="289" t="s">
        <v>198</v>
      </c>
      <c r="G3901" s="1541" t="s">
        <v>242</v>
      </c>
      <c r="H3901" s="1606" t="s">
        <v>3739</v>
      </c>
    </row>
    <row r="3902" spans="1:8">
      <c r="A3902" s="41">
        <v>5634</v>
      </c>
      <c r="B3902" s="1283" t="s">
        <v>1808</v>
      </c>
      <c r="C3902" s="1674" t="s">
        <v>4634</v>
      </c>
      <c r="D3902" s="296">
        <v>50</v>
      </c>
      <c r="E3902" s="297">
        <v>2</v>
      </c>
      <c r="F3902" s="298">
        <f>D3902*E3902</f>
        <v>100</v>
      </c>
      <c r="G3902" s="1181">
        <v>0.39</v>
      </c>
      <c r="H3902" s="1276">
        <f t="shared" ref="H3902:H3904" si="116">G3902*F3902</f>
        <v>39</v>
      </c>
    </row>
    <row r="3903" spans="1:8">
      <c r="A3903" s="41">
        <v>5634</v>
      </c>
      <c r="B3903" s="1283" t="s">
        <v>1808</v>
      </c>
      <c r="C3903" s="302" t="s">
        <v>4635</v>
      </c>
      <c r="D3903" s="296">
        <v>50</v>
      </c>
      <c r="E3903" s="297">
        <v>2</v>
      </c>
      <c r="F3903" s="298">
        <f>D3903*E3903</f>
        <v>100</v>
      </c>
      <c r="G3903" s="1181">
        <v>0.39</v>
      </c>
      <c r="H3903" s="1276">
        <f t="shared" si="116"/>
        <v>39</v>
      </c>
    </row>
    <row r="3904" spans="1:8">
      <c r="A3904" s="41">
        <v>5634</v>
      </c>
      <c r="B3904" s="1283" t="s">
        <v>1808</v>
      </c>
      <c r="C3904" s="302" t="s">
        <v>4636</v>
      </c>
      <c r="D3904" s="296">
        <v>50</v>
      </c>
      <c r="E3904" s="297">
        <v>2</v>
      </c>
      <c r="F3904" s="298">
        <f>D3904*E3904</f>
        <v>100</v>
      </c>
      <c r="G3904" s="1181">
        <v>0.39</v>
      </c>
      <c r="H3904" s="1276">
        <f t="shared" si="116"/>
        <v>39</v>
      </c>
    </row>
    <row r="3905" spans="1:8">
      <c r="A3905" s="41"/>
      <c r="B3905" s="136"/>
      <c r="C3905" s="136" t="s">
        <v>218</v>
      </c>
      <c r="D3905" s="292"/>
      <c r="E3905" s="297"/>
      <c r="F3905" s="292">
        <v>1</v>
      </c>
      <c r="G3905" s="1181">
        <v>12</v>
      </c>
      <c r="H3905" s="1276">
        <f>G3905*F3905</f>
        <v>12</v>
      </c>
    </row>
    <row r="3906" spans="1:8">
      <c r="A3906" s="41"/>
      <c r="B3906" s="136"/>
      <c r="C3906" s="136" t="s">
        <v>4638</v>
      </c>
      <c r="D3906" s="292"/>
      <c r="E3906" s="297"/>
      <c r="F3906" s="292">
        <v>1</v>
      </c>
      <c r="G3906" s="1804" t="s">
        <v>4639</v>
      </c>
      <c r="H3906" s="1276"/>
    </row>
    <row r="3909" spans="1:8">
      <c r="A3909" s="1633" t="s">
        <v>4640</v>
      </c>
    </row>
    <row r="3910" spans="1:8" ht="14.25" thickBot="1"/>
    <row r="3911" spans="1:8" ht="14.25" thickBot="1">
      <c r="A3911" s="348" t="s">
        <v>4641</v>
      </c>
      <c r="B3911" s="1631" t="s">
        <v>3654</v>
      </c>
      <c r="C3911" s="1631" t="s">
        <v>4135</v>
      </c>
      <c r="D3911" s="348" t="s">
        <v>4136</v>
      </c>
      <c r="E3911" s="1639" t="s">
        <v>3609</v>
      </c>
      <c r="F3911" s="1640" t="s">
        <v>3909</v>
      </c>
      <c r="G3911" s="1640" t="s">
        <v>1843</v>
      </c>
    </row>
    <row r="3912" spans="1:8" ht="15" thickBot="1">
      <c r="A3912" s="351" t="s">
        <v>4642</v>
      </c>
      <c r="B3912" s="351"/>
      <c r="C3912" s="1632" t="s">
        <v>4647</v>
      </c>
      <c r="D3912" s="1638">
        <f t="shared" ref="D3912:D3917" si="117">ROUNDUP(E3912/0.8/140,2)</f>
        <v>21.080000000000002</v>
      </c>
      <c r="E3912" s="1641">
        <f>2060+300</f>
        <v>2360</v>
      </c>
      <c r="F3912" s="1642">
        <f t="shared" ref="F3912:F3917" si="118">(D3912-(E3912/G3912))/D3912</f>
        <v>0.20032529140688538</v>
      </c>
      <c r="G3912" s="1643">
        <v>140</v>
      </c>
    </row>
    <row r="3913" spans="1:8" ht="15" thickBot="1">
      <c r="A3913" s="351" t="s">
        <v>4642</v>
      </c>
      <c r="B3913" s="351"/>
      <c r="C3913" s="1632" t="s">
        <v>4648</v>
      </c>
      <c r="D3913" s="1638">
        <f t="shared" si="117"/>
        <v>18.400000000000002</v>
      </c>
      <c r="E3913" s="1641">
        <v>2060</v>
      </c>
      <c r="F3913" s="1642">
        <f t="shared" si="118"/>
        <v>0.20031055900621131</v>
      </c>
      <c r="G3913" s="1643">
        <v>140</v>
      </c>
    </row>
    <row r="3914" spans="1:8" ht="15" thickBot="1">
      <c r="A3914" s="351" t="s">
        <v>4645</v>
      </c>
      <c r="B3914" s="351"/>
      <c r="C3914" s="1632" t="s">
        <v>4647</v>
      </c>
      <c r="D3914" s="1638">
        <f t="shared" si="117"/>
        <v>20.990000000000002</v>
      </c>
      <c r="E3914" s="1641">
        <f>2050+300</f>
        <v>2350</v>
      </c>
      <c r="F3914" s="1642">
        <f t="shared" si="118"/>
        <v>0.20029946232900034</v>
      </c>
      <c r="G3914" s="1643">
        <v>140</v>
      </c>
    </row>
    <row r="3915" spans="1:8" ht="15" thickBot="1">
      <c r="A3915" s="351" t="s">
        <v>4645</v>
      </c>
      <c r="B3915" s="351"/>
      <c r="C3915" s="1632" t="s">
        <v>4648</v>
      </c>
      <c r="D3915" s="1638">
        <f t="shared" si="117"/>
        <v>18.310000000000002</v>
      </c>
      <c r="E3915" s="1641">
        <v>2050</v>
      </c>
      <c r="F3915" s="1642">
        <f t="shared" si="118"/>
        <v>0.20028087696028724</v>
      </c>
      <c r="G3915" s="1643">
        <v>140</v>
      </c>
    </row>
    <row r="3916" spans="1:8" ht="15" thickBot="1">
      <c r="A3916" s="302" t="s">
        <v>4643</v>
      </c>
      <c r="B3916" s="351"/>
      <c r="C3916" s="1805" t="s">
        <v>4646</v>
      </c>
      <c r="D3916" s="1638">
        <f t="shared" si="117"/>
        <v>22.770000000000003</v>
      </c>
      <c r="E3916" s="1641">
        <f>2250+300</f>
        <v>2550</v>
      </c>
      <c r="F3916" s="1642">
        <f t="shared" si="118"/>
        <v>0.20007528703180882</v>
      </c>
      <c r="G3916" s="1643">
        <v>140</v>
      </c>
    </row>
    <row r="3917" spans="1:8" ht="15" thickBot="1">
      <c r="A3917" s="302" t="s">
        <v>4643</v>
      </c>
      <c r="B3917" s="351"/>
      <c r="C3917" s="1805" t="s">
        <v>4644</v>
      </c>
      <c r="D3917" s="1638">
        <f t="shared" si="117"/>
        <v>20.09</v>
      </c>
      <c r="E3917" s="1641">
        <v>2250</v>
      </c>
      <c r="F3917" s="1642">
        <f t="shared" si="118"/>
        <v>0.20002844343312229</v>
      </c>
      <c r="G3917" s="1643">
        <v>140</v>
      </c>
    </row>
    <row r="3922" spans="1:12">
      <c r="A3922" s="289" t="s">
        <v>99</v>
      </c>
      <c r="B3922" s="289" t="s">
        <v>203</v>
      </c>
      <c r="C3922" s="289" t="s">
        <v>163</v>
      </c>
      <c r="D3922" s="289" t="s">
        <v>197</v>
      </c>
      <c r="E3922" s="289" t="s">
        <v>198</v>
      </c>
      <c r="F3922" s="1541" t="s">
        <v>242</v>
      </c>
      <c r="G3922" s="1606" t="s">
        <v>3739</v>
      </c>
    </row>
    <row r="3923" spans="1:12">
      <c r="A3923" s="41">
        <v>1966</v>
      </c>
      <c r="B3923" s="41" t="s">
        <v>4650</v>
      </c>
      <c r="C3923" s="296">
        <v>30</v>
      </c>
      <c r="D3923" s="297">
        <v>4</v>
      </c>
      <c r="E3923" s="298">
        <f>C3923*D3923</f>
        <v>120</v>
      </c>
      <c r="F3923" s="1181">
        <v>0.8</v>
      </c>
      <c r="G3923" s="1276">
        <f>F3923*E3923</f>
        <v>96</v>
      </c>
    </row>
    <row r="3924" spans="1:12">
      <c r="A3924" s="41"/>
      <c r="B3924" s="136" t="s">
        <v>218</v>
      </c>
      <c r="C3924" s="292"/>
      <c r="D3924" s="297"/>
      <c r="E3924" s="292">
        <v>1</v>
      </c>
      <c r="F3924" s="1181">
        <v>12</v>
      </c>
      <c r="G3924" s="1276">
        <f>F3924*E3924</f>
        <v>12</v>
      </c>
    </row>
    <row r="3927" spans="1:12">
      <c r="A3927" t="s">
        <v>4656</v>
      </c>
    </row>
    <row r="3928" spans="1:12" s="290" customFormat="1" ht="12.75">
      <c r="A3928" s="289" t="s">
        <v>99</v>
      </c>
      <c r="B3928" s="289" t="s">
        <v>203</v>
      </c>
      <c r="C3928" s="289" t="s">
        <v>198</v>
      </c>
      <c r="D3928" s="1528" t="s">
        <v>3604</v>
      </c>
      <c r="E3928" s="1528" t="s">
        <v>3477</v>
      </c>
      <c r="F3928" s="1772"/>
      <c r="G3928" s="1524" t="s">
        <v>3909</v>
      </c>
      <c r="H3928" s="1521" t="s">
        <v>1843</v>
      </c>
      <c r="I3928" s="1528"/>
      <c r="J3928" s="33"/>
      <c r="K3928" s="33"/>
      <c r="L3928" s="1769"/>
    </row>
    <row r="3929" spans="1:12" s="290" customFormat="1" ht="12.75">
      <c r="A3929" s="41" t="s">
        <v>4553</v>
      </c>
      <c r="B3929" s="41" t="s">
        <v>25</v>
      </c>
      <c r="C3929" s="298">
        <v>200</v>
      </c>
      <c r="D3929" s="1181">
        <v>0.69</v>
      </c>
      <c r="E3929" s="1773" t="s">
        <v>4571</v>
      </c>
      <c r="F3929" s="364">
        <v>68</v>
      </c>
      <c r="G3929" s="1591">
        <f t="shared" ref="G3929:G3940" si="119">(D3929-(F3929/H3929))/D3929</f>
        <v>0.29606625258799169</v>
      </c>
      <c r="H3929" s="1523">
        <v>140</v>
      </c>
      <c r="I3929" s="1276">
        <f t="shared" ref="I3929:I3940" si="120">D3929*C3929</f>
        <v>138</v>
      </c>
      <c r="J3929" s="363" t="s">
        <v>224</v>
      </c>
      <c r="K3929" s="33"/>
      <c r="L3929" s="350"/>
    </row>
    <row r="3930" spans="1:12" s="290" customFormat="1" ht="12.75">
      <c r="A3930" s="41" t="s">
        <v>4554</v>
      </c>
      <c r="B3930" s="41" t="s">
        <v>25</v>
      </c>
      <c r="C3930" s="298">
        <v>50</v>
      </c>
      <c r="D3930" s="1181">
        <v>0.5</v>
      </c>
      <c r="E3930" s="1773" t="s">
        <v>4276</v>
      </c>
      <c r="F3930" s="364">
        <v>49</v>
      </c>
      <c r="G3930" s="1591">
        <f t="shared" si="119"/>
        <v>0.30000000000000004</v>
      </c>
      <c r="H3930" s="1523">
        <v>140</v>
      </c>
      <c r="I3930" s="1276">
        <f t="shared" si="120"/>
        <v>25</v>
      </c>
      <c r="J3930" s="363" t="s">
        <v>224</v>
      </c>
      <c r="K3930" s="33"/>
      <c r="L3930" s="350"/>
    </row>
    <row r="3931" spans="1:12" s="290" customFormat="1" ht="12.75">
      <c r="A3931" s="41" t="s">
        <v>4555</v>
      </c>
      <c r="B3931" s="41" t="s">
        <v>25</v>
      </c>
      <c r="C3931" s="298">
        <v>50</v>
      </c>
      <c r="D3931" s="1181">
        <v>0.51</v>
      </c>
      <c r="E3931" s="1773" t="s">
        <v>4276</v>
      </c>
      <c r="F3931" s="364">
        <v>50</v>
      </c>
      <c r="G3931" s="1591">
        <f t="shared" si="119"/>
        <v>0.29971988795518206</v>
      </c>
      <c r="H3931" s="1523">
        <v>140</v>
      </c>
      <c r="I3931" s="1276">
        <f t="shared" si="120"/>
        <v>25.5</v>
      </c>
      <c r="J3931" s="363" t="s">
        <v>224</v>
      </c>
      <c r="K3931" s="33"/>
      <c r="L3931" s="350"/>
    </row>
    <row r="3932" spans="1:12" s="290" customFormat="1" ht="12.75">
      <c r="A3932" s="41" t="s">
        <v>4556</v>
      </c>
      <c r="B3932" s="41" t="s">
        <v>25</v>
      </c>
      <c r="C3932" s="298">
        <v>50</v>
      </c>
      <c r="D3932" s="1181">
        <v>0.49</v>
      </c>
      <c r="E3932" s="1773" t="s">
        <v>4276</v>
      </c>
      <c r="F3932" s="364">
        <v>48</v>
      </c>
      <c r="G3932" s="1591">
        <f t="shared" si="119"/>
        <v>0.30029154518950435</v>
      </c>
      <c r="H3932" s="1523">
        <v>140</v>
      </c>
      <c r="I3932" s="1276">
        <f t="shared" si="120"/>
        <v>24.5</v>
      </c>
      <c r="J3932" s="363" t="s">
        <v>224</v>
      </c>
      <c r="K3932" s="33"/>
      <c r="L3932" s="350"/>
    </row>
    <row r="3933" spans="1:12" s="290" customFormat="1" ht="12.75">
      <c r="A3933" s="41" t="s">
        <v>4557</v>
      </c>
      <c r="B3933" s="41" t="s">
        <v>25</v>
      </c>
      <c r="C3933" s="298">
        <v>50</v>
      </c>
      <c r="D3933" s="1181">
        <v>0.81</v>
      </c>
      <c r="E3933" s="1773" t="s">
        <v>4276</v>
      </c>
      <c r="F3933" s="364">
        <v>79</v>
      </c>
      <c r="G3933" s="1591">
        <f t="shared" si="119"/>
        <v>0.30335097001763672</v>
      </c>
      <c r="H3933" s="1523">
        <v>140</v>
      </c>
      <c r="I3933" s="1276">
        <f t="shared" si="120"/>
        <v>40.5</v>
      </c>
      <c r="J3933" s="363" t="s">
        <v>224</v>
      </c>
      <c r="K3933" s="33"/>
      <c r="L3933" s="350"/>
    </row>
    <row r="3934" spans="1:12" s="290" customFormat="1" ht="12.75">
      <c r="A3934" s="41" t="s">
        <v>4558</v>
      </c>
      <c r="B3934" s="41" t="s">
        <v>4559</v>
      </c>
      <c r="C3934" s="298">
        <v>50</v>
      </c>
      <c r="D3934" s="1181">
        <v>0.37</v>
      </c>
      <c r="E3934" s="1773" t="s">
        <v>4593</v>
      </c>
      <c r="F3934" s="364">
        <v>36</v>
      </c>
      <c r="G3934" s="1591">
        <f t="shared" si="119"/>
        <v>0.30501930501930508</v>
      </c>
      <c r="H3934" s="1523">
        <v>140</v>
      </c>
      <c r="I3934" s="1276">
        <f t="shared" si="120"/>
        <v>18.5</v>
      </c>
      <c r="J3934" s="363" t="s">
        <v>224</v>
      </c>
      <c r="K3934" s="33"/>
      <c r="L3934" s="350"/>
    </row>
    <row r="3935" spans="1:12" s="290" customFormat="1" ht="12.75">
      <c r="A3935" s="41" t="s">
        <v>4560</v>
      </c>
      <c r="B3935" s="41" t="s">
        <v>4559</v>
      </c>
      <c r="C3935" s="298">
        <v>50</v>
      </c>
      <c r="D3935" s="1181">
        <v>0.28000000000000003</v>
      </c>
      <c r="E3935" s="1773" t="s">
        <v>4593</v>
      </c>
      <c r="F3935" s="364">
        <v>27</v>
      </c>
      <c r="G3935" s="1591">
        <f t="shared" si="119"/>
        <v>0.31122448979591838</v>
      </c>
      <c r="H3935" s="1523">
        <v>140</v>
      </c>
      <c r="I3935" s="1276">
        <f t="shared" si="120"/>
        <v>14.000000000000002</v>
      </c>
      <c r="J3935" s="363" t="s">
        <v>224</v>
      </c>
      <c r="K3935" s="33"/>
      <c r="L3935" s="350"/>
    </row>
    <row r="3936" spans="1:12" s="290" customFormat="1" ht="12.75">
      <c r="A3936" s="41" t="s">
        <v>4561</v>
      </c>
      <c r="B3936" s="41" t="s">
        <v>4559</v>
      </c>
      <c r="C3936" s="298">
        <v>50</v>
      </c>
      <c r="D3936" s="1181">
        <v>0.39</v>
      </c>
      <c r="E3936" s="1773" t="s">
        <v>4593</v>
      </c>
      <c r="F3936" s="364">
        <v>38</v>
      </c>
      <c r="G3936" s="1591">
        <f t="shared" si="119"/>
        <v>0.30402930402930411</v>
      </c>
      <c r="H3936" s="1523">
        <v>140</v>
      </c>
      <c r="I3936" s="1276">
        <f t="shared" si="120"/>
        <v>19.5</v>
      </c>
      <c r="J3936" s="363" t="s">
        <v>224</v>
      </c>
      <c r="K3936" s="33"/>
      <c r="L3936" s="350"/>
    </row>
    <row r="3937" spans="1:12" s="290" customFormat="1" ht="12.75">
      <c r="A3937" s="41"/>
      <c r="B3937" s="136" t="s">
        <v>71</v>
      </c>
      <c r="C3937" s="292">
        <v>3</v>
      </c>
      <c r="D3937" s="1181">
        <v>65</v>
      </c>
      <c r="E3937" s="1773"/>
      <c r="F3937" s="364">
        <v>7000</v>
      </c>
      <c r="G3937" s="1591">
        <f t="shared" si="119"/>
        <v>0.23076923076923078</v>
      </c>
      <c r="H3937" s="1523">
        <v>140</v>
      </c>
      <c r="I3937" s="1276">
        <f t="shared" si="120"/>
        <v>195</v>
      </c>
      <c r="J3937" s="1531"/>
      <c r="K3937" s="33"/>
      <c r="L3937" s="1769"/>
    </row>
    <row r="3938" spans="1:12" s="290" customFormat="1" ht="12.75">
      <c r="A3938" s="41" t="s">
        <v>4558</v>
      </c>
      <c r="B3938" s="41" t="s">
        <v>4559</v>
      </c>
      <c r="C3938" s="298">
        <v>100</v>
      </c>
      <c r="D3938" s="1181">
        <v>1.08</v>
      </c>
      <c r="E3938" s="1211"/>
      <c r="F3938" s="364">
        <f>36+70</f>
        <v>106</v>
      </c>
      <c r="G3938" s="1591">
        <f t="shared" si="119"/>
        <v>0.29894179894179901</v>
      </c>
      <c r="H3938" s="1523">
        <v>140</v>
      </c>
      <c r="I3938" s="1276">
        <f t="shared" si="120"/>
        <v>108</v>
      </c>
      <c r="J3938" s="363" t="s">
        <v>224</v>
      </c>
      <c r="K3938" s="33"/>
      <c r="L3938" s="350"/>
    </row>
    <row r="3939" spans="1:12" s="290" customFormat="1" ht="12.75">
      <c r="A3939" s="41" t="s">
        <v>4560</v>
      </c>
      <c r="B3939" s="41" t="s">
        <v>4559</v>
      </c>
      <c r="C3939" s="298">
        <v>100</v>
      </c>
      <c r="D3939" s="1181">
        <v>0.99</v>
      </c>
      <c r="E3939" s="1211"/>
      <c r="F3939" s="364">
        <f>27+70</f>
        <v>97</v>
      </c>
      <c r="G3939" s="1591">
        <f t="shared" si="119"/>
        <v>0.30014430014430016</v>
      </c>
      <c r="H3939" s="1523">
        <v>140</v>
      </c>
      <c r="I3939" s="1276">
        <f t="shared" si="120"/>
        <v>99</v>
      </c>
      <c r="J3939" s="363" t="s">
        <v>224</v>
      </c>
      <c r="K3939" s="33"/>
      <c r="L3939" s="350"/>
    </row>
    <row r="3940" spans="1:12" s="290" customFormat="1" ht="12.75">
      <c r="A3940" s="41" t="s">
        <v>4561</v>
      </c>
      <c r="B3940" s="41" t="s">
        <v>4559</v>
      </c>
      <c r="C3940" s="298">
        <v>100</v>
      </c>
      <c r="D3940" s="1181">
        <v>1.1000000000000001</v>
      </c>
      <c r="E3940" s="1211"/>
      <c r="F3940" s="364">
        <f>38+70</f>
        <v>108</v>
      </c>
      <c r="G3940" s="1591">
        <f t="shared" si="119"/>
        <v>0.29870129870129875</v>
      </c>
      <c r="H3940" s="1523">
        <v>140</v>
      </c>
      <c r="I3940" s="1276">
        <f t="shared" si="120"/>
        <v>110.00000000000001</v>
      </c>
      <c r="J3940" s="363" t="s">
        <v>224</v>
      </c>
      <c r="K3940" s="33"/>
      <c r="L3940" s="350"/>
    </row>
    <row r="3943" spans="1:12">
      <c r="A3943" s="289" t="s">
        <v>99</v>
      </c>
      <c r="B3943" s="289" t="s">
        <v>203</v>
      </c>
      <c r="C3943" s="289" t="s">
        <v>198</v>
      </c>
      <c r="D3943" s="1528" t="s">
        <v>3604</v>
      </c>
    </row>
    <row r="3944" spans="1:12">
      <c r="A3944" s="302" t="s">
        <v>4659</v>
      </c>
      <c r="B3944" s="302" t="s">
        <v>4661</v>
      </c>
      <c r="C3944" s="1482">
        <v>20</v>
      </c>
      <c r="D3944" s="1564">
        <v>0.49</v>
      </c>
    </row>
    <row r="3945" spans="1:12">
      <c r="A3945" s="302" t="s">
        <v>4558</v>
      </c>
      <c r="B3945" s="302" t="s">
        <v>4661</v>
      </c>
      <c r="C3945" s="1482">
        <v>20</v>
      </c>
      <c r="D3945" s="1564">
        <v>0.37</v>
      </c>
    </row>
    <row r="3946" spans="1:12">
      <c r="A3946" s="302" t="s">
        <v>4660</v>
      </c>
      <c r="B3946" s="302" t="s">
        <v>4661</v>
      </c>
      <c r="C3946" s="1482">
        <v>30</v>
      </c>
      <c r="D3946" s="1564">
        <v>0.44</v>
      </c>
    </row>
    <row r="3947" spans="1:12">
      <c r="A3947" s="302" t="s">
        <v>4560</v>
      </c>
      <c r="B3947" s="302" t="s">
        <v>4661</v>
      </c>
      <c r="C3947" s="1482">
        <v>20</v>
      </c>
      <c r="D3947" s="1564">
        <v>0.28000000000000003</v>
      </c>
    </row>
    <row r="3948" spans="1:12">
      <c r="A3948" s="302"/>
      <c r="B3948" s="1563" t="s">
        <v>218</v>
      </c>
      <c r="C3948" s="1273">
        <v>1</v>
      </c>
      <c r="D3948" s="1564">
        <v>12</v>
      </c>
    </row>
    <row r="3951" spans="1:12">
      <c r="A3951" s="1775" t="s">
        <v>4662</v>
      </c>
    </row>
    <row r="3952" spans="1:12">
      <c r="A3952" s="289" t="s">
        <v>40</v>
      </c>
      <c r="B3952" s="289" t="s">
        <v>150</v>
      </c>
      <c r="C3952" s="1528" t="s">
        <v>3604</v>
      </c>
      <c r="D3952" s="1524" t="s">
        <v>4476</v>
      </c>
      <c r="E3952" s="1524" t="s">
        <v>3909</v>
      </c>
      <c r="F3952" s="1521" t="s">
        <v>1843</v>
      </c>
    </row>
    <row r="3953" spans="1:116">
      <c r="A3953" s="1182" t="s">
        <v>4663</v>
      </c>
      <c r="B3953" s="41" t="s">
        <v>4664</v>
      </c>
      <c r="C3953" s="1183">
        <v>2.98</v>
      </c>
      <c r="D3953" s="1485">
        <v>250</v>
      </c>
      <c r="E3953" s="1591">
        <f>(C3953-(D3953/F3953))/C3953</f>
        <v>0.40076701821668259</v>
      </c>
      <c r="F3953" s="1523">
        <v>140</v>
      </c>
    </row>
    <row r="3954" spans="1:116">
      <c r="A3954" s="1182" t="s">
        <v>4666</v>
      </c>
      <c r="B3954" s="41" t="s">
        <v>4665</v>
      </c>
      <c r="C3954" s="1183">
        <v>1.72</v>
      </c>
      <c r="D3954" s="1485">
        <v>144</v>
      </c>
      <c r="E3954" s="1591">
        <f>(C3954-(D3954/F3954))/C3954</f>
        <v>0.4019933554817276</v>
      </c>
      <c r="F3954" s="1523">
        <v>140</v>
      </c>
    </row>
    <row r="3956" spans="1:116">
      <c r="A3956" t="s">
        <v>4671</v>
      </c>
    </row>
    <row r="3957" spans="1:116" s="353" customFormat="1" ht="25.5">
      <c r="A3957" s="1407" t="s">
        <v>171</v>
      </c>
      <c r="B3957" s="1469" t="s">
        <v>90</v>
      </c>
      <c r="C3957" s="1471" t="s">
        <v>150</v>
      </c>
      <c r="D3957" s="1792" t="s">
        <v>4669</v>
      </c>
      <c r="E3957" s="1792" t="s">
        <v>4670</v>
      </c>
      <c r="F3957" s="1524" t="s">
        <v>4476</v>
      </c>
    </row>
    <row r="3958" spans="1:116" s="49" customFormat="1" ht="15" customHeight="1">
      <c r="A3958" s="355" t="s">
        <v>236</v>
      </c>
      <c r="B3958" s="360">
        <v>36</v>
      </c>
      <c r="C3958" s="357" t="s">
        <v>4668</v>
      </c>
      <c r="D3958" s="1807">
        <f>ROUNDUP(F3958/0.53/125,2)</f>
        <v>3.86</v>
      </c>
      <c r="E3958" s="1807">
        <f>ROUNDUP(F3958/0.6/125,2)</f>
        <v>3.4099999999999997</v>
      </c>
      <c r="F3958" s="1260">
        <v>255.1</v>
      </c>
      <c r="G3958" s="1229"/>
      <c r="H3958" s="1229"/>
      <c r="I3958" s="1229"/>
      <c r="J3958" s="1229"/>
      <c r="K3958" s="1229"/>
      <c r="L3958" s="1229"/>
      <c r="M3958" s="1229"/>
      <c r="N3958" s="1229"/>
      <c r="O3958" s="1229"/>
      <c r="P3958" s="1229"/>
      <c r="Q3958" s="1229"/>
      <c r="R3958" s="1229"/>
      <c r="S3958" s="1229"/>
      <c r="T3958" s="1229"/>
      <c r="U3958" s="1229"/>
      <c r="V3958" s="1229"/>
      <c r="W3958" s="1229"/>
      <c r="X3958" s="1229"/>
      <c r="Y3958" s="1229"/>
      <c r="Z3958" s="1229"/>
      <c r="AA3958" s="1229"/>
      <c r="AB3958" s="1229"/>
      <c r="AC3958" s="1229"/>
      <c r="AD3958" s="1229"/>
      <c r="AE3958" s="1229"/>
      <c r="AF3958" s="1229"/>
      <c r="AG3958" s="1229"/>
      <c r="AH3958" s="1229"/>
      <c r="AI3958" s="1229"/>
      <c r="AJ3958" s="1229"/>
      <c r="AK3958" s="1229"/>
      <c r="AL3958" s="1229"/>
      <c r="AM3958" s="1229"/>
      <c r="AN3958" s="1229"/>
      <c r="AO3958" s="1229"/>
      <c r="AP3958" s="1229"/>
      <c r="AQ3958" s="1229"/>
      <c r="AR3958" s="1229"/>
      <c r="AS3958" s="1229"/>
      <c r="AT3958" s="1229"/>
      <c r="AU3958" s="1229"/>
      <c r="AV3958" s="1229"/>
      <c r="AW3958" s="1229"/>
      <c r="AX3958" s="1229"/>
      <c r="AY3958" s="1229"/>
      <c r="AZ3958" s="1229"/>
      <c r="BA3958" s="1229"/>
      <c r="BB3958" s="1229"/>
      <c r="BC3958" s="1229"/>
      <c r="BD3958" s="1229"/>
      <c r="BE3958" s="1229"/>
      <c r="BF3958" s="1229"/>
      <c r="BG3958" s="1229"/>
      <c r="BH3958" s="1229"/>
      <c r="BI3958" s="1229"/>
      <c r="BJ3958" s="1229"/>
      <c r="BK3958" s="1229"/>
      <c r="BL3958" s="1229"/>
      <c r="BM3958" s="1229"/>
      <c r="BN3958" s="1229"/>
      <c r="BO3958" s="1229"/>
      <c r="BP3958" s="1229"/>
      <c r="BQ3958" s="1229"/>
      <c r="BR3958" s="1229"/>
      <c r="BS3958" s="1229"/>
      <c r="BT3958" s="1229"/>
      <c r="BU3958" s="1229"/>
      <c r="BV3958" s="1229"/>
      <c r="BW3958" s="1229"/>
      <c r="BX3958" s="1229"/>
      <c r="BY3958" s="1229"/>
      <c r="BZ3958" s="1229"/>
      <c r="CA3958" s="1229"/>
      <c r="CB3958" s="1229"/>
      <c r="CC3958" s="1229"/>
      <c r="CD3958" s="1229"/>
      <c r="CE3958" s="1229"/>
      <c r="CF3958" s="1229"/>
      <c r="CG3958" s="1229"/>
      <c r="CH3958" s="1229"/>
      <c r="CI3958" s="1229"/>
      <c r="CJ3958" s="1229"/>
      <c r="CK3958" s="1229"/>
      <c r="CL3958" s="1229"/>
      <c r="CM3958" s="1229"/>
      <c r="CN3958" s="1229"/>
      <c r="CO3958" s="1229"/>
      <c r="CP3958" s="1229"/>
      <c r="CQ3958" s="1229"/>
      <c r="CR3958" s="1229"/>
      <c r="CS3958" s="1229"/>
      <c r="CT3958" s="1229"/>
      <c r="CU3958" s="1229"/>
      <c r="CV3958" s="1229"/>
      <c r="CW3958" s="1229"/>
      <c r="CX3958" s="1229"/>
      <c r="CY3958" s="1229"/>
      <c r="CZ3958" s="1229"/>
      <c r="DA3958" s="1229"/>
      <c r="DB3958" s="1229"/>
      <c r="DC3958" s="1229"/>
      <c r="DD3958" s="1229"/>
      <c r="DE3958" s="1229"/>
      <c r="DF3958" s="1229"/>
      <c r="DG3958" s="1229"/>
      <c r="DH3958" s="1229"/>
      <c r="DI3958" s="1229"/>
      <c r="DJ3958" s="1229"/>
      <c r="DK3958" s="1229"/>
      <c r="DL3958" s="1229"/>
    </row>
    <row r="3963" spans="1:116">
      <c r="A3963" s="1400" t="s">
        <v>2181</v>
      </c>
      <c r="B3963" s="41"/>
      <c r="C3963" s="298"/>
    </row>
    <row r="3964" spans="1:116">
      <c r="A3964" s="41" t="s">
        <v>4558</v>
      </c>
      <c r="B3964" s="41" t="s">
        <v>4661</v>
      </c>
      <c r="C3964" s="298">
        <v>100</v>
      </c>
    </row>
    <row r="3965" spans="1:116">
      <c r="A3965" s="41" t="s">
        <v>4561</v>
      </c>
      <c r="B3965" s="41" t="s">
        <v>4661</v>
      </c>
      <c r="C3965" s="298">
        <v>100</v>
      </c>
    </row>
    <row r="3966" spans="1:116">
      <c r="A3966" s="41" t="s">
        <v>4672</v>
      </c>
      <c r="B3966" s="41" t="s">
        <v>4661</v>
      </c>
      <c r="C3966" s="298">
        <v>100</v>
      </c>
    </row>
    <row r="3967" spans="1:116">
      <c r="A3967" s="41" t="s">
        <v>4560</v>
      </c>
      <c r="B3967" s="41" t="s">
        <v>4661</v>
      </c>
      <c r="C3967" s="298">
        <v>100</v>
      </c>
    </row>
    <row r="3968" spans="1:116">
      <c r="A3968" s="41" t="s">
        <v>4673</v>
      </c>
      <c r="B3968" s="41" t="s">
        <v>4661</v>
      </c>
      <c r="C3968" s="298">
        <v>100</v>
      </c>
    </row>
    <row r="3972" spans="1:8">
      <c r="A3972" s="289" t="s">
        <v>99</v>
      </c>
      <c r="B3972" s="289" t="s">
        <v>16</v>
      </c>
      <c r="C3972" s="289" t="s">
        <v>203</v>
      </c>
      <c r="D3972" s="289" t="s">
        <v>163</v>
      </c>
      <c r="E3972" s="289" t="s">
        <v>197</v>
      </c>
      <c r="F3972" s="289" t="s">
        <v>198</v>
      </c>
      <c r="G3972" s="1541" t="s">
        <v>242</v>
      </c>
    </row>
    <row r="3973" spans="1:8">
      <c r="A3973" s="41">
        <v>4141</v>
      </c>
      <c r="B3973" s="1264">
        <v>9</v>
      </c>
      <c r="C3973" s="41" t="s">
        <v>4675</v>
      </c>
      <c r="D3973" s="296">
        <v>20</v>
      </c>
      <c r="E3973" s="297">
        <v>5</v>
      </c>
      <c r="F3973" s="298">
        <f>D3973*E3973</f>
        <v>100</v>
      </c>
      <c r="G3973" s="1184">
        <v>1.33</v>
      </c>
    </row>
    <row r="3974" spans="1:8">
      <c r="A3974" s="41"/>
      <c r="B3974" s="136"/>
      <c r="C3974" s="136" t="s">
        <v>218</v>
      </c>
      <c r="D3974" s="292"/>
      <c r="E3974" s="297"/>
      <c r="F3974" s="292">
        <v>1</v>
      </c>
      <c r="G3974" s="1181">
        <v>12</v>
      </c>
    </row>
    <row r="3976" spans="1:8">
      <c r="A3976" s="345" t="s">
        <v>4677</v>
      </c>
    </row>
    <row r="3977" spans="1:8" ht="25.5">
      <c r="A3977" s="1527" t="s">
        <v>4469</v>
      </c>
      <c r="B3977" s="1528" t="s">
        <v>142</v>
      </c>
      <c r="C3977" s="1528" t="s">
        <v>3604</v>
      </c>
      <c r="D3977" s="1408" t="s">
        <v>4471</v>
      </c>
      <c r="E3977" s="312" t="s">
        <v>4476</v>
      </c>
      <c r="F3977" s="312" t="s">
        <v>3909</v>
      </c>
      <c r="G3977" s="1521" t="s">
        <v>1843</v>
      </c>
    </row>
    <row r="3978" spans="1:8">
      <c r="A3978" s="41" t="s">
        <v>4678</v>
      </c>
      <c r="B3978" s="41" t="s">
        <v>188</v>
      </c>
      <c r="C3978" s="1686">
        <f>ROUNDUP(E3978/0.6/140,2)</f>
        <v>2.7899999999999996</v>
      </c>
      <c r="D3978" s="1808" t="s">
        <v>231</v>
      </c>
      <c r="E3978" s="41">
        <v>234</v>
      </c>
      <c r="F3978" s="1645">
        <f>(C3978-(E3978/G3978))/C3978</f>
        <v>0.40092165898617499</v>
      </c>
      <c r="G3978" s="1523">
        <v>140</v>
      </c>
      <c r="H3978" s="1809"/>
    </row>
    <row r="3979" spans="1:8">
      <c r="A3979" s="41" t="s">
        <v>4679</v>
      </c>
      <c r="B3979" s="41" t="s">
        <v>3745</v>
      </c>
      <c r="C3979" s="1686">
        <f>ROUNDUP(E3979/0.6/140,2)</f>
        <v>3.6199999999999997</v>
      </c>
      <c r="D3979" s="1755" t="s">
        <v>4680</v>
      </c>
      <c r="E3979" s="41">
        <f>234+70</f>
        <v>304</v>
      </c>
      <c r="F3979" s="1645">
        <f>(C3979-(E3979/G3979))/C3979</f>
        <v>0.40015785319652725</v>
      </c>
      <c r="G3979" s="1523">
        <v>140</v>
      </c>
      <c r="H3979" s="1810" t="s">
        <v>4513</v>
      </c>
    </row>
    <row r="3980" spans="1:8">
      <c r="A3980" s="1474" t="s">
        <v>4681</v>
      </c>
    </row>
    <row r="3983" spans="1:8">
      <c r="A3983" s="289" t="s">
        <v>99</v>
      </c>
      <c r="B3983" s="289" t="s">
        <v>203</v>
      </c>
      <c r="C3983" s="289" t="s">
        <v>198</v>
      </c>
      <c r="D3983" s="1541" t="s">
        <v>242</v>
      </c>
      <c r="E3983" s="1606" t="s">
        <v>3739</v>
      </c>
    </row>
    <row r="3984" spans="1:8">
      <c r="A3984" s="41" t="s">
        <v>4682</v>
      </c>
      <c r="B3984" s="41" t="s">
        <v>4683</v>
      </c>
      <c r="C3984" s="298">
        <v>50</v>
      </c>
      <c r="D3984" s="1181">
        <v>2.79</v>
      </c>
      <c r="E3984" s="1276">
        <f t="shared" ref="E3984:E3985" si="121">D3984*C3984</f>
        <v>139.5</v>
      </c>
    </row>
    <row r="3985" spans="1:8">
      <c r="A3985" s="41" t="s">
        <v>4682</v>
      </c>
      <c r="B3985" s="41" t="s">
        <v>4684</v>
      </c>
      <c r="C3985" s="298">
        <v>50</v>
      </c>
      <c r="D3985" s="1181">
        <v>2.79</v>
      </c>
      <c r="E3985" s="1276">
        <f t="shared" si="121"/>
        <v>139.5</v>
      </c>
    </row>
    <row r="3986" spans="1:8">
      <c r="A3986" s="41"/>
      <c r="B3986" s="136" t="s">
        <v>4587</v>
      </c>
      <c r="C3986" s="292">
        <v>2</v>
      </c>
      <c r="D3986" s="1181">
        <v>65</v>
      </c>
      <c r="E3986" s="1276">
        <f>D3986*C3986</f>
        <v>130</v>
      </c>
    </row>
    <row r="3987" spans="1:8">
      <c r="A3987" s="41"/>
      <c r="B3987" s="136" t="s">
        <v>218</v>
      </c>
      <c r="C3987" s="292">
        <v>1</v>
      </c>
      <c r="D3987" s="1181">
        <v>12</v>
      </c>
      <c r="E3987" s="1276">
        <f>D3987*C3987</f>
        <v>12</v>
      </c>
    </row>
    <row r="3990" spans="1:8" ht="15">
      <c r="A3990" s="591" t="s">
        <v>4687</v>
      </c>
    </row>
    <row r="3991" spans="1:8" ht="15.75">
      <c r="A3991" s="74" t="s">
        <v>99</v>
      </c>
      <c r="B3991" s="74" t="s">
        <v>93</v>
      </c>
      <c r="C3991" s="74" t="s">
        <v>45</v>
      </c>
      <c r="D3991" s="68" t="s">
        <v>142</v>
      </c>
      <c r="E3991" s="89" t="s">
        <v>151</v>
      </c>
      <c r="F3991" s="1812" t="s">
        <v>4690</v>
      </c>
      <c r="G3991" s="1524" t="s">
        <v>3909</v>
      </c>
      <c r="H3991" s="1521" t="s">
        <v>1843</v>
      </c>
    </row>
    <row r="3992" spans="1:8" ht="15">
      <c r="A3992" s="18" t="s">
        <v>4688</v>
      </c>
      <c r="B3992" s="38" t="s">
        <v>4689</v>
      </c>
      <c r="C3992" s="21" t="s">
        <v>4686</v>
      </c>
      <c r="D3992" s="1811">
        <v>25</v>
      </c>
      <c r="E3992" s="598">
        <v>1.32</v>
      </c>
      <c r="F3992">
        <v>83</v>
      </c>
      <c r="G3992" s="1591">
        <f>(E3992-(F3992/H3992))/E3992</f>
        <v>0.55086580086580084</v>
      </c>
      <c r="H3992" s="1523">
        <v>140</v>
      </c>
    </row>
    <row r="3995" spans="1:8" ht="15">
      <c r="A3995" s="74" t="s">
        <v>99</v>
      </c>
      <c r="B3995" s="74" t="s">
        <v>93</v>
      </c>
      <c r="C3995" s="74" t="s">
        <v>45</v>
      </c>
      <c r="D3995" s="289" t="s">
        <v>163</v>
      </c>
      <c r="E3995" s="289" t="s">
        <v>197</v>
      </c>
      <c r="F3995" s="289" t="s">
        <v>198</v>
      </c>
      <c r="G3995" s="1541" t="s">
        <v>242</v>
      </c>
      <c r="H3995" s="1606" t="s">
        <v>3739</v>
      </c>
    </row>
    <row r="3996" spans="1:8">
      <c r="A3996" s="1400" t="s">
        <v>4691</v>
      </c>
      <c r="B3996" s="42"/>
      <c r="C3996" s="41"/>
      <c r="D3996" s="1815"/>
      <c r="E3996" s="299"/>
      <c r="F3996" s="298"/>
      <c r="G3996" s="307" t="s">
        <v>8</v>
      </c>
      <c r="H3996" s="33"/>
    </row>
    <row r="3997" spans="1:8">
      <c r="A3997" s="41" t="s">
        <v>4693</v>
      </c>
      <c r="B3997" s="42" t="s">
        <v>4694</v>
      </c>
      <c r="C3997" s="41" t="s">
        <v>4697</v>
      </c>
      <c r="D3997" s="298">
        <v>25</v>
      </c>
      <c r="E3997" s="299">
        <v>1</v>
      </c>
      <c r="F3997" s="298">
        <f>D3997*E3997</f>
        <v>25</v>
      </c>
      <c r="G3997" s="1181">
        <v>1.32</v>
      </c>
      <c r="H3997" s="1489">
        <f>G3997*F3997</f>
        <v>33</v>
      </c>
    </row>
    <row r="3998" spans="1:8">
      <c r="A3998" s="41"/>
      <c r="B3998" s="136"/>
      <c r="C3998" s="136" t="s">
        <v>218</v>
      </c>
      <c r="D3998" s="292"/>
      <c r="E3998" s="297"/>
      <c r="F3998" s="292">
        <v>1</v>
      </c>
      <c r="G3998" s="1181">
        <v>12</v>
      </c>
      <c r="H3998" s="1816" t="s">
        <v>4698</v>
      </c>
    </row>
    <row r="4000" spans="1:8" ht="15">
      <c r="A4000" s="74" t="s">
        <v>99</v>
      </c>
      <c r="B4000" s="74" t="s">
        <v>93</v>
      </c>
      <c r="C4000" s="74" t="s">
        <v>45</v>
      </c>
      <c r="D4000" s="289" t="s">
        <v>163</v>
      </c>
      <c r="E4000" s="289" t="s">
        <v>197</v>
      </c>
      <c r="F4000" s="289" t="s">
        <v>198</v>
      </c>
      <c r="G4000" s="1541" t="s">
        <v>242</v>
      </c>
      <c r="H4000" s="1606" t="s">
        <v>3739</v>
      </c>
    </row>
    <row r="4001" spans="1:10">
      <c r="A4001" s="41" t="s">
        <v>4693</v>
      </c>
      <c r="B4001" s="42" t="s">
        <v>4694</v>
      </c>
      <c r="C4001" s="41" t="s">
        <v>4701</v>
      </c>
      <c r="D4001" s="43">
        <v>20</v>
      </c>
      <c r="E4001" s="303">
        <v>2</v>
      </c>
      <c r="F4001" s="43">
        <f>D4001*E4001</f>
        <v>40</v>
      </c>
      <c r="G4001" s="1181">
        <v>1.32</v>
      </c>
      <c r="H4001" s="1276">
        <f>G4001*F4001</f>
        <v>52.800000000000004</v>
      </c>
    </row>
    <row r="4002" spans="1:10">
      <c r="A4002" s="41"/>
      <c r="B4002" s="136"/>
      <c r="C4002" s="136" t="s">
        <v>218</v>
      </c>
      <c r="D4002" s="292"/>
      <c r="E4002" s="297"/>
      <c r="F4002" s="292">
        <v>1</v>
      </c>
      <c r="G4002" s="1181">
        <v>12</v>
      </c>
      <c r="H4002" s="1276">
        <f>G4002*F4002</f>
        <v>12</v>
      </c>
    </row>
    <row r="4005" spans="1:10">
      <c r="A4005" t="s">
        <v>4716</v>
      </c>
    </row>
    <row r="4006" spans="1:10">
      <c r="A4006" s="2121" t="s">
        <v>4702</v>
      </c>
      <c r="B4006" s="2114" t="s">
        <v>4703</v>
      </c>
      <c r="C4006" s="2114" t="s">
        <v>4704</v>
      </c>
      <c r="D4006" s="2114" t="s">
        <v>4705</v>
      </c>
      <c r="E4006" s="2114" t="s">
        <v>4706</v>
      </c>
      <c r="F4006" s="2114" t="s">
        <v>4707</v>
      </c>
      <c r="G4006" s="2111"/>
      <c r="H4006" s="2111"/>
      <c r="I4006" s="2111"/>
      <c r="J4006" s="2112" t="s">
        <v>4708</v>
      </c>
    </row>
    <row r="4007" spans="1:10">
      <c r="A4007" s="2122"/>
      <c r="B4007" s="2115"/>
      <c r="C4007" s="2115"/>
      <c r="D4007" s="2115"/>
      <c r="E4007" s="2115"/>
      <c r="F4007" s="2115"/>
      <c r="G4007" s="1820" t="s">
        <v>4709</v>
      </c>
      <c r="H4007" s="1820" t="s">
        <v>4710</v>
      </c>
      <c r="I4007" s="1820" t="s">
        <v>4711</v>
      </c>
      <c r="J4007" s="2113"/>
    </row>
    <row r="4008" spans="1:10">
      <c r="A4008" s="131">
        <v>23674</v>
      </c>
      <c r="B4008" s="131" t="s">
        <v>4712</v>
      </c>
      <c r="C4008" s="131" t="s">
        <v>4713</v>
      </c>
      <c r="D4008" s="131" t="s">
        <v>4714</v>
      </c>
      <c r="E4008" s="131" t="s">
        <v>4715</v>
      </c>
      <c r="F4008" s="131">
        <v>490</v>
      </c>
      <c r="G4008" s="131">
        <v>470</v>
      </c>
      <c r="H4008" s="131">
        <v>430</v>
      </c>
      <c r="I4008" s="131">
        <v>390</v>
      </c>
      <c r="J4008" s="131"/>
    </row>
    <row r="4010" spans="1:10">
      <c r="A4010" s="1481" t="s">
        <v>99</v>
      </c>
      <c r="B4010" s="1481" t="s">
        <v>4718</v>
      </c>
      <c r="C4010" s="1481" t="s">
        <v>4719</v>
      </c>
      <c r="D4010" s="1541" t="s">
        <v>242</v>
      </c>
      <c r="E4010" s="80" t="s">
        <v>4690</v>
      </c>
      <c r="F4010" s="312" t="s">
        <v>3909</v>
      </c>
      <c r="G4010" s="1521" t="s">
        <v>1843</v>
      </c>
    </row>
    <row r="4011" spans="1:10">
      <c r="A4011" s="302" t="s">
        <v>4717</v>
      </c>
      <c r="B4011" s="302" t="s">
        <v>4720</v>
      </c>
      <c r="C4011" s="302" t="s">
        <v>4721</v>
      </c>
      <c r="D4011" s="1181">
        <v>5.84</v>
      </c>
      <c r="E4011" s="131">
        <v>490</v>
      </c>
      <c r="F4011" s="1645">
        <f>(D4011-(E4011/G4011))/D4011</f>
        <v>0.40068493150684931</v>
      </c>
      <c r="G4011" s="1523">
        <v>140</v>
      </c>
    </row>
    <row r="4012" spans="1:10">
      <c r="A4012" s="302" t="s">
        <v>4717</v>
      </c>
      <c r="B4012" s="302" t="s">
        <v>4720</v>
      </c>
      <c r="C4012" s="302" t="s">
        <v>4722</v>
      </c>
      <c r="D4012" s="1181">
        <v>5.6</v>
      </c>
      <c r="E4012" s="131">
        <v>470</v>
      </c>
      <c r="F4012" s="1645">
        <f>(D4012-(E4012/G4012))/D4012</f>
        <v>0.40051020408163263</v>
      </c>
      <c r="G4012" s="1523">
        <v>140</v>
      </c>
    </row>
    <row r="4013" spans="1:10">
      <c r="A4013" s="302" t="s">
        <v>4717</v>
      </c>
      <c r="B4013" s="302" t="s">
        <v>4720</v>
      </c>
      <c r="C4013" s="302" t="s">
        <v>4723</v>
      </c>
      <c r="D4013" s="1181">
        <v>5.12</v>
      </c>
      <c r="E4013" s="131">
        <v>430</v>
      </c>
      <c r="F4013" s="1645">
        <f>(D4013-(E4013/G4013))/D4013</f>
        <v>0.4001116071428571</v>
      </c>
      <c r="G4013" s="1523">
        <v>140</v>
      </c>
    </row>
    <row r="4014" spans="1:10">
      <c r="A4014" s="302" t="s">
        <v>4717</v>
      </c>
      <c r="B4014" s="302" t="s">
        <v>4720</v>
      </c>
      <c r="C4014" s="302" t="s">
        <v>4724</v>
      </c>
      <c r="D4014" s="1181">
        <v>4.6500000000000004</v>
      </c>
      <c r="E4014" s="131">
        <v>390</v>
      </c>
      <c r="F4014" s="1645">
        <f>(D4014-(E4014/G4014))/D4014</f>
        <v>0.40092165898617521</v>
      </c>
      <c r="G4014" s="1523">
        <v>140</v>
      </c>
    </row>
    <row r="4017" spans="1:6" ht="18" thickBot="1">
      <c r="A4017" s="1821"/>
    </row>
    <row r="4018" spans="1:6" ht="14.25" thickBot="1">
      <c r="A4018" s="2116" t="s">
        <v>4746</v>
      </c>
      <c r="B4018" s="2117"/>
      <c r="C4018" s="2117"/>
      <c r="D4018" s="2118"/>
    </row>
    <row r="4019" spans="1:6" ht="26.25" thickBot="1">
      <c r="A4019" s="1822" t="s">
        <v>4725</v>
      </c>
      <c r="B4019" s="1823" t="s">
        <v>4747</v>
      </c>
      <c r="C4019" s="1823" t="s">
        <v>4748</v>
      </c>
      <c r="D4019" s="1823" t="s">
        <v>4726</v>
      </c>
    </row>
    <row r="4020" spans="1:6" ht="26.25" thickBot="1">
      <c r="A4020" s="1824" t="s">
        <v>4727</v>
      </c>
      <c r="B4020" s="1825" t="s">
        <v>4728</v>
      </c>
      <c r="C4020" s="1825" t="s">
        <v>4749</v>
      </c>
      <c r="D4020" s="1825" t="s">
        <v>4751</v>
      </c>
    </row>
    <row r="4021" spans="1:6" ht="14.25" thickBot="1">
      <c r="A4021" s="1824" t="s">
        <v>4729</v>
      </c>
      <c r="B4021" s="1825" t="s">
        <v>4730</v>
      </c>
      <c r="C4021" s="1825" t="s">
        <v>4731</v>
      </c>
      <c r="D4021" s="1825" t="s">
        <v>4732</v>
      </c>
    </row>
    <row r="4022" spans="1:6" ht="14.25" thickBot="1">
      <c r="A4022" s="1824" t="s">
        <v>4733</v>
      </c>
      <c r="B4022" s="1825" t="s">
        <v>4734</v>
      </c>
      <c r="C4022" s="1825" t="s">
        <v>338</v>
      </c>
      <c r="D4022" s="1825" t="s">
        <v>4735</v>
      </c>
    </row>
    <row r="4023" spans="1:6" ht="14.25" thickBot="1">
      <c r="A4023" s="1824" t="s">
        <v>4736</v>
      </c>
      <c r="B4023" s="1825" t="s">
        <v>338</v>
      </c>
      <c r="C4023" s="1825" t="s">
        <v>4737</v>
      </c>
      <c r="D4023" s="1825" t="s">
        <v>4738</v>
      </c>
    </row>
    <row r="4024" spans="1:6" ht="26.25" thickBot="1">
      <c r="A4024" s="1824" t="s">
        <v>4739</v>
      </c>
      <c r="B4024" s="1825" t="s">
        <v>4740</v>
      </c>
      <c r="C4024" s="1825" t="s">
        <v>4750</v>
      </c>
      <c r="D4024" s="2119" t="s">
        <v>4752</v>
      </c>
    </row>
    <row r="4025" spans="1:6" ht="14.25" thickBot="1">
      <c r="A4025" s="1824" t="s">
        <v>4741</v>
      </c>
      <c r="B4025" s="1825" t="s">
        <v>338</v>
      </c>
      <c r="C4025" s="1825" t="s">
        <v>4742</v>
      </c>
      <c r="D4025" s="2120"/>
    </row>
    <row r="4026" spans="1:6" ht="26.25" thickBot="1">
      <c r="A4026" s="1824" t="s">
        <v>4743</v>
      </c>
      <c r="B4026" s="1825" t="s">
        <v>338</v>
      </c>
      <c r="C4026" s="1825" t="s">
        <v>4744</v>
      </c>
      <c r="D4026" s="1825" t="s">
        <v>4745</v>
      </c>
    </row>
    <row r="4027" spans="1:6" ht="17.25">
      <c r="A4027" s="1821"/>
    </row>
    <row r="4028" spans="1:6">
      <c r="A4028" t="s">
        <v>4753</v>
      </c>
    </row>
    <row r="4029" spans="1:6" ht="15">
      <c r="A4029" s="1527" t="s">
        <v>4469</v>
      </c>
      <c r="B4029" s="1528" t="s">
        <v>142</v>
      </c>
      <c r="C4029" s="1528" t="s">
        <v>3604</v>
      </c>
      <c r="D4029" s="1524" t="s">
        <v>4476</v>
      </c>
      <c r="E4029" s="1524" t="s">
        <v>3909</v>
      </c>
      <c r="F4029" s="1521" t="s">
        <v>1843</v>
      </c>
    </row>
    <row r="4030" spans="1:6">
      <c r="A4030" s="41" t="s">
        <v>4754</v>
      </c>
      <c r="B4030" s="41" t="s">
        <v>188</v>
      </c>
      <c r="C4030" s="1181">
        <v>0.47</v>
      </c>
      <c r="D4030" s="1485">
        <v>36</v>
      </c>
      <c r="E4030" s="1591">
        <f>(C4030-(D4030/F4030))/C4030</f>
        <v>0.45288753799392101</v>
      </c>
      <c r="F4030" s="1523">
        <v>140</v>
      </c>
    </row>
    <row r="4033" spans="1:7">
      <c r="A4033" s="345" t="s">
        <v>4755</v>
      </c>
    </row>
    <row r="4034" spans="1:7" ht="15">
      <c r="A4034" s="1527" t="s">
        <v>4469</v>
      </c>
      <c r="B4034" s="1528" t="s">
        <v>142</v>
      </c>
      <c r="C4034" s="1528" t="s">
        <v>3604</v>
      </c>
      <c r="D4034" s="1826" t="s">
        <v>4759</v>
      </c>
      <c r="E4034" s="1524" t="s">
        <v>4476</v>
      </c>
      <c r="F4034" s="1524" t="s">
        <v>3909</v>
      </c>
      <c r="G4034" s="1521" t="s">
        <v>1843</v>
      </c>
    </row>
    <row r="4035" spans="1:7">
      <c r="A4035" s="41" t="s">
        <v>4756</v>
      </c>
      <c r="B4035" s="41" t="s">
        <v>4758</v>
      </c>
      <c r="C4035" s="1529">
        <f>ROUNDUP(E4035/0.6/140,2)</f>
        <v>2.5</v>
      </c>
      <c r="D4035" s="1759" t="s">
        <v>4760</v>
      </c>
      <c r="E4035" s="1525">
        <v>210</v>
      </c>
      <c r="F4035" s="1591">
        <f>(C4035-(E4035/G4035))/C4035</f>
        <v>0.4</v>
      </c>
      <c r="G4035" s="1523">
        <v>140</v>
      </c>
    </row>
    <row r="4036" spans="1:7">
      <c r="A4036" s="41" t="s">
        <v>4757</v>
      </c>
      <c r="B4036" s="41" t="s">
        <v>4758</v>
      </c>
      <c r="C4036" s="1529">
        <f>ROUNDUP(E4036/0.6/140,2)</f>
        <v>3.0999999999999996</v>
      </c>
      <c r="D4036" s="1759" t="s">
        <v>4761</v>
      </c>
      <c r="E4036" s="1525">
        <v>260</v>
      </c>
      <c r="F4036" s="1591">
        <f>(C4036-(E4036/G4036))/C4036</f>
        <v>0.40092165898617504</v>
      </c>
      <c r="G4036" s="1523">
        <v>140</v>
      </c>
    </row>
    <row r="4038" spans="1:7">
      <c r="A4038" s="178" t="s">
        <v>4765</v>
      </c>
      <c r="C4038" s="161" t="s">
        <v>4762</v>
      </c>
      <c r="D4038" s="1547" t="s">
        <v>3909</v>
      </c>
      <c r="E4038" s="1547" t="s">
        <v>1843</v>
      </c>
    </row>
    <row r="4039" spans="1:7" ht="27">
      <c r="A4039" s="289" t="s">
        <v>4763</v>
      </c>
      <c r="B4039" s="1606" t="s">
        <v>3604</v>
      </c>
      <c r="C4039" s="1827" t="s">
        <v>4764</v>
      </c>
      <c r="D4039" s="1644"/>
      <c r="E4039" s="1644"/>
    </row>
    <row r="4040" spans="1:7" ht="25.5">
      <c r="A4040" s="1828" t="s">
        <v>4767</v>
      </c>
      <c r="B4040" s="1531">
        <f>ROUNDUP(C4040/0.8/140,2)</f>
        <v>9.379999999999999</v>
      </c>
      <c r="C4040" s="131">
        <f>750+300</f>
        <v>1050</v>
      </c>
      <c r="D4040" s="1829">
        <f>(((B4040*E4040)-C4040)/(B4040*E4040))</f>
        <v>0.20042643923240927</v>
      </c>
      <c r="E4040" s="1549">
        <v>140</v>
      </c>
    </row>
    <row r="4041" spans="1:7" ht="25.5">
      <c r="A4041" s="1830" t="s">
        <v>4766</v>
      </c>
      <c r="B4041" s="1531">
        <f>ROUNDUP(C4041/0.8/140,2)</f>
        <v>6.97</v>
      </c>
      <c r="C4041" s="131">
        <f>750+30</f>
        <v>780</v>
      </c>
      <c r="D4041" s="1831">
        <f>(((B4041*E4041)-C4041)/(B4041*E4041))</f>
        <v>0.20065587210493949</v>
      </c>
      <c r="E4041" s="1549">
        <v>140</v>
      </c>
    </row>
    <row r="4044" spans="1:7" ht="15">
      <c r="A4044" s="1527" t="s">
        <v>4589</v>
      </c>
      <c r="B4044" s="1481" t="s">
        <v>45</v>
      </c>
      <c r="C4044" s="1481" t="s">
        <v>18</v>
      </c>
      <c r="D4044" s="1541" t="s">
        <v>242</v>
      </c>
      <c r="E4044" s="298"/>
      <c r="F4044" s="44" t="s">
        <v>8</v>
      </c>
    </row>
    <row r="4045" spans="1:7">
      <c r="A4045" s="41" t="s">
        <v>4770</v>
      </c>
      <c r="B4045" s="41" t="s">
        <v>4769</v>
      </c>
      <c r="C4045" s="298">
        <v>5</v>
      </c>
      <c r="D4045" s="1181">
        <v>9.3800000000000008</v>
      </c>
    </row>
    <row r="4048" spans="1:7" ht="18.95" customHeight="1">
      <c r="A4048" t="s">
        <v>4773</v>
      </c>
    </row>
    <row r="4049" spans="1:121" s="359" customFormat="1" ht="26.25" thickBot="1">
      <c r="A4049" s="379" t="s">
        <v>171</v>
      </c>
      <c r="B4049" s="380" t="s">
        <v>16</v>
      </c>
      <c r="C4049" s="381" t="s">
        <v>4121</v>
      </c>
      <c r="D4049" s="382" t="s">
        <v>204</v>
      </c>
      <c r="E4049" s="326" t="s">
        <v>3357</v>
      </c>
      <c r="F4049" s="1565" t="s">
        <v>4775</v>
      </c>
      <c r="G4049" s="1566" t="s">
        <v>3909</v>
      </c>
      <c r="H4049" s="1566" t="s">
        <v>1843</v>
      </c>
    </row>
    <row r="4050" spans="1:121" s="337" customFormat="1" ht="15" customHeight="1">
      <c r="A4050" s="355" t="s">
        <v>226</v>
      </c>
      <c r="B4050" s="1627">
        <v>6</v>
      </c>
      <c r="C4050" s="356">
        <v>20</v>
      </c>
      <c r="D4050" s="357" t="s">
        <v>4774</v>
      </c>
      <c r="E4050" s="1184">
        <v>1.2</v>
      </c>
      <c r="F4050" s="1834">
        <v>96</v>
      </c>
      <c r="G4050" s="1568">
        <f t="shared" ref="G4050:G4057" si="122">((E4050*H4050)-F4050)/(E4050*H4050)</f>
        <v>0.42857142857142855</v>
      </c>
      <c r="H4050" s="1569">
        <v>140</v>
      </c>
      <c r="I4050" s="1570"/>
      <c r="J4050" s="1570"/>
      <c r="K4050" s="1570"/>
      <c r="L4050" s="1570"/>
      <c r="M4050" s="1570"/>
      <c r="N4050" s="1570"/>
      <c r="O4050" s="1570"/>
      <c r="P4050" s="1570"/>
      <c r="Q4050" s="1570"/>
      <c r="R4050" s="1570"/>
      <c r="S4050" s="1570"/>
      <c r="T4050" s="1570"/>
      <c r="U4050" s="1570"/>
      <c r="V4050" s="1570"/>
      <c r="W4050" s="1570"/>
      <c r="X4050" s="1570"/>
      <c r="Y4050" s="1570"/>
      <c r="Z4050" s="1570"/>
      <c r="AA4050" s="1570"/>
      <c r="AB4050" s="1570"/>
      <c r="AC4050" s="1570"/>
      <c r="AD4050" s="1570"/>
      <c r="AE4050" s="1570"/>
      <c r="AF4050" s="1570"/>
      <c r="AG4050" s="1570"/>
      <c r="AH4050" s="1570"/>
      <c r="AI4050" s="1570"/>
      <c r="AJ4050" s="1570"/>
      <c r="AK4050" s="1570"/>
      <c r="AL4050" s="1570"/>
      <c r="AM4050" s="1570"/>
      <c r="AN4050" s="1570"/>
      <c r="AO4050" s="1570"/>
      <c r="AP4050" s="1570"/>
      <c r="AQ4050" s="1570"/>
      <c r="AR4050" s="1570"/>
      <c r="AS4050" s="1570"/>
      <c r="AT4050" s="1570"/>
      <c r="AU4050" s="1570"/>
      <c r="AV4050" s="1570"/>
      <c r="AW4050" s="1570"/>
      <c r="AX4050" s="1570"/>
      <c r="AY4050" s="1570"/>
      <c r="AZ4050" s="1570"/>
      <c r="BA4050" s="1570"/>
      <c r="BB4050" s="1570"/>
      <c r="BC4050" s="1570"/>
      <c r="BD4050" s="1570"/>
      <c r="BE4050" s="1570"/>
      <c r="BF4050" s="1570"/>
      <c r="BG4050" s="1570"/>
      <c r="BH4050" s="1570"/>
      <c r="BI4050" s="1570"/>
      <c r="BJ4050" s="1570"/>
      <c r="BK4050" s="1570"/>
      <c r="BL4050" s="1570"/>
      <c r="BM4050" s="1570"/>
      <c r="BN4050" s="1570"/>
      <c r="BO4050" s="1570"/>
      <c r="BP4050" s="1570"/>
      <c r="BQ4050" s="1570"/>
      <c r="BR4050" s="1570"/>
      <c r="BS4050" s="1570"/>
      <c r="BT4050" s="1570"/>
      <c r="BU4050" s="1570"/>
      <c r="BV4050" s="1570"/>
      <c r="BW4050" s="1570"/>
      <c r="BX4050" s="1570"/>
      <c r="BY4050" s="1570"/>
      <c r="BZ4050" s="1570"/>
      <c r="CA4050" s="1570"/>
      <c r="CB4050" s="1570"/>
      <c r="CC4050" s="1570"/>
      <c r="CD4050" s="1570"/>
      <c r="CE4050" s="1570"/>
      <c r="CF4050" s="1570"/>
      <c r="CG4050" s="1570"/>
      <c r="CH4050" s="1570"/>
      <c r="CI4050" s="1570"/>
      <c r="CJ4050" s="1570"/>
      <c r="CK4050" s="1570"/>
      <c r="CL4050" s="1570"/>
      <c r="CM4050" s="1570"/>
      <c r="CN4050" s="1570"/>
      <c r="CO4050" s="1570"/>
      <c r="CP4050" s="1570"/>
      <c r="CQ4050" s="1570"/>
      <c r="CR4050" s="1570"/>
      <c r="CS4050" s="1570"/>
      <c r="CT4050" s="1570"/>
      <c r="CU4050" s="1570"/>
      <c r="CV4050" s="1570"/>
      <c r="CW4050" s="1570"/>
      <c r="CX4050" s="1570"/>
      <c r="CY4050" s="1570"/>
      <c r="CZ4050" s="1570"/>
      <c r="DA4050" s="1570"/>
      <c r="DB4050" s="1570"/>
      <c r="DC4050" s="1570"/>
      <c r="DD4050" s="1570"/>
      <c r="DE4050" s="1570"/>
      <c r="DF4050" s="1570"/>
      <c r="DG4050" s="1570"/>
      <c r="DH4050" s="1570"/>
      <c r="DI4050" s="1570"/>
      <c r="DJ4050" s="1570"/>
      <c r="DK4050" s="1570"/>
      <c r="DL4050" s="1570"/>
      <c r="DM4050" s="1570"/>
      <c r="DN4050" s="1570"/>
    </row>
    <row r="4051" spans="1:121" s="1423" customFormat="1" ht="15" customHeight="1">
      <c r="A4051" s="355" t="s">
        <v>226</v>
      </c>
      <c r="B4051" s="1627">
        <v>9</v>
      </c>
      <c r="C4051" s="1837">
        <v>20</v>
      </c>
      <c r="D4051" s="357" t="s">
        <v>4774</v>
      </c>
      <c r="E4051" s="1184">
        <v>1.33</v>
      </c>
      <c r="F4051" s="1835">
        <v>107</v>
      </c>
      <c r="G4051" s="1568">
        <f t="shared" si="122"/>
        <v>0.42534908700322238</v>
      </c>
      <c r="H4051" s="1569">
        <v>140</v>
      </c>
      <c r="I4051" s="1570"/>
      <c r="J4051" s="1570"/>
      <c r="K4051" s="1570"/>
      <c r="L4051" s="1570"/>
      <c r="M4051" s="1570"/>
      <c r="N4051" s="1570"/>
      <c r="O4051" s="1570"/>
      <c r="P4051" s="1570"/>
      <c r="Q4051" s="1570"/>
      <c r="R4051" s="1570"/>
      <c r="S4051" s="1570"/>
      <c r="T4051" s="1570"/>
      <c r="U4051" s="1570"/>
      <c r="V4051" s="1570"/>
      <c r="W4051" s="1570"/>
      <c r="X4051" s="1570"/>
      <c r="Y4051" s="1570"/>
      <c r="Z4051" s="1570"/>
      <c r="AA4051" s="1570"/>
      <c r="AB4051" s="1570"/>
      <c r="AC4051" s="1570"/>
      <c r="AD4051" s="1570"/>
      <c r="AE4051" s="1570"/>
      <c r="AF4051" s="1570"/>
      <c r="AG4051" s="1570"/>
      <c r="AH4051" s="1570"/>
      <c r="AI4051" s="1570"/>
      <c r="AJ4051" s="1570"/>
      <c r="AK4051" s="1570"/>
      <c r="AL4051" s="1570"/>
      <c r="AM4051" s="1570"/>
      <c r="AN4051" s="1570"/>
      <c r="AO4051" s="1570"/>
      <c r="AP4051" s="1570"/>
      <c r="AQ4051" s="1570"/>
      <c r="AR4051" s="1570"/>
      <c r="AS4051" s="1570"/>
      <c r="AT4051" s="1570"/>
      <c r="AU4051" s="1570"/>
      <c r="AV4051" s="1570"/>
      <c r="AW4051" s="1570"/>
      <c r="AX4051" s="1570"/>
      <c r="AY4051" s="1570"/>
      <c r="AZ4051" s="1570"/>
      <c r="BA4051" s="1570"/>
      <c r="BB4051" s="1570"/>
      <c r="BC4051" s="1570"/>
      <c r="BD4051" s="1570"/>
      <c r="BE4051" s="1570"/>
      <c r="BF4051" s="1570"/>
      <c r="BG4051" s="1570"/>
      <c r="BH4051" s="1570"/>
      <c r="BI4051" s="1570"/>
      <c r="BJ4051" s="1570"/>
      <c r="BK4051" s="1570"/>
      <c r="BL4051" s="1570"/>
      <c r="BM4051" s="1570"/>
      <c r="BN4051" s="1570"/>
      <c r="BO4051" s="1570"/>
      <c r="BP4051" s="1570"/>
      <c r="BQ4051" s="1570"/>
      <c r="BR4051" s="1570"/>
      <c r="BS4051" s="1570"/>
      <c r="BT4051" s="1570"/>
      <c r="BU4051" s="1570"/>
      <c r="BV4051" s="1570"/>
      <c r="BW4051" s="1570"/>
      <c r="BX4051" s="1570"/>
      <c r="BY4051" s="1570"/>
      <c r="BZ4051" s="1570"/>
      <c r="CA4051" s="1570"/>
      <c r="CB4051" s="1570"/>
      <c r="CC4051" s="1570"/>
      <c r="CD4051" s="1570"/>
      <c r="CE4051" s="1570"/>
      <c r="CF4051" s="1570"/>
      <c r="CG4051" s="1570"/>
      <c r="CH4051" s="1570"/>
      <c r="CI4051" s="1570"/>
      <c r="CJ4051" s="1570"/>
      <c r="CK4051" s="1570"/>
      <c r="CL4051" s="1570"/>
      <c r="CM4051" s="1570"/>
      <c r="CN4051" s="1570"/>
      <c r="CO4051" s="1570"/>
      <c r="CP4051" s="1570"/>
      <c r="CQ4051" s="1570"/>
      <c r="CR4051" s="1570"/>
      <c r="CS4051" s="1570"/>
      <c r="CT4051" s="1570"/>
      <c r="CU4051" s="1570"/>
      <c r="CV4051" s="1570"/>
      <c r="CW4051" s="1570"/>
      <c r="CX4051" s="1570"/>
      <c r="CY4051" s="1570"/>
      <c r="CZ4051" s="1570"/>
      <c r="DA4051" s="1570"/>
      <c r="DB4051" s="1570"/>
      <c r="DC4051" s="1570"/>
      <c r="DD4051" s="1570"/>
      <c r="DE4051" s="1570"/>
      <c r="DF4051" s="1570"/>
      <c r="DG4051" s="1570"/>
      <c r="DH4051" s="1570"/>
      <c r="DI4051" s="1570"/>
      <c r="DJ4051" s="1570"/>
      <c r="DK4051" s="1570"/>
      <c r="DL4051" s="1570"/>
      <c r="DM4051" s="1570"/>
      <c r="DN4051" s="1570"/>
      <c r="DO4051" s="1570"/>
      <c r="DP4051" s="1570"/>
      <c r="DQ4051" s="1570"/>
    </row>
    <row r="4052" spans="1:121">
      <c r="A4052" s="355" t="s">
        <v>226</v>
      </c>
      <c r="B4052" s="1627">
        <v>12</v>
      </c>
      <c r="C4052" s="356">
        <v>20</v>
      </c>
      <c r="D4052" s="357" t="s">
        <v>4774</v>
      </c>
      <c r="E4052" s="1184">
        <v>1.52</v>
      </c>
      <c r="F4052" s="1835">
        <v>121</v>
      </c>
      <c r="G4052" s="1568">
        <f t="shared" si="122"/>
        <v>0.43139097744360905</v>
      </c>
      <c r="H4052" s="1569">
        <v>140</v>
      </c>
    </row>
    <row r="4053" spans="1:121">
      <c r="A4053" s="355" t="s">
        <v>226</v>
      </c>
      <c r="B4053" s="1627">
        <v>18</v>
      </c>
      <c r="C4053" s="356">
        <v>20</v>
      </c>
      <c r="D4053" s="357" t="s">
        <v>4774</v>
      </c>
      <c r="E4053" s="1184">
        <v>1.74</v>
      </c>
      <c r="F4053" s="1835">
        <v>139</v>
      </c>
      <c r="G4053" s="1568">
        <f t="shared" si="122"/>
        <v>0.42939244663382592</v>
      </c>
      <c r="H4053" s="1569">
        <v>140</v>
      </c>
    </row>
    <row r="4054" spans="1:121">
      <c r="A4054" s="355" t="s">
        <v>226</v>
      </c>
      <c r="B4054" s="1627">
        <v>24</v>
      </c>
      <c r="C4054" s="356">
        <v>20</v>
      </c>
      <c r="D4054" s="357" t="s">
        <v>4774</v>
      </c>
      <c r="E4054" s="1184">
        <v>2.0499999999999998</v>
      </c>
      <c r="F4054" s="1835">
        <v>163</v>
      </c>
      <c r="G4054" s="1568">
        <f t="shared" si="122"/>
        <v>0.43205574912891986</v>
      </c>
      <c r="H4054" s="1569">
        <v>140</v>
      </c>
    </row>
    <row r="4055" spans="1:121">
      <c r="A4055" s="355" t="s">
        <v>226</v>
      </c>
      <c r="B4055" s="1627" t="s">
        <v>4122</v>
      </c>
      <c r="C4055" s="356">
        <v>20</v>
      </c>
      <c r="D4055" s="357" t="s">
        <v>4774</v>
      </c>
      <c r="E4055" s="1184">
        <v>1.56</v>
      </c>
      <c r="F4055" s="1835">
        <v>125</v>
      </c>
      <c r="G4055" s="1568">
        <f t="shared" si="122"/>
        <v>0.42765567765567769</v>
      </c>
      <c r="H4055" s="1569">
        <v>140</v>
      </c>
    </row>
    <row r="4056" spans="1:121">
      <c r="A4056" s="355" t="s">
        <v>226</v>
      </c>
      <c r="B4056" s="1576" t="s">
        <v>4123</v>
      </c>
      <c r="C4056" s="356">
        <v>20</v>
      </c>
      <c r="D4056" s="357" t="s">
        <v>4774</v>
      </c>
      <c r="E4056" s="1184">
        <v>1.74</v>
      </c>
      <c r="F4056" s="1835">
        <v>139</v>
      </c>
      <c r="G4056" s="1568">
        <f t="shared" si="122"/>
        <v>0.42939244663382592</v>
      </c>
      <c r="H4056" s="1569">
        <v>140</v>
      </c>
    </row>
    <row r="4057" spans="1:121" ht="14.25" thickBot="1">
      <c r="A4057" s="355" t="s">
        <v>226</v>
      </c>
      <c r="B4057" s="1576" t="s">
        <v>4124</v>
      </c>
      <c r="C4057" s="356">
        <v>20</v>
      </c>
      <c r="D4057" s="357" t="s">
        <v>4774</v>
      </c>
      <c r="E4057" s="1184">
        <v>2.0499999999999998</v>
      </c>
      <c r="F4057" s="1836">
        <v>163</v>
      </c>
      <c r="G4057" s="1568">
        <f t="shared" si="122"/>
        <v>0.43205574912891986</v>
      </c>
      <c r="H4057" s="1569">
        <v>140</v>
      </c>
    </row>
    <row r="4060" spans="1:121" s="376" customFormat="1" ht="26.1" customHeight="1">
      <c r="A4060" s="1532" t="s">
        <v>4589</v>
      </c>
      <c r="B4060" s="1848" t="s">
        <v>4798</v>
      </c>
      <c r="C4060" s="1848" t="s">
        <v>4799</v>
      </c>
      <c r="D4060" s="1848" t="s">
        <v>4800</v>
      </c>
      <c r="E4060" s="1844" t="s">
        <v>3916</v>
      </c>
      <c r="F4060" s="1846" t="s">
        <v>242</v>
      </c>
      <c r="G4060" s="1847" t="s">
        <v>4806</v>
      </c>
      <c r="H4060" s="312" t="s">
        <v>3909</v>
      </c>
      <c r="I4060" s="1521" t="s">
        <v>1843</v>
      </c>
    </row>
    <row r="4061" spans="1:121" s="1841" customFormat="1" ht="13.5" customHeight="1">
      <c r="A4061" s="189" t="s">
        <v>4776</v>
      </c>
      <c r="B4061" s="1849" t="s">
        <v>4797</v>
      </c>
      <c r="C4061" s="1839" t="s">
        <v>4777</v>
      </c>
      <c r="D4061" s="1850" t="s">
        <v>4801</v>
      </c>
      <c r="E4061" s="1838" t="s">
        <v>4804</v>
      </c>
      <c r="F4061" s="318">
        <f t="shared" ref="F4061:F4074" si="123">ROUNDUP(G4061/0.8/120,2)</f>
        <v>4.0699999999999994</v>
      </c>
      <c r="G4061" s="1840">
        <f>360+30</f>
        <v>390</v>
      </c>
      <c r="H4061" s="1645">
        <f t="shared" ref="H4061:H4074" si="124">(F4061-(G4061/I4061))/F4061</f>
        <v>0.20147420147420136</v>
      </c>
      <c r="I4061" s="1523">
        <v>120</v>
      </c>
    </row>
    <row r="4062" spans="1:121" s="1841" customFormat="1" ht="13.5" customHeight="1">
      <c r="A4062" s="189" t="s">
        <v>107</v>
      </c>
      <c r="B4062" s="1849" t="s">
        <v>3599</v>
      </c>
      <c r="C4062" s="1839" t="s">
        <v>247</v>
      </c>
      <c r="D4062" s="1850" t="s">
        <v>4801</v>
      </c>
      <c r="E4062" s="1838" t="s">
        <v>4803</v>
      </c>
      <c r="F4062" s="318">
        <f t="shared" si="123"/>
        <v>4.6899999999999995</v>
      </c>
      <c r="G4062" s="1840">
        <f>420+30</f>
        <v>450</v>
      </c>
      <c r="H4062" s="1645">
        <f t="shared" si="124"/>
        <v>0.2004264392324093</v>
      </c>
      <c r="I4062" s="1523">
        <v>120</v>
      </c>
    </row>
    <row r="4063" spans="1:121" s="1841" customFormat="1" ht="13.5" customHeight="1">
      <c r="A4063" s="189" t="s">
        <v>4778</v>
      </c>
      <c r="B4063" s="1849" t="s">
        <v>4779</v>
      </c>
      <c r="C4063" s="1839" t="s">
        <v>247</v>
      </c>
      <c r="D4063" s="1850" t="s">
        <v>4801</v>
      </c>
      <c r="E4063" s="1838" t="s">
        <v>4804</v>
      </c>
      <c r="F4063" s="318">
        <f t="shared" si="123"/>
        <v>4.38</v>
      </c>
      <c r="G4063" s="1840">
        <f>390+30</f>
        <v>420</v>
      </c>
      <c r="H4063" s="1645">
        <f t="shared" si="124"/>
        <v>0.20091324200913241</v>
      </c>
      <c r="I4063" s="1523">
        <v>120</v>
      </c>
    </row>
    <row r="4064" spans="1:121" s="1841" customFormat="1" ht="13.5" customHeight="1">
      <c r="A4064" s="189" t="s">
        <v>4780</v>
      </c>
      <c r="B4064" s="1849" t="s">
        <v>4781</v>
      </c>
      <c r="C4064" s="1839" t="s">
        <v>247</v>
      </c>
      <c r="D4064" s="1850" t="s">
        <v>4802</v>
      </c>
      <c r="E4064" s="1838" t="s">
        <v>4803</v>
      </c>
      <c r="F4064" s="318">
        <f t="shared" si="123"/>
        <v>4.38</v>
      </c>
      <c r="G4064" s="1840">
        <f>390+30</f>
        <v>420</v>
      </c>
      <c r="H4064" s="1645">
        <f t="shared" si="124"/>
        <v>0.20091324200913241</v>
      </c>
      <c r="I4064" s="1523">
        <v>120</v>
      </c>
    </row>
    <row r="4065" spans="1:9" s="1841" customFormat="1" ht="13.5" customHeight="1">
      <c r="A4065" s="189" t="s">
        <v>4782</v>
      </c>
      <c r="B4065" s="1849" t="s">
        <v>4783</v>
      </c>
      <c r="C4065" s="1839" t="s">
        <v>245</v>
      </c>
      <c r="D4065" s="1850" t="s">
        <v>4802</v>
      </c>
      <c r="E4065" s="1838" t="s">
        <v>4803</v>
      </c>
      <c r="F4065" s="318">
        <f t="shared" si="123"/>
        <v>4.6899999999999995</v>
      </c>
      <c r="G4065" s="1840">
        <f>420+30</f>
        <v>450</v>
      </c>
      <c r="H4065" s="1645">
        <f t="shared" si="124"/>
        <v>0.2004264392324093</v>
      </c>
      <c r="I4065" s="1523">
        <v>120</v>
      </c>
    </row>
    <row r="4066" spans="1:9" s="1841" customFormat="1" ht="13.5" customHeight="1">
      <c r="A4066" s="189" t="s">
        <v>4784</v>
      </c>
      <c r="B4066" s="1849" t="s">
        <v>4785</v>
      </c>
      <c r="C4066" s="1839" t="s">
        <v>245</v>
      </c>
      <c r="D4066" s="1850" t="s">
        <v>4802</v>
      </c>
      <c r="E4066" s="1838" t="s">
        <v>4803</v>
      </c>
      <c r="F4066" s="318">
        <f t="shared" si="123"/>
        <v>6.25</v>
      </c>
      <c r="G4066" s="1840">
        <f>570+30</f>
        <v>600</v>
      </c>
      <c r="H4066" s="1645">
        <f t="shared" si="124"/>
        <v>0.2</v>
      </c>
      <c r="I4066" s="1523">
        <v>120</v>
      </c>
    </row>
    <row r="4067" spans="1:9" s="1841" customFormat="1" ht="13.5" customHeight="1">
      <c r="A4067" s="189" t="s">
        <v>4786</v>
      </c>
      <c r="B4067" s="1849" t="s">
        <v>4787</v>
      </c>
      <c r="C4067" s="1839" t="s">
        <v>247</v>
      </c>
      <c r="D4067" s="1850" t="s">
        <v>4801</v>
      </c>
      <c r="E4067" s="1838" t="s">
        <v>4804</v>
      </c>
      <c r="F4067" s="318">
        <f t="shared" si="123"/>
        <v>5.1099999999999994</v>
      </c>
      <c r="G4067" s="1840">
        <f>460+30</f>
        <v>490</v>
      </c>
      <c r="H4067" s="1645">
        <f t="shared" si="124"/>
        <v>0.20091324200913238</v>
      </c>
      <c r="I4067" s="1523">
        <v>120</v>
      </c>
    </row>
    <row r="4068" spans="1:9" s="1841" customFormat="1" ht="13.5" customHeight="1">
      <c r="A4068" s="189" t="s">
        <v>4788</v>
      </c>
      <c r="B4068" s="1849" t="s">
        <v>4790</v>
      </c>
      <c r="C4068" s="1839" t="s">
        <v>4789</v>
      </c>
      <c r="D4068" s="1850" t="s">
        <v>4802</v>
      </c>
      <c r="E4068" s="1838"/>
      <c r="F4068" s="318">
        <f t="shared" si="123"/>
        <v>10.209999999999999</v>
      </c>
      <c r="G4068" s="1842">
        <f>950+30</f>
        <v>980</v>
      </c>
      <c r="H4068" s="1645">
        <f t="shared" si="124"/>
        <v>0.20013059092393076</v>
      </c>
      <c r="I4068" s="1523">
        <v>120</v>
      </c>
    </row>
    <row r="4069" spans="1:9" s="1841" customFormat="1" ht="13.5" customHeight="1">
      <c r="A4069" s="189" t="s">
        <v>244</v>
      </c>
      <c r="B4069" s="1849" t="s">
        <v>3596</v>
      </c>
      <c r="C4069" s="1839" t="s">
        <v>245</v>
      </c>
      <c r="D4069" s="1850" t="s">
        <v>4802</v>
      </c>
      <c r="E4069" s="1838" t="s">
        <v>4805</v>
      </c>
      <c r="F4069" s="318">
        <f t="shared" si="123"/>
        <v>24.28</v>
      </c>
      <c r="G4069" s="1842">
        <f>2300+30</f>
        <v>2330</v>
      </c>
      <c r="H4069" s="1645">
        <f t="shared" si="124"/>
        <v>0.2003020318506315</v>
      </c>
      <c r="I4069" s="1523">
        <v>120</v>
      </c>
    </row>
    <row r="4070" spans="1:9" s="1841" customFormat="1" ht="13.5" customHeight="1">
      <c r="A4070" s="189" t="s">
        <v>2557</v>
      </c>
      <c r="B4070" s="1849" t="s">
        <v>3598</v>
      </c>
      <c r="C4070" s="1839" t="s">
        <v>280</v>
      </c>
      <c r="D4070" s="1850" t="s">
        <v>4802</v>
      </c>
      <c r="E4070" s="1839"/>
      <c r="F4070" s="318">
        <f t="shared" si="123"/>
        <v>5.84</v>
      </c>
      <c r="G4070" s="1842">
        <f>530+30</f>
        <v>560</v>
      </c>
      <c r="H4070" s="1645">
        <f t="shared" si="124"/>
        <v>0.20091324200913235</v>
      </c>
      <c r="I4070" s="1523">
        <v>120</v>
      </c>
    </row>
    <row r="4071" spans="1:9" s="1841" customFormat="1" ht="13.5" customHeight="1">
      <c r="A4071" s="189" t="s">
        <v>3086</v>
      </c>
      <c r="B4071" s="1849" t="s">
        <v>4792</v>
      </c>
      <c r="C4071" s="1839" t="s">
        <v>4791</v>
      </c>
      <c r="D4071" s="1850" t="s">
        <v>4801</v>
      </c>
      <c r="E4071" s="1845"/>
      <c r="F4071" s="318">
        <f t="shared" si="123"/>
        <v>3.86</v>
      </c>
      <c r="G4071" s="1842">
        <f>340+30</f>
        <v>370</v>
      </c>
      <c r="H4071" s="1645">
        <f t="shared" si="124"/>
        <v>0.20120898100172704</v>
      </c>
      <c r="I4071" s="1523">
        <v>120</v>
      </c>
    </row>
    <row r="4072" spans="1:9" s="1841" customFormat="1" ht="13.5" customHeight="1">
      <c r="A4072" s="189" t="s">
        <v>3081</v>
      </c>
      <c r="B4072" s="1849" t="s">
        <v>4794</v>
      </c>
      <c r="C4072" s="1839" t="s">
        <v>4793</v>
      </c>
      <c r="D4072" s="1850" t="s">
        <v>4802</v>
      </c>
      <c r="E4072" s="1845"/>
      <c r="F4072" s="318">
        <f t="shared" si="123"/>
        <v>4.0699999999999994</v>
      </c>
      <c r="G4072" s="1842">
        <f>360+30</f>
        <v>390</v>
      </c>
      <c r="H4072" s="1645">
        <f t="shared" si="124"/>
        <v>0.20147420147420136</v>
      </c>
      <c r="I4072" s="1523">
        <v>120</v>
      </c>
    </row>
    <row r="4073" spans="1:9" s="1841" customFormat="1" ht="13.5" customHeight="1">
      <c r="A4073" s="189" t="s">
        <v>3082</v>
      </c>
      <c r="B4073" s="1849" t="s">
        <v>4795</v>
      </c>
      <c r="C4073" s="1839" t="s">
        <v>4793</v>
      </c>
      <c r="D4073" s="1850" t="s">
        <v>4802</v>
      </c>
      <c r="E4073" s="1845"/>
      <c r="F4073" s="318">
        <f t="shared" si="123"/>
        <v>5.5299999999999994</v>
      </c>
      <c r="G4073" s="1842">
        <f>500+30</f>
        <v>530</v>
      </c>
      <c r="H4073" s="1645">
        <f t="shared" si="124"/>
        <v>0.20132610006027712</v>
      </c>
      <c r="I4073" s="1523">
        <v>120</v>
      </c>
    </row>
    <row r="4074" spans="1:9" s="1841" customFormat="1" ht="13.5" customHeight="1">
      <c r="A4074" s="189" t="s">
        <v>3083</v>
      </c>
      <c r="B4074" s="1849" t="s">
        <v>4796</v>
      </c>
      <c r="C4074" s="1839" t="s">
        <v>4793</v>
      </c>
      <c r="D4074" s="1850" t="s">
        <v>4802</v>
      </c>
      <c r="E4074" s="1843"/>
      <c r="F4074" s="318">
        <f t="shared" si="123"/>
        <v>6.1499999999999995</v>
      </c>
      <c r="G4074" s="1842">
        <f>560+30</f>
        <v>590</v>
      </c>
      <c r="H4074" s="1645">
        <f t="shared" si="124"/>
        <v>0.20054200542005407</v>
      </c>
      <c r="I4074" s="1523">
        <v>120</v>
      </c>
    </row>
    <row r="4076" spans="1:9">
      <c r="A4076" s="1851" t="s">
        <v>4807</v>
      </c>
    </row>
    <row r="4077" spans="1:9" ht="24">
      <c r="A4077" s="1532" t="s">
        <v>4589</v>
      </c>
      <c r="B4077" s="1848" t="s">
        <v>4798</v>
      </c>
      <c r="C4077" s="1848" t="s">
        <v>4799</v>
      </c>
      <c r="D4077" s="1848" t="s">
        <v>161</v>
      </c>
      <c r="E4077" s="1848" t="s">
        <v>4809</v>
      </c>
      <c r="F4077" s="1852" t="s">
        <v>4810</v>
      </c>
      <c r="G4077" s="1853" t="s">
        <v>4808</v>
      </c>
      <c r="H4077" s="1853" t="s">
        <v>4811</v>
      </c>
    </row>
    <row r="4078" spans="1:9">
      <c r="A4078" s="189" t="s">
        <v>4776</v>
      </c>
      <c r="B4078" s="1849" t="s">
        <v>4797</v>
      </c>
      <c r="C4078" s="1839" t="s">
        <v>4777</v>
      </c>
      <c r="D4078" s="1850" t="s">
        <v>4801</v>
      </c>
      <c r="E4078" s="1840">
        <v>360</v>
      </c>
      <c r="F4078" s="1840"/>
      <c r="G4078" s="1840"/>
      <c r="H4078" s="1840"/>
    </row>
    <row r="4079" spans="1:9">
      <c r="A4079" s="189" t="s">
        <v>107</v>
      </c>
      <c r="B4079" s="1849" t="s">
        <v>3599</v>
      </c>
      <c r="C4079" s="1839" t="s">
        <v>247</v>
      </c>
      <c r="D4079" s="1850" t="s">
        <v>4801</v>
      </c>
      <c r="E4079" s="1840">
        <v>420</v>
      </c>
      <c r="F4079" s="1840"/>
      <c r="G4079" s="1840"/>
      <c r="H4079" s="1840"/>
    </row>
    <row r="4080" spans="1:9">
      <c r="A4080" s="189" t="s">
        <v>4778</v>
      </c>
      <c r="B4080" s="1849" t="s">
        <v>4779</v>
      </c>
      <c r="C4080" s="1839" t="s">
        <v>247</v>
      </c>
      <c r="D4080" s="1850" t="s">
        <v>4801</v>
      </c>
      <c r="E4080" s="1840">
        <v>390</v>
      </c>
      <c r="F4080" s="1840"/>
      <c r="G4080" s="1840"/>
      <c r="H4080" s="1840"/>
    </row>
    <row r="4081" spans="1:10">
      <c r="A4081" s="189" t="s">
        <v>4780</v>
      </c>
      <c r="B4081" s="1849" t="s">
        <v>4781</v>
      </c>
      <c r="C4081" s="1839" t="s">
        <v>247</v>
      </c>
      <c r="D4081" s="1850" t="s">
        <v>4802</v>
      </c>
      <c r="E4081" s="1840">
        <v>390</v>
      </c>
      <c r="F4081" s="1840"/>
      <c r="G4081" s="1840"/>
      <c r="H4081" s="1840"/>
    </row>
    <row r="4082" spans="1:10">
      <c r="A4082" s="189" t="s">
        <v>4782</v>
      </c>
      <c r="B4082" s="1849" t="s">
        <v>4783</v>
      </c>
      <c r="C4082" s="1839" t="s">
        <v>245</v>
      </c>
      <c r="D4082" s="1850" t="s">
        <v>4802</v>
      </c>
      <c r="E4082" s="1840">
        <v>420</v>
      </c>
      <c r="F4082" s="1840"/>
      <c r="G4082" s="1840"/>
      <c r="H4082" s="1840"/>
    </row>
    <row r="4083" spans="1:10">
      <c r="A4083" s="189" t="s">
        <v>4784</v>
      </c>
      <c r="B4083" s="1849" t="s">
        <v>4785</v>
      </c>
      <c r="C4083" s="1839" t="s">
        <v>245</v>
      </c>
      <c r="D4083" s="1850" t="s">
        <v>4802</v>
      </c>
      <c r="E4083" s="1840">
        <v>570</v>
      </c>
      <c r="F4083" s="1840"/>
      <c r="G4083" s="1840"/>
      <c r="H4083" s="1840"/>
    </row>
    <row r="4084" spans="1:10">
      <c r="A4084" s="189" t="s">
        <v>4786</v>
      </c>
      <c r="B4084" s="1849" t="s">
        <v>4787</v>
      </c>
      <c r="C4084" s="1839" t="s">
        <v>247</v>
      </c>
      <c r="D4084" s="1850" t="s">
        <v>4801</v>
      </c>
      <c r="E4084" s="1840">
        <v>460</v>
      </c>
      <c r="F4084" s="1840"/>
      <c r="G4084" s="1840"/>
      <c r="H4084" s="1840"/>
    </row>
    <row r="4085" spans="1:10">
      <c r="A4085" s="189" t="s">
        <v>4788</v>
      </c>
      <c r="B4085" s="1849" t="s">
        <v>4790</v>
      </c>
      <c r="C4085" s="1839" t="s">
        <v>4789</v>
      </c>
      <c r="D4085" s="1850" t="s">
        <v>4802</v>
      </c>
      <c r="E4085" s="1842">
        <v>950</v>
      </c>
      <c r="F4085" s="1842"/>
      <c r="G4085" s="1842"/>
      <c r="H4085" s="1840"/>
    </row>
    <row r="4086" spans="1:10">
      <c r="A4086" s="189" t="s">
        <v>244</v>
      </c>
      <c r="B4086" s="1849" t="s">
        <v>3596</v>
      </c>
      <c r="C4086" s="1839" t="s">
        <v>245</v>
      </c>
      <c r="D4086" s="1850" t="s">
        <v>4802</v>
      </c>
      <c r="E4086" s="1842">
        <v>2300</v>
      </c>
      <c r="F4086" s="1842"/>
      <c r="G4086" s="1842"/>
      <c r="H4086" s="1840"/>
    </row>
    <row r="4087" spans="1:10">
      <c r="A4087" s="189" t="s">
        <v>2557</v>
      </c>
      <c r="B4087" s="1849" t="s">
        <v>3598</v>
      </c>
      <c r="C4087" s="1839" t="s">
        <v>280</v>
      </c>
      <c r="D4087" s="1850" t="s">
        <v>4802</v>
      </c>
      <c r="E4087" s="1842">
        <v>530</v>
      </c>
      <c r="F4087" s="1842"/>
      <c r="G4087" s="1842"/>
      <c r="H4087" s="1840"/>
    </row>
    <row r="4088" spans="1:10">
      <c r="A4088" s="189" t="s">
        <v>3086</v>
      </c>
      <c r="B4088" s="1849" t="s">
        <v>4792</v>
      </c>
      <c r="C4088" s="1839" t="s">
        <v>4791</v>
      </c>
      <c r="D4088" s="1850" t="s">
        <v>4801</v>
      </c>
      <c r="E4088" s="1842">
        <v>340</v>
      </c>
      <c r="F4088" s="1842"/>
      <c r="G4088" s="1842"/>
      <c r="H4088" s="1840"/>
    </row>
    <row r="4089" spans="1:10">
      <c r="A4089" s="189" t="s">
        <v>3081</v>
      </c>
      <c r="B4089" s="1849" t="s">
        <v>4794</v>
      </c>
      <c r="C4089" s="1839" t="s">
        <v>4793</v>
      </c>
      <c r="D4089" s="1850" t="s">
        <v>4802</v>
      </c>
      <c r="E4089" s="1842">
        <v>360</v>
      </c>
      <c r="F4089" s="1842"/>
      <c r="G4089" s="1842"/>
      <c r="H4089" s="1840"/>
    </row>
    <row r="4090" spans="1:10">
      <c r="A4090" s="189" t="s">
        <v>3082</v>
      </c>
      <c r="B4090" s="1849" t="s">
        <v>4795</v>
      </c>
      <c r="C4090" s="1839" t="s">
        <v>4793</v>
      </c>
      <c r="D4090" s="1850" t="s">
        <v>4802</v>
      </c>
      <c r="E4090" s="1842">
        <v>500</v>
      </c>
      <c r="F4090" s="1842"/>
      <c r="G4090" s="1842"/>
      <c r="H4090" s="1840"/>
    </row>
    <row r="4091" spans="1:10">
      <c r="A4091" s="189" t="s">
        <v>3083</v>
      </c>
      <c r="B4091" s="1849" t="s">
        <v>4796</v>
      </c>
      <c r="C4091" s="1839" t="s">
        <v>4793</v>
      </c>
      <c r="D4091" s="1850" t="s">
        <v>4802</v>
      </c>
      <c r="E4091" s="1842">
        <v>560</v>
      </c>
      <c r="F4091" s="1842"/>
      <c r="G4091" s="1842"/>
      <c r="H4091" s="1842"/>
    </row>
    <row r="4093" spans="1:10">
      <c r="A4093" s="1851" t="s">
        <v>4812</v>
      </c>
    </row>
    <row r="4094" spans="1:10" s="354" customFormat="1" ht="38.25">
      <c r="A4094" s="1854" t="s">
        <v>4280</v>
      </c>
      <c r="B4094" s="1855" t="s">
        <v>4281</v>
      </c>
      <c r="C4094" s="1855" t="s">
        <v>4282</v>
      </c>
      <c r="D4094" s="1855" t="s">
        <v>4283</v>
      </c>
      <c r="E4094" s="1856" t="s">
        <v>4813</v>
      </c>
      <c r="F4094" s="1857" t="s">
        <v>4814</v>
      </c>
      <c r="G4094" s="1857" t="s">
        <v>4815</v>
      </c>
      <c r="H4094" s="1676" t="s">
        <v>4284</v>
      </c>
      <c r="I4094" s="1677" t="s">
        <v>4285</v>
      </c>
      <c r="J4094" s="1677" t="s">
        <v>4286</v>
      </c>
    </row>
    <row r="4095" spans="1:10" s="354" customFormat="1" ht="25.5">
      <c r="A4095" s="1858" t="s">
        <v>4818</v>
      </c>
      <c r="B4095" s="1858" t="s">
        <v>4816</v>
      </c>
      <c r="C4095" s="1859" t="s">
        <v>4287</v>
      </c>
      <c r="D4095" s="1859" t="s">
        <v>4817</v>
      </c>
      <c r="E4095" s="1665">
        <f>ROUNDUP(H4095/0.8/140,2)</f>
        <v>28.580000000000002</v>
      </c>
      <c r="F4095" s="1665">
        <f>E4095*1.5</f>
        <v>42.870000000000005</v>
      </c>
      <c r="G4095" s="1665">
        <f>E4095*2</f>
        <v>57.160000000000004</v>
      </c>
      <c r="H4095" s="1860">
        <v>3200</v>
      </c>
      <c r="I4095" s="1666">
        <f>(((E4095*J4095)-H4095)/(E4095*J4095))</f>
        <v>0.20023992802159357</v>
      </c>
      <c r="J4095" s="1667">
        <v>140</v>
      </c>
    </row>
    <row r="4096" spans="1:10" s="354" customFormat="1" ht="25.5">
      <c r="A4096" s="1858" t="s">
        <v>4819</v>
      </c>
      <c r="B4096" s="1858" t="s">
        <v>4816</v>
      </c>
      <c r="C4096" s="1859" t="s">
        <v>4287</v>
      </c>
      <c r="D4096" s="1859" t="s">
        <v>4817</v>
      </c>
      <c r="E4096" s="1665">
        <f>ROUNDUP(H4096/0.8/140,2)</f>
        <v>30.900000000000002</v>
      </c>
      <c r="F4096" s="1665">
        <f>E4096*1.5</f>
        <v>46.35</v>
      </c>
      <c r="G4096" s="1665">
        <f>E4096*2</f>
        <v>61.800000000000004</v>
      </c>
      <c r="H4096" s="1860">
        <v>3460</v>
      </c>
      <c r="I4096" s="1666">
        <f>(((E4096*J4096)-H4096)/(E4096*J4096))</f>
        <v>0.20018492834026816</v>
      </c>
      <c r="J4096" s="1667">
        <v>140</v>
      </c>
    </row>
    <row r="4099" spans="1:8">
      <c r="A4099" s="1532" t="s">
        <v>4589</v>
      </c>
      <c r="B4099" s="1481" t="s">
        <v>16</v>
      </c>
      <c r="C4099" s="1481" t="s">
        <v>17</v>
      </c>
      <c r="D4099" s="289" t="s">
        <v>163</v>
      </c>
      <c r="E4099" s="289" t="s">
        <v>197</v>
      </c>
      <c r="F4099" s="289" t="s">
        <v>198</v>
      </c>
      <c r="G4099" s="1541" t="s">
        <v>242</v>
      </c>
    </row>
    <row r="4100" spans="1:8">
      <c r="A4100" s="41">
        <v>4141</v>
      </c>
      <c r="B4100" s="1264">
        <v>6</v>
      </c>
      <c r="C4100" s="41" t="s">
        <v>4820</v>
      </c>
      <c r="D4100" s="296">
        <v>20</v>
      </c>
      <c r="E4100" s="297">
        <v>1</v>
      </c>
      <c r="F4100" s="298">
        <f>D4100*E4100</f>
        <v>20</v>
      </c>
      <c r="G4100" s="1184">
        <v>1.2</v>
      </c>
    </row>
    <row r="4101" spans="1:8">
      <c r="A4101" s="41">
        <v>4141</v>
      </c>
      <c r="B4101" s="1264">
        <v>12</v>
      </c>
      <c r="C4101" s="41" t="s">
        <v>4820</v>
      </c>
      <c r="D4101" s="296">
        <v>20</v>
      </c>
      <c r="E4101" s="297">
        <v>1</v>
      </c>
      <c r="F4101" s="298">
        <f>D4101*E4101</f>
        <v>20</v>
      </c>
      <c r="G4101" s="1184">
        <v>1.52</v>
      </c>
    </row>
    <row r="4102" spans="1:8">
      <c r="A4102" s="41">
        <v>4141</v>
      </c>
      <c r="B4102" s="1264">
        <v>6</v>
      </c>
      <c r="C4102" s="41" t="s">
        <v>65</v>
      </c>
      <c r="D4102" s="296">
        <v>20</v>
      </c>
      <c r="E4102" s="297">
        <v>1</v>
      </c>
      <c r="F4102" s="298">
        <f>D4102*E4102</f>
        <v>20</v>
      </c>
      <c r="G4102" s="1184">
        <v>1.2</v>
      </c>
    </row>
    <row r="4103" spans="1:8">
      <c r="A4103" s="41">
        <v>4141</v>
      </c>
      <c r="B4103" s="1264">
        <v>12</v>
      </c>
      <c r="C4103" s="41" t="s">
        <v>65</v>
      </c>
      <c r="D4103" s="296">
        <v>20</v>
      </c>
      <c r="E4103" s="297">
        <v>1</v>
      </c>
      <c r="F4103" s="298">
        <f>D4103*E4103</f>
        <v>20</v>
      </c>
      <c r="G4103" s="1184">
        <v>1.52</v>
      </c>
    </row>
    <row r="4104" spans="1:8">
      <c r="A4104" s="41">
        <v>4141</v>
      </c>
      <c r="B4104" s="1264">
        <v>6</v>
      </c>
      <c r="C4104" s="41" t="s">
        <v>4821</v>
      </c>
      <c r="D4104" s="296">
        <v>20</v>
      </c>
      <c r="E4104" s="297">
        <v>1</v>
      </c>
      <c r="F4104" s="298">
        <f>D4104*E4104</f>
        <v>20</v>
      </c>
      <c r="G4104" s="1184">
        <v>1.2</v>
      </c>
    </row>
    <row r="4105" spans="1:8">
      <c r="A4105" s="41"/>
      <c r="B4105" s="136"/>
      <c r="C4105" s="136" t="s">
        <v>218</v>
      </c>
      <c r="D4105" s="292"/>
      <c r="E4105" s="297"/>
      <c r="F4105" s="292">
        <v>1</v>
      </c>
      <c r="G4105" s="1181">
        <v>12</v>
      </c>
    </row>
    <row r="4107" spans="1:8">
      <c r="A4107" s="337" t="s">
        <v>4823</v>
      </c>
    </row>
    <row r="4110" spans="1:8" ht="25.5">
      <c r="A4110" s="1861" t="s">
        <v>4469</v>
      </c>
      <c r="B4110" s="1528" t="s">
        <v>142</v>
      </c>
      <c r="C4110" s="1528" t="s">
        <v>3604</v>
      </c>
      <c r="D4110" s="1408" t="s">
        <v>4471</v>
      </c>
      <c r="E4110" s="1408" t="s">
        <v>4850</v>
      </c>
      <c r="F4110" s="312" t="s">
        <v>3586</v>
      </c>
      <c r="G4110" s="312" t="s">
        <v>3909</v>
      </c>
      <c r="H4110" s="1521" t="s">
        <v>1843</v>
      </c>
    </row>
    <row r="4111" spans="1:8" ht="14.25">
      <c r="A4111" s="1862" t="s">
        <v>4824</v>
      </c>
      <c r="B4111" s="302" t="s">
        <v>188</v>
      </c>
      <c r="C4111" s="1184">
        <f t="shared" ref="C4111:C4117" si="125">ROUNDUP(F4111/0.6/140,2)</f>
        <v>0.61</v>
      </c>
      <c r="D4111" s="1863" t="s">
        <v>4840</v>
      </c>
      <c r="E4111" s="1863" t="s">
        <v>4843</v>
      </c>
      <c r="F4111" s="365">
        <v>51</v>
      </c>
      <c r="G4111" s="1645">
        <f t="shared" ref="G4111:G4126" si="126">(C4111-(F4111/H4111))/C4111</f>
        <v>0.40281030444964872</v>
      </c>
      <c r="H4111" s="1523">
        <v>140</v>
      </c>
    </row>
    <row r="4112" spans="1:8" ht="14.25">
      <c r="A4112" s="1862" t="s">
        <v>4830</v>
      </c>
      <c r="B4112" s="302" t="s">
        <v>3745</v>
      </c>
      <c r="C4112" s="1184">
        <f t="shared" si="125"/>
        <v>1.45</v>
      </c>
      <c r="D4112" s="1755" t="s">
        <v>4841</v>
      </c>
      <c r="E4112" s="1863" t="s">
        <v>4842</v>
      </c>
      <c r="F4112" s="365">
        <f>51+70</f>
        <v>121</v>
      </c>
      <c r="G4112" s="1645">
        <f t="shared" si="126"/>
        <v>0.40394088669950734</v>
      </c>
      <c r="H4112" s="1523">
        <v>140</v>
      </c>
    </row>
    <row r="4113" spans="1:8" ht="14.25">
      <c r="A4113" s="1862" t="s">
        <v>4831</v>
      </c>
      <c r="B4113" s="302" t="s">
        <v>188</v>
      </c>
      <c r="C4113" s="1184">
        <f t="shared" si="125"/>
        <v>0.9</v>
      </c>
      <c r="D4113" s="1863" t="s">
        <v>4840</v>
      </c>
      <c r="E4113" s="1863" t="s">
        <v>4847</v>
      </c>
      <c r="F4113" s="365">
        <v>75</v>
      </c>
      <c r="G4113" s="1645">
        <f t="shared" si="126"/>
        <v>0.40476190476190477</v>
      </c>
      <c r="H4113" s="1523">
        <v>140</v>
      </c>
    </row>
    <row r="4114" spans="1:8" ht="14.25">
      <c r="A4114" s="1862" t="s">
        <v>4833</v>
      </c>
      <c r="B4114" s="302" t="s">
        <v>3745</v>
      </c>
      <c r="C4114" s="1184">
        <f t="shared" si="125"/>
        <v>1.73</v>
      </c>
      <c r="D4114" s="1755" t="s">
        <v>4841</v>
      </c>
      <c r="E4114" s="1863" t="s">
        <v>4842</v>
      </c>
      <c r="F4114" s="365">
        <f>75+70</f>
        <v>145</v>
      </c>
      <c r="G4114" s="1645">
        <f t="shared" si="126"/>
        <v>0.40132122213047061</v>
      </c>
      <c r="H4114" s="1523">
        <v>140</v>
      </c>
    </row>
    <row r="4115" spans="1:8" ht="14.25">
      <c r="A4115" s="1862" t="s">
        <v>4825</v>
      </c>
      <c r="B4115" s="302" t="s">
        <v>188</v>
      </c>
      <c r="C4115" s="1184">
        <f t="shared" si="125"/>
        <v>0.7</v>
      </c>
      <c r="D4115" s="1863" t="s">
        <v>4840</v>
      </c>
      <c r="E4115" s="1863" t="s">
        <v>4848</v>
      </c>
      <c r="F4115" s="365">
        <v>58</v>
      </c>
      <c r="G4115" s="1645">
        <f t="shared" si="126"/>
        <v>0.40816326530612235</v>
      </c>
      <c r="H4115" s="1523">
        <v>140</v>
      </c>
    </row>
    <row r="4116" spans="1:8" ht="14.25">
      <c r="A4116" s="1862" t="s">
        <v>4834</v>
      </c>
      <c r="B4116" s="302" t="s">
        <v>3745</v>
      </c>
      <c r="C4116" s="1184">
        <f t="shared" si="125"/>
        <v>1.53</v>
      </c>
      <c r="D4116" s="1755" t="s">
        <v>4841</v>
      </c>
      <c r="E4116" s="1863" t="s">
        <v>4842</v>
      </c>
      <c r="F4116" s="365">
        <f>58+70</f>
        <v>128</v>
      </c>
      <c r="G4116" s="1645">
        <f t="shared" si="126"/>
        <v>0.40242763772175538</v>
      </c>
      <c r="H4116" s="1523">
        <v>140</v>
      </c>
    </row>
    <row r="4117" spans="1:8" ht="14.25">
      <c r="A4117" s="1862" t="s">
        <v>4826</v>
      </c>
      <c r="B4117" s="302" t="s">
        <v>188</v>
      </c>
      <c r="C4117" s="1184">
        <f t="shared" si="125"/>
        <v>0.53</v>
      </c>
      <c r="D4117" s="1863" t="s">
        <v>4840</v>
      </c>
      <c r="E4117" s="1863" t="s">
        <v>4849</v>
      </c>
      <c r="F4117" s="365">
        <v>44</v>
      </c>
      <c r="G4117" s="1645">
        <f t="shared" si="126"/>
        <v>0.40700808625336932</v>
      </c>
      <c r="H4117" s="1523">
        <v>140</v>
      </c>
    </row>
    <row r="4118" spans="1:8" ht="14.25">
      <c r="A4118" s="1862" t="s">
        <v>4835</v>
      </c>
      <c r="B4118" s="302" t="s">
        <v>3745</v>
      </c>
      <c r="C4118" s="1184">
        <f t="shared" ref="C4118:C4126" si="127">ROUNDUP(F4118/0.6/140,2)</f>
        <v>1.36</v>
      </c>
      <c r="D4118" s="1755" t="s">
        <v>4841</v>
      </c>
      <c r="E4118" s="1863" t="s">
        <v>4842</v>
      </c>
      <c r="F4118" s="365">
        <f>44+70</f>
        <v>114</v>
      </c>
      <c r="G4118" s="1645">
        <f t="shared" si="126"/>
        <v>0.40126050420168075</v>
      </c>
      <c r="H4118" s="1523">
        <v>140</v>
      </c>
    </row>
    <row r="4119" spans="1:8" ht="14.25">
      <c r="A4119" s="1862" t="s">
        <v>4827</v>
      </c>
      <c r="B4119" s="302" t="s">
        <v>188</v>
      </c>
      <c r="C4119" s="1184">
        <f t="shared" si="127"/>
        <v>0.52</v>
      </c>
      <c r="D4119" s="1863" t="s">
        <v>4840</v>
      </c>
      <c r="E4119" s="1863" t="s">
        <v>4845</v>
      </c>
      <c r="F4119" s="365">
        <v>43</v>
      </c>
      <c r="G4119" s="1645">
        <f t="shared" si="126"/>
        <v>0.40934065934065933</v>
      </c>
      <c r="H4119" s="1523">
        <v>140</v>
      </c>
    </row>
    <row r="4120" spans="1:8" ht="14.25">
      <c r="A4120" s="1862" t="s">
        <v>4836</v>
      </c>
      <c r="B4120" s="302" t="s">
        <v>3745</v>
      </c>
      <c r="C4120" s="1184">
        <f t="shared" si="127"/>
        <v>1.35</v>
      </c>
      <c r="D4120" s="1755" t="s">
        <v>4841</v>
      </c>
      <c r="E4120" s="1863" t="s">
        <v>4842</v>
      </c>
      <c r="F4120" s="365">
        <f>43+70</f>
        <v>113</v>
      </c>
      <c r="G4120" s="1645">
        <f t="shared" si="126"/>
        <v>0.40211640211640215</v>
      </c>
      <c r="H4120" s="1523">
        <v>140</v>
      </c>
    </row>
    <row r="4121" spans="1:8" ht="14.25">
      <c r="A4121" s="1862" t="s">
        <v>4828</v>
      </c>
      <c r="B4121" s="302" t="s">
        <v>188</v>
      </c>
      <c r="C4121" s="1184">
        <f t="shared" si="127"/>
        <v>0.59</v>
      </c>
      <c r="D4121" s="1863" t="s">
        <v>4840</v>
      </c>
      <c r="E4121" s="1863" t="s">
        <v>4846</v>
      </c>
      <c r="F4121" s="365">
        <v>49</v>
      </c>
      <c r="G4121" s="1645">
        <f t="shared" si="126"/>
        <v>0.40677966101694918</v>
      </c>
      <c r="H4121" s="1523">
        <v>140</v>
      </c>
    </row>
    <row r="4122" spans="1:8" ht="14.25">
      <c r="A4122" s="1862" t="s">
        <v>4837</v>
      </c>
      <c r="B4122" s="302" t="s">
        <v>3745</v>
      </c>
      <c r="C4122" s="1184">
        <f t="shared" si="127"/>
        <v>1.42</v>
      </c>
      <c r="D4122" s="1755" t="s">
        <v>4841</v>
      </c>
      <c r="E4122" s="1863" t="s">
        <v>4842</v>
      </c>
      <c r="F4122" s="365">
        <f>49+70</f>
        <v>119</v>
      </c>
      <c r="G4122" s="1645">
        <f t="shared" si="126"/>
        <v>0.40140845070422532</v>
      </c>
      <c r="H4122" s="1523">
        <v>140</v>
      </c>
    </row>
    <row r="4123" spans="1:8" ht="14.25">
      <c r="A4123" s="1862" t="s">
        <v>4829</v>
      </c>
      <c r="B4123" s="302" t="s">
        <v>188</v>
      </c>
      <c r="C4123" s="1184">
        <f t="shared" si="127"/>
        <v>0.52</v>
      </c>
      <c r="D4123" s="1863" t="s">
        <v>4840</v>
      </c>
      <c r="E4123" s="1863" t="s">
        <v>4843</v>
      </c>
      <c r="F4123" s="365">
        <v>43</v>
      </c>
      <c r="G4123" s="1645">
        <f t="shared" si="126"/>
        <v>0.40934065934065933</v>
      </c>
      <c r="H4123" s="1523">
        <v>140</v>
      </c>
    </row>
    <row r="4124" spans="1:8" ht="14.25">
      <c r="A4124" s="1862" t="s">
        <v>4838</v>
      </c>
      <c r="B4124" s="302" t="s">
        <v>3745</v>
      </c>
      <c r="C4124" s="1184">
        <f t="shared" si="127"/>
        <v>1.35</v>
      </c>
      <c r="D4124" s="1755" t="s">
        <v>4841</v>
      </c>
      <c r="E4124" s="1863" t="s">
        <v>4842</v>
      </c>
      <c r="F4124" s="365">
        <f>43+70</f>
        <v>113</v>
      </c>
      <c r="G4124" s="1645">
        <f t="shared" si="126"/>
        <v>0.40211640211640215</v>
      </c>
      <c r="H4124" s="1523">
        <v>140</v>
      </c>
    </row>
    <row r="4125" spans="1:8" ht="14.25">
      <c r="A4125" s="1862" t="s">
        <v>4832</v>
      </c>
      <c r="B4125" s="302" t="s">
        <v>188</v>
      </c>
      <c r="C4125" s="1184">
        <f t="shared" si="127"/>
        <v>1.03</v>
      </c>
      <c r="D4125" s="1863" t="s">
        <v>4840</v>
      </c>
      <c r="E4125" s="1863" t="s">
        <v>4843</v>
      </c>
      <c r="F4125" s="365">
        <v>86</v>
      </c>
      <c r="G4125" s="1645">
        <f t="shared" si="126"/>
        <v>0.40360610263522884</v>
      </c>
      <c r="H4125" s="1523">
        <v>140</v>
      </c>
    </row>
    <row r="4126" spans="1:8" ht="14.25">
      <c r="A4126" s="1862" t="s">
        <v>4839</v>
      </c>
      <c r="B4126" s="302" t="s">
        <v>3745</v>
      </c>
      <c r="C4126" s="1184">
        <f t="shared" si="127"/>
        <v>1.86</v>
      </c>
      <c r="D4126" s="1755" t="s">
        <v>4841</v>
      </c>
      <c r="E4126" s="1863" t="s">
        <v>4842</v>
      </c>
      <c r="F4126" s="365">
        <f>86+70</f>
        <v>156</v>
      </c>
      <c r="G4126" s="1645">
        <f t="shared" si="126"/>
        <v>0.4009216589861751</v>
      </c>
      <c r="H4126" s="1523">
        <v>140</v>
      </c>
    </row>
    <row r="4127" spans="1:8" ht="14.25">
      <c r="A4127" s="1864" t="s">
        <v>4844</v>
      </c>
    </row>
    <row r="4130" spans="1:7">
      <c r="A4130" s="1633" t="s">
        <v>4851</v>
      </c>
    </row>
    <row r="4131" spans="1:7" ht="14.25" thickBot="1"/>
    <row r="4132" spans="1:7" ht="14.25" thickBot="1">
      <c r="A4132" s="348" t="s">
        <v>4852</v>
      </c>
      <c r="B4132" s="1631" t="s">
        <v>3654</v>
      </c>
      <c r="C4132" s="1631" t="s">
        <v>4135</v>
      </c>
      <c r="D4132" s="348" t="s">
        <v>4136</v>
      </c>
      <c r="E4132" s="1639" t="s">
        <v>3609</v>
      </c>
      <c r="F4132" s="1640" t="s">
        <v>3909</v>
      </c>
      <c r="G4132" s="1640" t="s">
        <v>1843</v>
      </c>
    </row>
    <row r="4133" spans="1:7" ht="15" thickBot="1">
      <c r="A4133" s="351" t="s">
        <v>4642</v>
      </c>
      <c r="B4133" s="351" t="s">
        <v>4138</v>
      </c>
      <c r="C4133" s="1632" t="s">
        <v>4854</v>
      </c>
      <c r="D4133" s="1638">
        <f>ROUNDUP(E4133/0.75/140,2)</f>
        <v>22.48</v>
      </c>
      <c r="E4133" s="1641">
        <f>2060+300</f>
        <v>2360</v>
      </c>
      <c r="F4133" s="1642">
        <f>(D4133-(E4133/G4133))/D4133</f>
        <v>0.25012709710218606</v>
      </c>
      <c r="G4133" s="1643">
        <v>140</v>
      </c>
    </row>
    <row r="4134" spans="1:7" ht="15" thickBot="1">
      <c r="A4134" s="351" t="s">
        <v>4642</v>
      </c>
      <c r="B4134" s="351" t="s">
        <v>4138</v>
      </c>
      <c r="C4134" s="1632" t="s">
        <v>4855</v>
      </c>
      <c r="D4134" s="1638">
        <f>ROUNDUP(E4134/0.75/140,2)</f>
        <v>19.62</v>
      </c>
      <c r="E4134" s="1641">
        <v>2060</v>
      </c>
      <c r="F4134" s="1642">
        <f>(D4134-(E4134/G4134))/D4134</f>
        <v>0.25003640599970883</v>
      </c>
      <c r="G4134" s="1643">
        <v>140</v>
      </c>
    </row>
    <row r="4135" spans="1:7" ht="15" thickBot="1">
      <c r="A4135" s="351" t="s">
        <v>4141</v>
      </c>
      <c r="B4135" s="351" t="s">
        <v>4138</v>
      </c>
      <c r="C4135" s="1632" t="s">
        <v>4143</v>
      </c>
      <c r="D4135" s="1638">
        <f>ROUNDUP(E4135/0.75/140,2)</f>
        <v>22.48</v>
      </c>
      <c r="E4135" s="1641">
        <f>2060+300</f>
        <v>2360</v>
      </c>
      <c r="F4135" s="1642">
        <f>(D4135-(E4135/G4135))/D4135</f>
        <v>0.25012709710218606</v>
      </c>
      <c r="G4135" s="1643">
        <v>140</v>
      </c>
    </row>
    <row r="4136" spans="1:7" ht="15" thickBot="1">
      <c r="A4136" s="351" t="s">
        <v>4853</v>
      </c>
      <c r="B4136" s="351" t="s">
        <v>4138</v>
      </c>
      <c r="C4136" s="1632" t="s">
        <v>4142</v>
      </c>
      <c r="D4136" s="1638">
        <f>ROUNDUP(E4136/0.75/140,2)</f>
        <v>19.62</v>
      </c>
      <c r="E4136" s="1641">
        <v>2060</v>
      </c>
      <c r="F4136" s="1642">
        <f>(D4136-(E4136/G4136))/D4136</f>
        <v>0.25003640599970883</v>
      </c>
      <c r="G4136" s="1643">
        <v>140</v>
      </c>
    </row>
    <row r="4137" spans="1:7" ht="15" thickBot="1">
      <c r="A4137" s="351"/>
      <c r="B4137" s="351"/>
      <c r="C4137" s="1632"/>
      <c r="D4137" s="1638"/>
      <c r="E4137" s="1641"/>
      <c r="F4137" s="1642"/>
      <c r="G4137" s="1643"/>
    </row>
    <row r="4138" spans="1:7" ht="15" thickBot="1">
      <c r="A4138" s="351" t="s">
        <v>4857</v>
      </c>
      <c r="B4138" s="1865" t="s">
        <v>4856</v>
      </c>
      <c r="C4138" s="1632" t="s">
        <v>4854</v>
      </c>
      <c r="D4138" s="1638">
        <f>ROUNDUP(E4138/0.75/140,2)</f>
        <v>21.05</v>
      </c>
      <c r="E4138" s="1641">
        <f>1910+300</f>
        <v>2210</v>
      </c>
      <c r="F4138" s="1642">
        <f>(D4138-(E4138/G4138))/D4138</f>
        <v>0.25008483203257548</v>
      </c>
      <c r="G4138" s="1643">
        <v>140</v>
      </c>
    </row>
    <row r="4139" spans="1:7" ht="15" thickBot="1">
      <c r="A4139" s="351" t="s">
        <v>4857</v>
      </c>
      <c r="B4139" s="1865" t="s">
        <v>4856</v>
      </c>
      <c r="C4139" s="1632" t="s">
        <v>4855</v>
      </c>
      <c r="D4139" s="1638">
        <f>ROUNDUP(E4139/0.75/140,2)</f>
        <v>18.200000000000003</v>
      </c>
      <c r="E4139" s="1641">
        <v>1910</v>
      </c>
      <c r="F4139" s="1642">
        <f>(D4139-(E4139/G4139))/D4139</f>
        <v>0.25039246467817911</v>
      </c>
      <c r="G4139" s="1643">
        <v>140</v>
      </c>
    </row>
    <row r="4140" spans="1:7" ht="15" thickBot="1">
      <c r="A4140" s="351" t="s">
        <v>4858</v>
      </c>
      <c r="B4140" s="1865" t="s">
        <v>4856</v>
      </c>
      <c r="C4140" s="1632" t="s">
        <v>4143</v>
      </c>
      <c r="D4140" s="1638">
        <f>ROUNDUP(E4140/0.75/140,2)</f>
        <v>21.05</v>
      </c>
      <c r="E4140" s="1641">
        <f>1910+300</f>
        <v>2210</v>
      </c>
      <c r="F4140" s="1642">
        <f>(D4140-(E4140/G4140))/D4140</f>
        <v>0.25008483203257548</v>
      </c>
      <c r="G4140" s="1643">
        <v>140</v>
      </c>
    </row>
    <row r="4141" spans="1:7" ht="15" thickBot="1">
      <c r="A4141" s="351" t="s">
        <v>4858</v>
      </c>
      <c r="B4141" s="1865" t="s">
        <v>4856</v>
      </c>
      <c r="C4141" s="1632" t="s">
        <v>4142</v>
      </c>
      <c r="D4141" s="1638">
        <f>ROUNDUP(E4141/0.75/140,2)</f>
        <v>18.200000000000003</v>
      </c>
      <c r="E4141" s="1641">
        <v>1910</v>
      </c>
      <c r="F4141" s="1642">
        <f>(D4141-(E4141/G4141))/D4141</f>
        <v>0.25039246467817911</v>
      </c>
      <c r="G4141" s="1643">
        <v>140</v>
      </c>
    </row>
    <row r="4142" spans="1:7">
      <c r="A4142" s="1520" t="s">
        <v>4144</v>
      </c>
    </row>
    <row r="4143" spans="1:7">
      <c r="A4143" s="2062" t="s">
        <v>4489</v>
      </c>
      <c r="B4143" s="2062"/>
      <c r="C4143" s="2062"/>
    </row>
    <row r="4144" spans="1:7">
      <c r="A4144" s="1758" t="s">
        <v>4490</v>
      </c>
      <c r="B4144" s="1758"/>
      <c r="C4144" s="1758"/>
    </row>
    <row r="4145" spans="1:6">
      <c r="A4145" s="1474" t="s">
        <v>4491</v>
      </c>
    </row>
    <row r="4153" spans="1:6">
      <c r="A4153" s="1532" t="s">
        <v>4589</v>
      </c>
      <c r="B4153" s="1528" t="s">
        <v>142</v>
      </c>
      <c r="C4153" s="1528" t="s">
        <v>3604</v>
      </c>
      <c r="D4153" s="161" t="s">
        <v>4870</v>
      </c>
      <c r="E4153" s="312" t="s">
        <v>3909</v>
      </c>
      <c r="F4153" s="1521" t="s">
        <v>1843</v>
      </c>
    </row>
    <row r="4154" spans="1:6" ht="16.5">
      <c r="A4154" s="301" t="s">
        <v>4863</v>
      </c>
      <c r="B4154" s="302" t="s">
        <v>4862</v>
      </c>
      <c r="C4154" s="1648">
        <f t="shared" ref="C4154:C4160" si="128">ROUNDUP(D4154/0.6/140,2)</f>
        <v>5.4799999999999995</v>
      </c>
      <c r="D4154" s="1867">
        <v>460</v>
      </c>
      <c r="E4154" s="1645">
        <f t="shared" ref="E4154:E4160" si="129">(C4154-(D4154/F4154))/C4154</f>
        <v>0.40041710114702811</v>
      </c>
      <c r="F4154" s="1523">
        <v>140</v>
      </c>
    </row>
    <row r="4155" spans="1:6" ht="16.5">
      <c r="A4155" s="301" t="s">
        <v>4864</v>
      </c>
      <c r="B4155" s="302" t="s">
        <v>4862</v>
      </c>
      <c r="C4155" s="1648">
        <f t="shared" si="128"/>
        <v>4.29</v>
      </c>
      <c r="D4155" s="1867">
        <v>360</v>
      </c>
      <c r="E4155" s="1645">
        <f t="shared" si="129"/>
        <v>0.40059940059940058</v>
      </c>
      <c r="F4155" s="1523">
        <v>140</v>
      </c>
    </row>
    <row r="4156" spans="1:6" ht="16.5">
      <c r="A4156" s="301" t="s">
        <v>4865</v>
      </c>
      <c r="B4156" s="302" t="s">
        <v>4862</v>
      </c>
      <c r="C4156" s="1648">
        <f t="shared" si="128"/>
        <v>5.4799999999999995</v>
      </c>
      <c r="D4156" s="1867">
        <v>460</v>
      </c>
      <c r="E4156" s="1645">
        <f t="shared" si="129"/>
        <v>0.40041710114702811</v>
      </c>
      <c r="F4156" s="1523">
        <v>140</v>
      </c>
    </row>
    <row r="4157" spans="1:6" ht="16.5">
      <c r="A4157" s="301" t="s">
        <v>4866</v>
      </c>
      <c r="B4157" s="302" t="s">
        <v>4861</v>
      </c>
      <c r="C4157" s="1648">
        <f t="shared" si="128"/>
        <v>2.3299999999999996</v>
      </c>
      <c r="D4157" s="1867">
        <v>195</v>
      </c>
      <c r="E4157" s="1645">
        <f t="shared" si="129"/>
        <v>0.4022072348252605</v>
      </c>
      <c r="F4157" s="1523">
        <v>140</v>
      </c>
    </row>
    <row r="4158" spans="1:6">
      <c r="A4158" s="301" t="s">
        <v>4867</v>
      </c>
      <c r="B4158" s="302" t="s">
        <v>4862</v>
      </c>
      <c r="C4158" s="1648">
        <f t="shared" si="128"/>
        <v>2.86</v>
      </c>
      <c r="D4158" s="1867">
        <v>240</v>
      </c>
      <c r="E4158" s="1645">
        <f t="shared" si="129"/>
        <v>0.40059940059940058</v>
      </c>
      <c r="F4158" s="1523">
        <v>140</v>
      </c>
    </row>
    <row r="4159" spans="1:6">
      <c r="A4159" s="301" t="s">
        <v>4868</v>
      </c>
      <c r="B4159" s="302" t="s">
        <v>4862</v>
      </c>
      <c r="C4159" s="1648">
        <f t="shared" si="128"/>
        <v>5.3599999999999994</v>
      </c>
      <c r="D4159" s="1867">
        <v>450</v>
      </c>
      <c r="E4159" s="1645">
        <f t="shared" si="129"/>
        <v>0.40031982942430694</v>
      </c>
      <c r="F4159" s="1523">
        <v>140</v>
      </c>
    </row>
    <row r="4160" spans="1:6">
      <c r="A4160" s="301" t="s">
        <v>4869</v>
      </c>
      <c r="B4160" s="302" t="s">
        <v>4862</v>
      </c>
      <c r="C4160" s="1648">
        <f t="shared" si="128"/>
        <v>7.8599999999999994</v>
      </c>
      <c r="D4160" s="1867">
        <v>660</v>
      </c>
      <c r="E4160" s="1645">
        <f t="shared" si="129"/>
        <v>0.4002181025081788</v>
      </c>
      <c r="F4160" s="1523">
        <v>140</v>
      </c>
    </row>
    <row r="4161" spans="1:7" ht="18.75">
      <c r="A4161" s="1866"/>
    </row>
    <row r="4162" spans="1:7" ht="18.75">
      <c r="A4162" s="1866" t="s">
        <v>4859</v>
      </c>
    </row>
    <row r="4163" spans="1:7" ht="18.75">
      <c r="A4163" s="1866" t="s">
        <v>4860</v>
      </c>
    </row>
    <row r="4166" spans="1:7">
      <c r="A4166" s="1532" t="s">
        <v>4589</v>
      </c>
      <c r="B4166" s="1481" t="s">
        <v>17</v>
      </c>
      <c r="C4166" s="1481" t="s">
        <v>4872</v>
      </c>
      <c r="D4166" s="1528" t="s">
        <v>3604</v>
      </c>
    </row>
    <row r="4167" spans="1:7">
      <c r="A4167" s="41" t="s">
        <v>4660</v>
      </c>
      <c r="B4167" s="41" t="s">
        <v>4661</v>
      </c>
      <c r="C4167" s="298">
        <v>255</v>
      </c>
      <c r="D4167" s="1181">
        <v>0.52</v>
      </c>
    </row>
    <row r="4168" spans="1:7">
      <c r="A4168" s="41" t="s">
        <v>4659</v>
      </c>
      <c r="B4168" s="41" t="s">
        <v>4661</v>
      </c>
      <c r="C4168" s="298">
        <v>55</v>
      </c>
      <c r="D4168" s="1181">
        <v>0.57999999999999996</v>
      </c>
    </row>
    <row r="4169" spans="1:7">
      <c r="A4169" s="41"/>
      <c r="B4169" s="136" t="s">
        <v>218</v>
      </c>
      <c r="C4169" s="292">
        <v>1</v>
      </c>
      <c r="D4169" s="1181">
        <v>12</v>
      </c>
    </row>
    <row r="4173" spans="1:7">
      <c r="A4173" s="1532" t="s">
        <v>4589</v>
      </c>
      <c r="B4173" s="1481" t="s">
        <v>16</v>
      </c>
      <c r="C4173" s="1481" t="s">
        <v>17</v>
      </c>
      <c r="D4173" s="289" t="s">
        <v>163</v>
      </c>
      <c r="E4173" s="289" t="s">
        <v>197</v>
      </c>
      <c r="F4173" s="289" t="s">
        <v>198</v>
      </c>
      <c r="G4173" s="1541" t="s">
        <v>242</v>
      </c>
    </row>
    <row r="4174" spans="1:7">
      <c r="A4174" s="41">
        <v>4141</v>
      </c>
      <c r="B4174" s="1264">
        <v>6</v>
      </c>
      <c r="C4174" s="41" t="s">
        <v>4875</v>
      </c>
      <c r="D4174" s="296">
        <v>20</v>
      </c>
      <c r="E4174" s="297">
        <v>1</v>
      </c>
      <c r="F4174" s="298">
        <f>D4174*E4174</f>
        <v>20</v>
      </c>
      <c r="G4174" s="1184">
        <v>1.2</v>
      </c>
    </row>
    <row r="4175" spans="1:7">
      <c r="A4175" s="41">
        <v>4141</v>
      </c>
      <c r="B4175" s="1264">
        <v>6</v>
      </c>
      <c r="C4175" s="41" t="s">
        <v>4876</v>
      </c>
      <c r="D4175" s="296">
        <v>20</v>
      </c>
      <c r="E4175" s="297">
        <v>1</v>
      </c>
      <c r="F4175" s="298">
        <f>D4175*E4175</f>
        <v>20</v>
      </c>
      <c r="G4175" s="1184">
        <v>1.2</v>
      </c>
    </row>
    <row r="4176" spans="1:7">
      <c r="A4176" s="41">
        <v>4141</v>
      </c>
      <c r="B4176" s="1264">
        <v>6</v>
      </c>
      <c r="C4176" s="41" t="s">
        <v>4877</v>
      </c>
      <c r="D4176" s="296">
        <v>20</v>
      </c>
      <c r="E4176" s="297">
        <v>1</v>
      </c>
      <c r="F4176" s="298">
        <f>D4176*E4176</f>
        <v>20</v>
      </c>
      <c r="G4176" s="1184">
        <v>1.2</v>
      </c>
    </row>
    <row r="4177" spans="1:7">
      <c r="A4177" s="41"/>
      <c r="B4177" s="136"/>
      <c r="C4177" s="136" t="s">
        <v>218</v>
      </c>
      <c r="D4177" s="292"/>
      <c r="E4177" s="297"/>
      <c r="F4177" s="292">
        <v>1</v>
      </c>
      <c r="G4177" s="1181">
        <v>12</v>
      </c>
    </row>
    <row r="4180" spans="1:7">
      <c r="A4180" s="1532" t="s">
        <v>4589</v>
      </c>
      <c r="B4180" s="1481" t="s">
        <v>17</v>
      </c>
      <c r="C4180" s="289" t="s">
        <v>163</v>
      </c>
      <c r="D4180" s="289" t="s">
        <v>197</v>
      </c>
      <c r="E4180" s="289" t="s">
        <v>198</v>
      </c>
      <c r="F4180" s="1541" t="s">
        <v>242</v>
      </c>
    </row>
    <row r="4181" spans="1:7">
      <c r="A4181" s="41">
        <v>1966</v>
      </c>
      <c r="B4181" s="41" t="s">
        <v>4650</v>
      </c>
      <c r="C4181" s="296">
        <v>30</v>
      </c>
      <c r="D4181" s="297">
        <v>7</v>
      </c>
      <c r="E4181" s="298">
        <f>C4181*D4181</f>
        <v>210</v>
      </c>
      <c r="F4181" s="1181">
        <v>0.8</v>
      </c>
    </row>
    <row r="4182" spans="1:7">
      <c r="A4182" s="41"/>
      <c r="B4182" s="136" t="s">
        <v>218</v>
      </c>
      <c r="C4182" s="292"/>
      <c r="D4182" s="297"/>
      <c r="E4182" s="292">
        <v>1</v>
      </c>
      <c r="F4182" s="1181">
        <v>12</v>
      </c>
    </row>
    <row r="4185" spans="1:7">
      <c r="A4185" t="s">
        <v>4909</v>
      </c>
    </row>
    <row r="4186" spans="1:7">
      <c r="A4186" s="1532" t="s">
        <v>4589</v>
      </c>
      <c r="B4186" s="1481" t="s">
        <v>17</v>
      </c>
      <c r="C4186" s="1528" t="s">
        <v>18</v>
      </c>
      <c r="D4186" s="1528" t="s">
        <v>3604</v>
      </c>
      <c r="E4186" s="312" t="s">
        <v>4476</v>
      </c>
      <c r="F4186" s="312" t="s">
        <v>3909</v>
      </c>
      <c r="G4186" s="1521" t="s">
        <v>1843</v>
      </c>
    </row>
    <row r="4187" spans="1:7" ht="15">
      <c r="A4187" s="41" t="s">
        <v>2445</v>
      </c>
      <c r="B4187" s="41" t="s">
        <v>4661</v>
      </c>
      <c r="C4187" s="41" t="s">
        <v>4907</v>
      </c>
      <c r="D4187" s="1181">
        <v>5.41</v>
      </c>
      <c r="E4187" s="70">
        <v>454</v>
      </c>
      <c r="F4187" s="1645">
        <f>(D4187-(E4187/G4187))/D4187</f>
        <v>0.40058093477686824</v>
      </c>
      <c r="G4187" s="1523">
        <v>140</v>
      </c>
    </row>
    <row r="4188" spans="1:7" ht="15">
      <c r="A4188" s="41" t="s">
        <v>2445</v>
      </c>
      <c r="B4188" s="41" t="s">
        <v>4661</v>
      </c>
      <c r="C4188" s="41" t="s">
        <v>4906</v>
      </c>
      <c r="D4188" s="1181">
        <v>4.99</v>
      </c>
      <c r="E4188" s="70">
        <v>454</v>
      </c>
      <c r="F4188" s="1645">
        <f>(D4188-(E4188/G4188))/D4188</f>
        <v>0.35012882908674492</v>
      </c>
      <c r="G4188" s="1523">
        <v>140</v>
      </c>
    </row>
    <row r="4189" spans="1:7" ht="15">
      <c r="A4189" s="41" t="s">
        <v>2445</v>
      </c>
      <c r="B4189" s="41" t="s">
        <v>4661</v>
      </c>
      <c r="C4189" s="41" t="s">
        <v>4908</v>
      </c>
      <c r="D4189" s="1181">
        <v>4.6399999999999997</v>
      </c>
      <c r="E4189" s="70">
        <v>454</v>
      </c>
      <c r="F4189" s="1645">
        <f>(D4189-(E4189/G4189))/D4189</f>
        <v>0.30110837438423638</v>
      </c>
      <c r="G4189" s="1523">
        <v>140</v>
      </c>
    </row>
    <row r="4190" spans="1:7" ht="15">
      <c r="A4190" s="41"/>
      <c r="B4190" s="41"/>
      <c r="C4190" s="41"/>
      <c r="D4190" s="1181"/>
      <c r="E4190" s="70"/>
      <c r="F4190" s="1645"/>
      <c r="G4190" s="1523"/>
    </row>
    <row r="4191" spans="1:7" ht="15">
      <c r="A4191" s="41" t="s">
        <v>4902</v>
      </c>
      <c r="B4191" s="41" t="s">
        <v>4661</v>
      </c>
      <c r="C4191" s="41" t="s">
        <v>4907</v>
      </c>
      <c r="D4191" s="1181">
        <v>2.96</v>
      </c>
      <c r="E4191" s="70">
        <v>248</v>
      </c>
      <c r="F4191" s="1645">
        <f>(D4191-(E4191/G4191))/D4191</f>
        <v>0.40154440154440157</v>
      </c>
      <c r="G4191" s="1523">
        <v>140</v>
      </c>
    </row>
    <row r="4192" spans="1:7" ht="15">
      <c r="A4192" s="41" t="s">
        <v>4902</v>
      </c>
      <c r="B4192" s="41" t="s">
        <v>4661</v>
      </c>
      <c r="C4192" s="41" t="s">
        <v>4906</v>
      </c>
      <c r="D4192" s="1181">
        <v>2.82</v>
      </c>
      <c r="E4192" s="70">
        <v>248</v>
      </c>
      <c r="F4192" s="1645">
        <f>(D4192-(E4192/G4192))/D4192</f>
        <v>0.37183383991894631</v>
      </c>
      <c r="G4192" s="1523">
        <v>140</v>
      </c>
    </row>
    <row r="4193" spans="1:7" ht="15">
      <c r="A4193" s="41" t="s">
        <v>4902</v>
      </c>
      <c r="B4193" s="41" t="s">
        <v>4661</v>
      </c>
      <c r="C4193" s="41" t="s">
        <v>4908</v>
      </c>
      <c r="D4193" s="1181">
        <v>2.65</v>
      </c>
      <c r="E4193" s="70">
        <v>248</v>
      </c>
      <c r="F4193" s="1645">
        <f>(D4193-(E4193/G4193))/D4193</f>
        <v>0.33153638814016173</v>
      </c>
      <c r="G4193" s="1523">
        <v>140</v>
      </c>
    </row>
    <row r="4194" spans="1:7" ht="15">
      <c r="A4194" s="41"/>
      <c r="B4194" s="41"/>
      <c r="C4194" s="41"/>
      <c r="D4194" s="1181"/>
      <c r="E4194" s="70"/>
      <c r="F4194" s="1645"/>
      <c r="G4194" s="1523"/>
    </row>
    <row r="4195" spans="1:7" ht="15">
      <c r="A4195" s="41" t="s">
        <v>4901</v>
      </c>
      <c r="B4195" s="41" t="s">
        <v>4661</v>
      </c>
      <c r="C4195" s="41" t="s">
        <v>4907</v>
      </c>
      <c r="D4195" s="1181">
        <v>2.91</v>
      </c>
      <c r="E4195" s="70">
        <v>244</v>
      </c>
      <c r="F4195" s="1645">
        <f>(D4195-(E4195/G4195))/D4195</f>
        <v>0.40108001963672069</v>
      </c>
      <c r="G4195" s="1523">
        <v>140</v>
      </c>
    </row>
    <row r="4196" spans="1:7" ht="15">
      <c r="A4196" s="41" t="s">
        <v>4901</v>
      </c>
      <c r="B4196" s="41" t="s">
        <v>4661</v>
      </c>
      <c r="C4196" s="41" t="s">
        <v>4906</v>
      </c>
      <c r="D4196" s="1181">
        <v>2.77</v>
      </c>
      <c r="E4196" s="70">
        <v>244</v>
      </c>
      <c r="F4196" s="1645">
        <f>(D4196-(E4196/G4196))/D4196</f>
        <v>0.370809695719443</v>
      </c>
      <c r="G4196" s="1523">
        <v>140</v>
      </c>
    </row>
    <row r="4197" spans="1:7" ht="15">
      <c r="A4197" s="41" t="s">
        <v>4901</v>
      </c>
      <c r="B4197" s="41" t="s">
        <v>4661</v>
      </c>
      <c r="C4197" s="41" t="s">
        <v>4908</v>
      </c>
      <c r="D4197" s="1181">
        <v>2.61</v>
      </c>
      <c r="E4197" s="70">
        <v>244</v>
      </c>
      <c r="F4197" s="1645">
        <f>(D4197-(E4197/G4197))/D4197</f>
        <v>0.33223864258347013</v>
      </c>
      <c r="G4197" s="1523">
        <v>140</v>
      </c>
    </row>
    <row r="4200" spans="1:7">
      <c r="A4200" s="1532" t="s">
        <v>4589</v>
      </c>
      <c r="B4200" s="1481" t="s">
        <v>17</v>
      </c>
      <c r="C4200" s="289" t="s">
        <v>198</v>
      </c>
      <c r="D4200" s="1541" t="s">
        <v>242</v>
      </c>
    </row>
    <row r="4201" spans="1:7">
      <c r="A4201" s="41" t="s">
        <v>2445</v>
      </c>
      <c r="B4201" s="41" t="s">
        <v>4661</v>
      </c>
      <c r="C4201" s="298">
        <v>20</v>
      </c>
      <c r="D4201" s="1181">
        <v>5.41</v>
      </c>
    </row>
    <row r="4202" spans="1:7">
      <c r="A4202" s="41" t="s">
        <v>4902</v>
      </c>
      <c r="B4202" s="41" t="s">
        <v>4661</v>
      </c>
      <c r="C4202" s="298">
        <v>20</v>
      </c>
      <c r="D4202" s="1181">
        <v>2.96</v>
      </c>
    </row>
    <row r="4203" spans="1:7">
      <c r="A4203" s="41" t="s">
        <v>4901</v>
      </c>
      <c r="B4203" s="41" t="s">
        <v>4661</v>
      </c>
      <c r="C4203" s="298">
        <v>20</v>
      </c>
      <c r="D4203" s="1181">
        <v>2.91</v>
      </c>
    </row>
    <row r="4204" spans="1:7">
      <c r="A4204" s="41"/>
      <c r="B4204" s="136" t="s">
        <v>218</v>
      </c>
      <c r="C4204" s="292">
        <v>1</v>
      </c>
      <c r="D4204" s="1181">
        <v>12</v>
      </c>
    </row>
    <row r="4207" spans="1:7">
      <c r="A4207" s="1532" t="s">
        <v>4589</v>
      </c>
      <c r="B4207" s="1481" t="s">
        <v>17</v>
      </c>
      <c r="C4207" s="289" t="s">
        <v>198</v>
      </c>
      <c r="D4207" s="1541" t="s">
        <v>242</v>
      </c>
      <c r="E4207" s="44" t="s">
        <v>8</v>
      </c>
    </row>
    <row r="4208" spans="1:7">
      <c r="A4208" s="41" t="s">
        <v>4558</v>
      </c>
      <c r="B4208" s="41" t="s">
        <v>4661</v>
      </c>
      <c r="C4208" s="298">
        <v>150</v>
      </c>
      <c r="D4208" s="1181">
        <v>0.43</v>
      </c>
    </row>
    <row r="4209" spans="1:4">
      <c r="A4209" s="41" t="s">
        <v>4673</v>
      </c>
      <c r="B4209" s="41" t="s">
        <v>4661</v>
      </c>
      <c r="C4209" s="298">
        <v>50</v>
      </c>
      <c r="D4209" s="1181">
        <v>0.64</v>
      </c>
    </row>
    <row r="4210" spans="1:4">
      <c r="A4210" s="1674" t="s">
        <v>4879</v>
      </c>
      <c r="B4210" s="41" t="s">
        <v>4661</v>
      </c>
      <c r="C4210" s="298">
        <v>5</v>
      </c>
      <c r="D4210" s="1181">
        <v>0.7</v>
      </c>
    </row>
    <row r="4211" spans="1:4">
      <c r="A4211" s="1674" t="s">
        <v>4880</v>
      </c>
      <c r="B4211" s="41" t="s">
        <v>4661</v>
      </c>
      <c r="C4211" s="298">
        <v>5</v>
      </c>
      <c r="D4211" s="1804" t="s">
        <v>4905</v>
      </c>
    </row>
    <row r="4212" spans="1:4">
      <c r="A4212" s="1674" t="s">
        <v>4881</v>
      </c>
      <c r="B4212" s="41" t="s">
        <v>4661</v>
      </c>
      <c r="C4212" s="298">
        <v>5</v>
      </c>
      <c r="D4212" s="1181">
        <v>0.67</v>
      </c>
    </row>
    <row r="4213" spans="1:4">
      <c r="A4213" s="1674" t="s">
        <v>4882</v>
      </c>
      <c r="B4213" s="41" t="s">
        <v>4661</v>
      </c>
      <c r="C4213" s="298">
        <v>5</v>
      </c>
      <c r="D4213" s="1181">
        <v>0.67</v>
      </c>
    </row>
    <row r="4214" spans="1:4">
      <c r="A4214" s="1674" t="s">
        <v>4883</v>
      </c>
      <c r="B4214" s="41" t="s">
        <v>4661</v>
      </c>
      <c r="C4214" s="298">
        <v>5</v>
      </c>
      <c r="D4214" s="1181">
        <v>2.86</v>
      </c>
    </row>
    <row r="4215" spans="1:4">
      <c r="A4215" s="1674" t="s">
        <v>4884</v>
      </c>
      <c r="B4215" s="41" t="s">
        <v>4661</v>
      </c>
      <c r="C4215" s="298">
        <v>5</v>
      </c>
      <c r="D4215" s="1181">
        <v>1.1100000000000001</v>
      </c>
    </row>
    <row r="4216" spans="1:4">
      <c r="A4216" s="1674" t="s">
        <v>4885</v>
      </c>
      <c r="B4216" s="41" t="s">
        <v>4661</v>
      </c>
      <c r="C4216" s="298">
        <v>5</v>
      </c>
      <c r="D4216" s="1181">
        <v>1.24</v>
      </c>
    </row>
    <row r="4217" spans="1:4">
      <c r="A4217" s="1674" t="s">
        <v>4886</v>
      </c>
      <c r="B4217" s="41" t="s">
        <v>4661</v>
      </c>
      <c r="C4217" s="298">
        <v>5</v>
      </c>
      <c r="D4217" s="1181">
        <v>1.48</v>
      </c>
    </row>
    <row r="4218" spans="1:4">
      <c r="A4218" s="1674" t="s">
        <v>4887</v>
      </c>
      <c r="B4218" s="41" t="s">
        <v>4661</v>
      </c>
      <c r="C4218" s="298">
        <v>5</v>
      </c>
      <c r="D4218" s="1181">
        <v>0.79</v>
      </c>
    </row>
    <row r="4219" spans="1:4">
      <c r="A4219" s="1674" t="s">
        <v>4888</v>
      </c>
      <c r="B4219" s="41" t="s">
        <v>4661</v>
      </c>
      <c r="C4219" s="298">
        <v>5</v>
      </c>
      <c r="D4219" s="1181">
        <v>0.91</v>
      </c>
    </row>
    <row r="4220" spans="1:4">
      <c r="A4220" s="1674" t="s">
        <v>4889</v>
      </c>
      <c r="B4220" s="41" t="s">
        <v>4661</v>
      </c>
      <c r="C4220" s="298">
        <v>5</v>
      </c>
      <c r="D4220" s="1181">
        <v>0.78</v>
      </c>
    </row>
    <row r="4221" spans="1:4">
      <c r="A4221" s="1674" t="s">
        <v>4890</v>
      </c>
      <c r="B4221" s="41" t="s">
        <v>4661</v>
      </c>
      <c r="C4221" s="298">
        <v>5</v>
      </c>
      <c r="D4221" s="1181">
        <v>1.36</v>
      </c>
    </row>
    <row r="4222" spans="1:4">
      <c r="A4222" s="1674" t="s">
        <v>4891</v>
      </c>
      <c r="B4222" s="41" t="s">
        <v>4661</v>
      </c>
      <c r="C4222" s="298">
        <v>5</v>
      </c>
      <c r="D4222" s="1181">
        <v>0.68</v>
      </c>
    </row>
    <row r="4223" spans="1:4">
      <c r="A4223" s="1674" t="s">
        <v>4892</v>
      </c>
      <c r="B4223" s="41" t="s">
        <v>4661</v>
      </c>
      <c r="C4223" s="298">
        <v>5</v>
      </c>
      <c r="D4223" s="1181">
        <v>0.56000000000000005</v>
      </c>
    </row>
    <row r="4224" spans="1:4">
      <c r="A4224" s="1674" t="s">
        <v>4893</v>
      </c>
      <c r="B4224" s="41" t="s">
        <v>4661</v>
      </c>
      <c r="C4224" s="298">
        <v>5</v>
      </c>
      <c r="D4224" s="1181">
        <v>0.65</v>
      </c>
    </row>
    <row r="4225" spans="1:6">
      <c r="A4225" s="1674" t="s">
        <v>4894</v>
      </c>
      <c r="B4225" s="41" t="s">
        <v>4661</v>
      </c>
      <c r="C4225" s="298">
        <v>5</v>
      </c>
      <c r="D4225" s="1181">
        <v>0.28000000000000003</v>
      </c>
    </row>
    <row r="4226" spans="1:6">
      <c r="A4226" s="1674" t="s">
        <v>4895</v>
      </c>
      <c r="B4226" s="41" t="s">
        <v>4661</v>
      </c>
      <c r="C4226" s="298">
        <v>5</v>
      </c>
      <c r="D4226" s="1181">
        <v>0.4</v>
      </c>
    </row>
    <row r="4227" spans="1:6">
      <c r="A4227" s="1674" t="s">
        <v>4896</v>
      </c>
      <c r="B4227" s="41" t="s">
        <v>4661</v>
      </c>
      <c r="C4227" s="298">
        <v>5</v>
      </c>
      <c r="D4227" s="1181">
        <v>0.57999999999999996</v>
      </c>
    </row>
    <row r="4228" spans="1:6">
      <c r="A4228" s="1674" t="s">
        <v>4897</v>
      </c>
      <c r="B4228" s="41" t="s">
        <v>4661</v>
      </c>
      <c r="C4228" s="298">
        <v>5</v>
      </c>
      <c r="D4228" s="1181">
        <v>0.6</v>
      </c>
    </row>
    <row r="4229" spans="1:6">
      <c r="A4229" s="1674" t="s">
        <v>4898</v>
      </c>
      <c r="B4229" s="41" t="s">
        <v>4661</v>
      </c>
      <c r="C4229" s="298">
        <v>5</v>
      </c>
      <c r="D4229" s="1181">
        <v>0.28000000000000003</v>
      </c>
    </row>
    <row r="4230" spans="1:6">
      <c r="A4230" s="1674" t="s">
        <v>4899</v>
      </c>
      <c r="B4230" s="41" t="s">
        <v>4661</v>
      </c>
      <c r="C4230" s="298">
        <v>5</v>
      </c>
      <c r="D4230" s="1181">
        <v>0.27</v>
      </c>
    </row>
    <row r="4231" spans="1:6">
      <c r="A4231" s="41"/>
      <c r="B4231" s="136" t="s">
        <v>218</v>
      </c>
      <c r="C4231" s="292">
        <v>1</v>
      </c>
      <c r="D4231" s="1181">
        <v>12</v>
      </c>
    </row>
    <row r="4235" spans="1:6">
      <c r="A4235" s="1674" t="s">
        <v>4899</v>
      </c>
      <c r="B4235" s="41" t="s">
        <v>4661</v>
      </c>
      <c r="C4235" s="298">
        <v>150</v>
      </c>
    </row>
    <row r="4236" spans="1:6">
      <c r="A4236" s="1674" t="s">
        <v>4898</v>
      </c>
      <c r="B4236" s="41" t="s">
        <v>4661</v>
      </c>
      <c r="C4236" s="298">
        <v>150</v>
      </c>
    </row>
    <row r="4237" spans="1:6">
      <c r="A4237" s="1674" t="s">
        <v>4891</v>
      </c>
      <c r="B4237" s="41" t="s">
        <v>4661</v>
      </c>
      <c r="C4237" s="298">
        <v>100</v>
      </c>
    </row>
    <row r="4240" spans="1:6" ht="15">
      <c r="A4240" s="1872" t="s">
        <v>4915</v>
      </c>
      <c r="B4240" s="1872"/>
      <c r="C4240" s="1872"/>
      <c r="D4240" s="1872"/>
      <c r="E4240" s="1872"/>
      <c r="F4240" s="1872"/>
    </row>
    <row r="4241" spans="1:118" ht="25.5">
      <c r="A4241" s="289" t="s">
        <v>99</v>
      </c>
      <c r="B4241" s="289" t="s">
        <v>45</v>
      </c>
      <c r="C4241" s="289" t="s">
        <v>4914</v>
      </c>
      <c r="D4241" s="1418" t="s">
        <v>3604</v>
      </c>
      <c r="E4241" s="1408" t="s">
        <v>4471</v>
      </c>
      <c r="F4241" s="1418" t="s">
        <v>4919</v>
      </c>
      <c r="H4241" s="1547" t="s">
        <v>3909</v>
      </c>
      <c r="I4241" s="161" t="s">
        <v>1843</v>
      </c>
    </row>
    <row r="4242" spans="1:118">
      <c r="A4242" s="41" t="s">
        <v>4916</v>
      </c>
      <c r="B4242" s="41" t="s">
        <v>4661</v>
      </c>
      <c r="C4242" s="328">
        <v>13.7</v>
      </c>
      <c r="D4242" s="1876">
        <f>ROUNDUP(G4242/0.6/140,2)</f>
        <v>1.55</v>
      </c>
      <c r="E4242" s="1863" t="s">
        <v>4840</v>
      </c>
      <c r="F4242" s="1873" t="s">
        <v>4920</v>
      </c>
      <c r="G4242" s="1810">
        <v>130</v>
      </c>
      <c r="H4242" s="1874">
        <f>(D4242-(G4242/I4242))/D4242</f>
        <v>0.4009216589861751</v>
      </c>
      <c r="I4242" s="161">
        <v>140</v>
      </c>
    </row>
    <row r="4243" spans="1:118">
      <c r="A4243" s="41" t="s">
        <v>4916</v>
      </c>
      <c r="B4243" s="41" t="s">
        <v>4917</v>
      </c>
      <c r="C4243" s="328">
        <v>301.39999999999998</v>
      </c>
      <c r="D4243" s="1876">
        <f>ROUNDUP(G4243/0.6/140,2)</f>
        <v>2.0299999999999998</v>
      </c>
      <c r="E4243" s="1755" t="s">
        <v>4918</v>
      </c>
      <c r="F4243" s="1875" t="s">
        <v>231</v>
      </c>
      <c r="G4243" s="1810">
        <f>130+40</f>
        <v>170</v>
      </c>
      <c r="H4243" s="1874">
        <f>(D4243-(G4243/I4243))/D4243</f>
        <v>0.40182969739619984</v>
      </c>
      <c r="I4243" s="161">
        <v>140</v>
      </c>
    </row>
    <row r="4246" spans="1:118" ht="16.5">
      <c r="A4246" s="1878" t="s">
        <v>4941</v>
      </c>
      <c r="B4246" s="1872"/>
      <c r="C4246" s="1872"/>
      <c r="D4246" s="1872"/>
      <c r="E4246" s="1872"/>
      <c r="F4246" s="1872"/>
    </row>
    <row r="4247" spans="1:118" s="353" customFormat="1" ht="15.75">
      <c r="A4247" s="1407" t="s">
        <v>22</v>
      </c>
      <c r="B4247" s="1469" t="s">
        <v>4932</v>
      </c>
      <c r="C4247" s="1879" t="s">
        <v>4933</v>
      </c>
      <c r="D4247" s="1471" t="s">
        <v>4931</v>
      </c>
      <c r="E4247" s="1879" t="s">
        <v>4934</v>
      </c>
      <c r="F4247" s="1547" t="s">
        <v>4690</v>
      </c>
      <c r="G4247" s="161" t="s">
        <v>1843</v>
      </c>
    </row>
    <row r="4248" spans="1:118" s="49" customFormat="1" ht="15" customHeight="1">
      <c r="A4248" s="1221" t="s">
        <v>3405</v>
      </c>
      <c r="B4248" s="1232">
        <v>4</v>
      </c>
      <c r="C4248" s="1224" t="s">
        <v>4929</v>
      </c>
      <c r="D4248" s="1224" t="s">
        <v>3406</v>
      </c>
      <c r="E4248" s="1880">
        <f t="shared" ref="E4248:E4253" si="130">ROUNDUP(F4248*1.25,0)</f>
        <v>1460</v>
      </c>
      <c r="F4248" s="260">
        <v>1168</v>
      </c>
      <c r="G4248" s="1229"/>
      <c r="H4248" s="1229"/>
      <c r="I4248" s="1229"/>
      <c r="J4248" s="1229"/>
      <c r="K4248" s="1229"/>
      <c r="L4248" s="1229"/>
      <c r="M4248" s="1229"/>
      <c r="N4248" s="1229"/>
      <c r="O4248" s="1229"/>
      <c r="P4248" s="1229"/>
      <c r="Q4248" s="1229"/>
      <c r="R4248" s="1229"/>
      <c r="S4248" s="1229"/>
      <c r="T4248" s="1229"/>
      <c r="U4248" s="1229"/>
      <c r="V4248" s="1229"/>
      <c r="W4248" s="1229"/>
      <c r="X4248" s="1229"/>
      <c r="Y4248" s="1229"/>
      <c r="Z4248" s="1229"/>
      <c r="AA4248" s="1229"/>
      <c r="AB4248" s="1229"/>
      <c r="AC4248" s="1229"/>
      <c r="AD4248" s="1229"/>
      <c r="AE4248" s="1229"/>
      <c r="AF4248" s="1229"/>
      <c r="AG4248" s="1229"/>
      <c r="AH4248" s="1229"/>
      <c r="AI4248" s="1229"/>
      <c r="AJ4248" s="1229"/>
      <c r="AK4248" s="1229"/>
      <c r="AL4248" s="1229"/>
      <c r="AM4248" s="1229"/>
      <c r="AN4248" s="1229"/>
      <c r="AO4248" s="1229"/>
      <c r="AP4248" s="1229"/>
      <c r="AQ4248" s="1229"/>
      <c r="AR4248" s="1229"/>
      <c r="AS4248" s="1229"/>
      <c r="AT4248" s="1229"/>
      <c r="AU4248" s="1229"/>
      <c r="AV4248" s="1229"/>
      <c r="AW4248" s="1229"/>
      <c r="AX4248" s="1229"/>
      <c r="AY4248" s="1229"/>
      <c r="AZ4248" s="1229"/>
      <c r="BA4248" s="1229"/>
      <c r="BB4248" s="1229"/>
      <c r="BC4248" s="1229"/>
      <c r="BD4248" s="1229"/>
      <c r="BE4248" s="1229"/>
      <c r="BF4248" s="1229"/>
      <c r="BG4248" s="1229"/>
      <c r="BH4248" s="1229"/>
      <c r="BI4248" s="1229"/>
      <c r="BJ4248" s="1229"/>
      <c r="BK4248" s="1229"/>
      <c r="BL4248" s="1229"/>
      <c r="BM4248" s="1229"/>
      <c r="BN4248" s="1229"/>
      <c r="BO4248" s="1229"/>
      <c r="BP4248" s="1229"/>
      <c r="BQ4248" s="1229"/>
      <c r="BR4248" s="1229"/>
      <c r="BS4248" s="1229"/>
      <c r="BT4248" s="1229"/>
      <c r="BU4248" s="1229"/>
      <c r="BV4248" s="1229"/>
      <c r="BW4248" s="1229"/>
      <c r="BX4248" s="1229"/>
      <c r="BY4248" s="1229"/>
      <c r="BZ4248" s="1229"/>
      <c r="CA4248" s="1229"/>
      <c r="CB4248" s="1229"/>
      <c r="CC4248" s="1229"/>
      <c r="CD4248" s="1229"/>
      <c r="CE4248" s="1229"/>
      <c r="CF4248" s="1229"/>
      <c r="CG4248" s="1229"/>
      <c r="CH4248" s="1229"/>
      <c r="CI4248" s="1229"/>
      <c r="CJ4248" s="1229"/>
      <c r="CK4248" s="1229"/>
      <c r="CL4248" s="1229"/>
      <c r="CM4248" s="1229"/>
      <c r="CN4248" s="1229"/>
      <c r="CO4248" s="1229"/>
      <c r="CP4248" s="1229"/>
      <c r="CQ4248" s="1229"/>
      <c r="CR4248" s="1229"/>
      <c r="CS4248" s="1229"/>
      <c r="CT4248" s="1229"/>
      <c r="CU4248" s="1229"/>
      <c r="CV4248" s="1229"/>
      <c r="CW4248" s="1229"/>
      <c r="CX4248" s="1229"/>
      <c r="CY4248" s="1229"/>
      <c r="CZ4248" s="1229"/>
      <c r="DA4248" s="1229"/>
      <c r="DB4248" s="1229"/>
      <c r="DC4248" s="1229"/>
      <c r="DD4248" s="1229"/>
      <c r="DE4248" s="1229"/>
      <c r="DF4248" s="1229"/>
      <c r="DG4248" s="1229"/>
      <c r="DH4248" s="1229"/>
      <c r="DI4248" s="1229"/>
      <c r="DJ4248" s="1229"/>
      <c r="DK4248" s="1229"/>
      <c r="DL4248" s="1229"/>
      <c r="DM4248" s="1229"/>
      <c r="DN4248" s="1229"/>
    </row>
    <row r="4249" spans="1:118" s="1236" customFormat="1" ht="15" customHeight="1">
      <c r="A4249" s="1221" t="s">
        <v>3405</v>
      </c>
      <c r="B4249" s="1232">
        <v>6</v>
      </c>
      <c r="C4249" s="1224" t="s">
        <v>4930</v>
      </c>
      <c r="D4249" s="1224" t="s">
        <v>3406</v>
      </c>
      <c r="E4249" s="1880">
        <f t="shared" si="130"/>
        <v>753</v>
      </c>
      <c r="F4249" s="260">
        <v>602</v>
      </c>
      <c r="G4249" s="1229"/>
      <c r="H4249" s="1229"/>
      <c r="I4249" s="1229"/>
      <c r="J4249" s="1229"/>
      <c r="K4249" s="1229"/>
      <c r="L4249" s="1229"/>
      <c r="M4249" s="1229"/>
      <c r="N4249" s="1229"/>
      <c r="O4249" s="1229"/>
      <c r="P4249" s="1229"/>
      <c r="Q4249" s="1229"/>
      <c r="R4249" s="1229"/>
      <c r="S4249" s="1229"/>
      <c r="T4249" s="1229"/>
      <c r="U4249" s="1229"/>
      <c r="V4249" s="1229"/>
      <c r="W4249" s="1229"/>
      <c r="X4249" s="1229"/>
      <c r="Y4249" s="1229"/>
      <c r="Z4249" s="1229"/>
      <c r="AA4249" s="1229"/>
      <c r="AB4249" s="1229"/>
      <c r="AC4249" s="1229"/>
      <c r="AD4249" s="1229"/>
      <c r="AE4249" s="1229"/>
      <c r="AF4249" s="1229"/>
      <c r="AG4249" s="1229"/>
      <c r="AH4249" s="1229"/>
      <c r="AI4249" s="1229"/>
      <c r="AJ4249" s="1229"/>
      <c r="AK4249" s="1229"/>
      <c r="AL4249" s="1229"/>
      <c r="AM4249" s="1229"/>
      <c r="AN4249" s="1229"/>
      <c r="AO4249" s="1229"/>
      <c r="AP4249" s="1229"/>
      <c r="AQ4249" s="1229"/>
      <c r="AR4249" s="1229"/>
      <c r="AS4249" s="1229"/>
      <c r="AT4249" s="1229"/>
      <c r="AU4249" s="1229"/>
      <c r="AV4249" s="1229"/>
      <c r="AW4249" s="1229"/>
      <c r="AX4249" s="1229"/>
      <c r="AY4249" s="1229"/>
      <c r="AZ4249" s="1229"/>
      <c r="BA4249" s="1229"/>
      <c r="BB4249" s="1229"/>
      <c r="BC4249" s="1229"/>
      <c r="BD4249" s="1229"/>
      <c r="BE4249" s="1229"/>
      <c r="BF4249" s="1229"/>
      <c r="BG4249" s="1229"/>
      <c r="BH4249" s="1229"/>
      <c r="BI4249" s="1229"/>
      <c r="BJ4249" s="1229"/>
      <c r="BK4249" s="1229"/>
      <c r="BL4249" s="1229"/>
      <c r="BM4249" s="1229"/>
      <c r="BN4249" s="1229"/>
      <c r="BO4249" s="1229"/>
      <c r="BP4249" s="1229"/>
      <c r="BQ4249" s="1229"/>
      <c r="BR4249" s="1229"/>
      <c r="BS4249" s="1229"/>
      <c r="BT4249" s="1229"/>
      <c r="BU4249" s="1229"/>
      <c r="BV4249" s="1229"/>
      <c r="BW4249" s="1229"/>
      <c r="BX4249" s="1229"/>
      <c r="BY4249" s="1229"/>
      <c r="BZ4249" s="1229"/>
      <c r="CA4249" s="1229"/>
      <c r="CB4249" s="1229"/>
      <c r="CC4249" s="1229"/>
      <c r="CD4249" s="1229"/>
      <c r="CE4249" s="1229"/>
      <c r="CF4249" s="1229"/>
      <c r="CG4249" s="1229"/>
      <c r="CH4249" s="1229"/>
      <c r="CI4249" s="1229"/>
      <c r="CJ4249" s="1229"/>
      <c r="CK4249" s="1229"/>
      <c r="CL4249" s="1229"/>
      <c r="CM4249" s="1229"/>
      <c r="CN4249" s="1229"/>
      <c r="CO4249" s="1229"/>
      <c r="CP4249" s="1229"/>
      <c r="CQ4249" s="1229"/>
      <c r="CR4249" s="1229"/>
      <c r="CS4249" s="1229"/>
      <c r="CT4249" s="1229"/>
      <c r="CU4249" s="1229"/>
      <c r="CV4249" s="1229"/>
      <c r="CW4249" s="1229"/>
      <c r="CX4249" s="1229"/>
      <c r="CY4249" s="1229"/>
      <c r="CZ4249" s="1229"/>
      <c r="DA4249" s="1229"/>
      <c r="DB4249" s="1229"/>
      <c r="DC4249" s="1229"/>
      <c r="DD4249" s="1229"/>
      <c r="DE4249" s="1229"/>
      <c r="DF4249" s="1229"/>
      <c r="DG4249" s="1229"/>
      <c r="DH4249" s="1229"/>
      <c r="DI4249" s="1229"/>
      <c r="DJ4249" s="1229"/>
      <c r="DK4249" s="1229"/>
      <c r="DL4249" s="1229"/>
      <c r="DM4249" s="1229"/>
      <c r="DN4249" s="1229"/>
    </row>
    <row r="4250" spans="1:118" s="49" customFormat="1" ht="15" customHeight="1">
      <c r="A4250" s="1221" t="s">
        <v>3405</v>
      </c>
      <c r="B4250" s="1232">
        <v>9</v>
      </c>
      <c r="C4250" s="1224" t="s">
        <v>4930</v>
      </c>
      <c r="D4250" s="1224" t="s">
        <v>3406</v>
      </c>
      <c r="E4250" s="1880">
        <f t="shared" si="130"/>
        <v>848</v>
      </c>
      <c r="F4250" s="260">
        <v>678</v>
      </c>
      <c r="G4250" s="1229"/>
      <c r="H4250" s="1229"/>
      <c r="I4250" s="1229"/>
      <c r="J4250" s="1229"/>
      <c r="K4250" s="1229"/>
      <c r="L4250" s="1229"/>
      <c r="M4250" s="1229"/>
      <c r="N4250" s="1229"/>
      <c r="O4250" s="1229"/>
      <c r="P4250" s="1229"/>
      <c r="Q4250" s="1229"/>
      <c r="R4250" s="1229"/>
      <c r="S4250" s="1229"/>
      <c r="T4250" s="1229"/>
      <c r="U4250" s="1229"/>
      <c r="V4250" s="1229"/>
      <c r="W4250" s="1229"/>
      <c r="X4250" s="1229"/>
      <c r="Y4250" s="1229"/>
      <c r="Z4250" s="1229"/>
      <c r="AA4250" s="1229"/>
      <c r="AB4250" s="1229"/>
      <c r="AC4250" s="1229"/>
      <c r="AD4250" s="1229"/>
      <c r="AE4250" s="1229"/>
      <c r="AF4250" s="1229"/>
      <c r="AG4250" s="1229"/>
      <c r="AH4250" s="1229"/>
      <c r="AI4250" s="1229"/>
      <c r="AJ4250" s="1229"/>
      <c r="AK4250" s="1229"/>
      <c r="AL4250" s="1229"/>
      <c r="AM4250" s="1229"/>
      <c r="AN4250" s="1229"/>
      <c r="AO4250" s="1229"/>
      <c r="AP4250" s="1229"/>
      <c r="AQ4250" s="1229"/>
      <c r="AR4250" s="1229"/>
      <c r="AS4250" s="1229"/>
      <c r="AT4250" s="1229"/>
      <c r="AU4250" s="1229"/>
      <c r="AV4250" s="1229"/>
      <c r="AW4250" s="1229"/>
      <c r="AX4250" s="1229"/>
      <c r="AY4250" s="1229"/>
      <c r="AZ4250" s="1229"/>
      <c r="BA4250" s="1229"/>
      <c r="BB4250" s="1229"/>
      <c r="BC4250" s="1229"/>
      <c r="BD4250" s="1229"/>
      <c r="BE4250" s="1229"/>
      <c r="BF4250" s="1229"/>
      <c r="BG4250" s="1229"/>
      <c r="BH4250" s="1229"/>
      <c r="BI4250" s="1229"/>
      <c r="BJ4250" s="1229"/>
      <c r="BK4250" s="1229"/>
      <c r="BL4250" s="1229"/>
      <c r="BM4250" s="1229"/>
      <c r="BN4250" s="1229"/>
      <c r="BO4250" s="1229"/>
      <c r="BP4250" s="1229"/>
      <c r="BQ4250" s="1229"/>
      <c r="BR4250" s="1229"/>
      <c r="BS4250" s="1229"/>
      <c r="BT4250" s="1229"/>
      <c r="BU4250" s="1229"/>
      <c r="BV4250" s="1229"/>
      <c r="BW4250" s="1229"/>
      <c r="BX4250" s="1229"/>
      <c r="BY4250" s="1229"/>
      <c r="BZ4250" s="1229"/>
      <c r="CA4250" s="1229"/>
      <c r="CB4250" s="1229"/>
      <c r="CC4250" s="1229"/>
      <c r="CD4250" s="1229"/>
      <c r="CE4250" s="1229"/>
      <c r="CF4250" s="1229"/>
      <c r="CG4250" s="1229"/>
      <c r="CH4250" s="1229"/>
      <c r="CI4250" s="1229"/>
      <c r="CJ4250" s="1229"/>
      <c r="CK4250" s="1229"/>
      <c r="CL4250" s="1229"/>
      <c r="CM4250" s="1229"/>
      <c r="CN4250" s="1229"/>
      <c r="CO4250" s="1229"/>
      <c r="CP4250" s="1229"/>
      <c r="CQ4250" s="1229"/>
      <c r="CR4250" s="1229"/>
      <c r="CS4250" s="1229"/>
      <c r="CT4250" s="1229"/>
      <c r="CU4250" s="1229"/>
      <c r="CV4250" s="1229"/>
      <c r="CW4250" s="1229"/>
      <c r="CX4250" s="1229"/>
      <c r="CY4250" s="1229"/>
      <c r="CZ4250" s="1229"/>
      <c r="DA4250" s="1229"/>
      <c r="DB4250" s="1229"/>
      <c r="DC4250" s="1229"/>
      <c r="DD4250" s="1229"/>
      <c r="DE4250" s="1229"/>
      <c r="DF4250" s="1229"/>
      <c r="DG4250" s="1229"/>
      <c r="DH4250" s="1229"/>
      <c r="DI4250" s="1229"/>
      <c r="DJ4250" s="1229"/>
      <c r="DK4250" s="1229"/>
      <c r="DL4250" s="1229"/>
      <c r="DM4250" s="1229"/>
      <c r="DN4250" s="1229"/>
    </row>
    <row r="4251" spans="1:118" s="49" customFormat="1" ht="15" customHeight="1">
      <c r="A4251" s="1221" t="s">
        <v>3405</v>
      </c>
      <c r="B4251" s="1232">
        <v>12</v>
      </c>
      <c r="C4251" s="1224" t="s">
        <v>4930</v>
      </c>
      <c r="D4251" s="1224" t="s">
        <v>3406</v>
      </c>
      <c r="E4251" s="1880">
        <f t="shared" si="130"/>
        <v>952</v>
      </c>
      <c r="F4251" s="260">
        <v>761</v>
      </c>
      <c r="G4251" s="1229"/>
      <c r="H4251" s="1229"/>
      <c r="I4251" s="1229"/>
      <c r="J4251" s="1229"/>
      <c r="K4251" s="1229"/>
      <c r="L4251" s="1229"/>
      <c r="M4251" s="1229"/>
      <c r="N4251" s="1229"/>
      <c r="O4251" s="1229"/>
      <c r="P4251" s="1229"/>
      <c r="Q4251" s="1229"/>
      <c r="R4251" s="1229"/>
      <c r="S4251" s="1229"/>
      <c r="T4251" s="1229"/>
      <c r="U4251" s="1229"/>
      <c r="V4251" s="1229"/>
      <c r="W4251" s="1229"/>
      <c r="X4251" s="1229"/>
      <c r="Y4251" s="1229"/>
      <c r="Z4251" s="1229"/>
      <c r="AA4251" s="1229"/>
      <c r="AB4251" s="1229"/>
      <c r="AC4251" s="1229"/>
      <c r="AD4251" s="1229"/>
      <c r="AE4251" s="1229"/>
      <c r="AF4251" s="1229"/>
      <c r="AG4251" s="1229"/>
      <c r="AH4251" s="1229"/>
      <c r="AI4251" s="1229"/>
      <c r="AJ4251" s="1229"/>
      <c r="AK4251" s="1229"/>
      <c r="AL4251" s="1229"/>
      <c r="AM4251" s="1229"/>
      <c r="AN4251" s="1229"/>
      <c r="AO4251" s="1229"/>
      <c r="AP4251" s="1229"/>
      <c r="AQ4251" s="1229"/>
      <c r="AR4251" s="1229"/>
      <c r="AS4251" s="1229"/>
      <c r="AT4251" s="1229"/>
      <c r="AU4251" s="1229"/>
      <c r="AV4251" s="1229"/>
      <c r="AW4251" s="1229"/>
      <c r="AX4251" s="1229"/>
      <c r="AY4251" s="1229"/>
      <c r="AZ4251" s="1229"/>
      <c r="BA4251" s="1229"/>
      <c r="BB4251" s="1229"/>
      <c r="BC4251" s="1229"/>
      <c r="BD4251" s="1229"/>
      <c r="BE4251" s="1229"/>
      <c r="BF4251" s="1229"/>
      <c r="BG4251" s="1229"/>
      <c r="BH4251" s="1229"/>
      <c r="BI4251" s="1229"/>
      <c r="BJ4251" s="1229"/>
      <c r="BK4251" s="1229"/>
      <c r="BL4251" s="1229"/>
      <c r="BM4251" s="1229"/>
      <c r="BN4251" s="1229"/>
      <c r="BO4251" s="1229"/>
      <c r="BP4251" s="1229"/>
      <c r="BQ4251" s="1229"/>
      <c r="BR4251" s="1229"/>
      <c r="BS4251" s="1229"/>
      <c r="BT4251" s="1229"/>
      <c r="BU4251" s="1229"/>
      <c r="BV4251" s="1229"/>
      <c r="BW4251" s="1229"/>
      <c r="BX4251" s="1229"/>
      <c r="BY4251" s="1229"/>
      <c r="BZ4251" s="1229"/>
      <c r="CA4251" s="1229"/>
      <c r="CB4251" s="1229"/>
      <c r="CC4251" s="1229"/>
      <c r="CD4251" s="1229"/>
      <c r="CE4251" s="1229"/>
      <c r="CF4251" s="1229"/>
      <c r="CG4251" s="1229"/>
      <c r="CH4251" s="1229"/>
      <c r="CI4251" s="1229"/>
      <c r="CJ4251" s="1229"/>
      <c r="CK4251" s="1229"/>
      <c r="CL4251" s="1229"/>
      <c r="CM4251" s="1229"/>
      <c r="CN4251" s="1229"/>
      <c r="CO4251" s="1229"/>
      <c r="CP4251" s="1229"/>
      <c r="CQ4251" s="1229"/>
      <c r="CR4251" s="1229"/>
      <c r="CS4251" s="1229"/>
      <c r="CT4251" s="1229"/>
      <c r="CU4251" s="1229"/>
      <c r="CV4251" s="1229"/>
      <c r="CW4251" s="1229"/>
      <c r="CX4251" s="1229"/>
      <c r="CY4251" s="1229"/>
      <c r="CZ4251" s="1229"/>
      <c r="DA4251" s="1229"/>
      <c r="DB4251" s="1229"/>
      <c r="DC4251" s="1229"/>
      <c r="DD4251" s="1229"/>
      <c r="DE4251" s="1229"/>
      <c r="DF4251" s="1229"/>
      <c r="DG4251" s="1229"/>
      <c r="DH4251" s="1229"/>
      <c r="DI4251" s="1229"/>
      <c r="DJ4251" s="1229"/>
      <c r="DK4251" s="1229"/>
      <c r="DL4251" s="1229"/>
      <c r="DM4251" s="1229"/>
      <c r="DN4251" s="1229"/>
    </row>
    <row r="4252" spans="1:118" s="49" customFormat="1" ht="15" customHeight="1">
      <c r="A4252" s="1221" t="s">
        <v>3405</v>
      </c>
      <c r="B4252" s="1232">
        <v>19</v>
      </c>
      <c r="C4252" s="1224" t="s">
        <v>4930</v>
      </c>
      <c r="D4252" s="1224" t="s">
        <v>3406</v>
      </c>
      <c r="E4252" s="1880">
        <f t="shared" si="130"/>
        <v>1224</v>
      </c>
      <c r="F4252" s="260">
        <v>979</v>
      </c>
      <c r="G4252" s="1229"/>
      <c r="H4252" s="1229"/>
      <c r="I4252" s="1229"/>
      <c r="J4252" s="1229"/>
      <c r="K4252" s="1229"/>
      <c r="L4252" s="1229"/>
      <c r="M4252" s="1229"/>
      <c r="N4252" s="1229"/>
      <c r="O4252" s="1229"/>
      <c r="P4252" s="1229"/>
      <c r="Q4252" s="1229"/>
      <c r="R4252" s="1229"/>
      <c r="S4252" s="1229"/>
      <c r="T4252" s="1229"/>
      <c r="U4252" s="1229"/>
      <c r="V4252" s="1229"/>
      <c r="W4252" s="1229"/>
      <c r="X4252" s="1229"/>
      <c r="Y4252" s="1229"/>
      <c r="Z4252" s="1229"/>
      <c r="AA4252" s="1229"/>
      <c r="AB4252" s="1229"/>
      <c r="AC4252" s="1229"/>
      <c r="AD4252" s="1229"/>
      <c r="AE4252" s="1229"/>
      <c r="AF4252" s="1229"/>
      <c r="AG4252" s="1229"/>
      <c r="AH4252" s="1229"/>
      <c r="AI4252" s="1229"/>
      <c r="AJ4252" s="1229"/>
      <c r="AK4252" s="1229"/>
      <c r="AL4252" s="1229"/>
      <c r="AM4252" s="1229"/>
      <c r="AN4252" s="1229"/>
      <c r="AO4252" s="1229"/>
      <c r="AP4252" s="1229"/>
      <c r="AQ4252" s="1229"/>
      <c r="AR4252" s="1229"/>
      <c r="AS4252" s="1229"/>
      <c r="AT4252" s="1229"/>
      <c r="AU4252" s="1229"/>
      <c r="AV4252" s="1229"/>
      <c r="AW4252" s="1229"/>
      <c r="AX4252" s="1229"/>
      <c r="AY4252" s="1229"/>
      <c r="AZ4252" s="1229"/>
      <c r="BA4252" s="1229"/>
      <c r="BB4252" s="1229"/>
      <c r="BC4252" s="1229"/>
      <c r="BD4252" s="1229"/>
      <c r="BE4252" s="1229"/>
      <c r="BF4252" s="1229"/>
      <c r="BG4252" s="1229"/>
      <c r="BH4252" s="1229"/>
      <c r="BI4252" s="1229"/>
      <c r="BJ4252" s="1229"/>
      <c r="BK4252" s="1229"/>
      <c r="BL4252" s="1229"/>
      <c r="BM4252" s="1229"/>
      <c r="BN4252" s="1229"/>
      <c r="BO4252" s="1229"/>
      <c r="BP4252" s="1229"/>
      <c r="BQ4252" s="1229"/>
      <c r="BR4252" s="1229"/>
      <c r="BS4252" s="1229"/>
      <c r="BT4252" s="1229"/>
      <c r="BU4252" s="1229"/>
      <c r="BV4252" s="1229"/>
      <c r="BW4252" s="1229"/>
      <c r="BX4252" s="1229"/>
      <c r="BY4252" s="1229"/>
      <c r="BZ4252" s="1229"/>
      <c r="CA4252" s="1229"/>
      <c r="CB4252" s="1229"/>
      <c r="CC4252" s="1229"/>
      <c r="CD4252" s="1229"/>
      <c r="CE4252" s="1229"/>
      <c r="CF4252" s="1229"/>
      <c r="CG4252" s="1229"/>
      <c r="CH4252" s="1229"/>
      <c r="CI4252" s="1229"/>
      <c r="CJ4252" s="1229"/>
      <c r="CK4252" s="1229"/>
      <c r="CL4252" s="1229"/>
      <c r="CM4252" s="1229"/>
      <c r="CN4252" s="1229"/>
      <c r="CO4252" s="1229"/>
      <c r="CP4252" s="1229"/>
      <c r="CQ4252" s="1229"/>
      <c r="CR4252" s="1229"/>
      <c r="CS4252" s="1229"/>
      <c r="CT4252" s="1229"/>
      <c r="CU4252" s="1229"/>
      <c r="CV4252" s="1229"/>
      <c r="CW4252" s="1229"/>
      <c r="CX4252" s="1229"/>
      <c r="CY4252" s="1229"/>
      <c r="CZ4252" s="1229"/>
      <c r="DA4252" s="1229"/>
      <c r="DB4252" s="1229"/>
      <c r="DC4252" s="1229"/>
      <c r="DD4252" s="1229"/>
      <c r="DE4252" s="1229"/>
      <c r="DF4252" s="1229"/>
      <c r="DG4252" s="1229"/>
      <c r="DH4252" s="1229"/>
      <c r="DI4252" s="1229"/>
      <c r="DJ4252" s="1229"/>
      <c r="DK4252" s="1229"/>
      <c r="DL4252" s="1229"/>
      <c r="DM4252" s="1229"/>
      <c r="DN4252" s="1229"/>
    </row>
    <row r="4253" spans="1:118" s="49" customFormat="1" ht="15" customHeight="1">
      <c r="A4253" s="1221" t="s">
        <v>3405</v>
      </c>
      <c r="B4253" s="1232">
        <v>25</v>
      </c>
      <c r="C4253" s="1224" t="s">
        <v>4930</v>
      </c>
      <c r="D4253" s="1224" t="s">
        <v>3406</v>
      </c>
      <c r="E4253" s="1880">
        <f t="shared" si="130"/>
        <v>1502</v>
      </c>
      <c r="F4253" s="260">
        <v>1201</v>
      </c>
      <c r="G4253" s="1229"/>
      <c r="H4253" s="1229"/>
      <c r="I4253" s="1229"/>
      <c r="J4253" s="1229"/>
      <c r="K4253" s="1229"/>
      <c r="L4253" s="1229"/>
      <c r="M4253" s="1229"/>
      <c r="N4253" s="1229"/>
      <c r="O4253" s="1229"/>
      <c r="P4253" s="1229"/>
      <c r="Q4253" s="1229"/>
      <c r="R4253" s="1229"/>
      <c r="S4253" s="1229"/>
      <c r="T4253" s="1229"/>
      <c r="U4253" s="1229"/>
      <c r="V4253" s="1229"/>
      <c r="W4253" s="1229"/>
      <c r="X4253" s="1229"/>
      <c r="Y4253" s="1229"/>
      <c r="Z4253" s="1229"/>
      <c r="AA4253" s="1229"/>
      <c r="AB4253" s="1229"/>
      <c r="AC4253" s="1229"/>
      <c r="AD4253" s="1229"/>
      <c r="AE4253" s="1229"/>
      <c r="AF4253" s="1229"/>
      <c r="AG4253" s="1229"/>
      <c r="AH4253" s="1229"/>
      <c r="AI4253" s="1229"/>
      <c r="AJ4253" s="1229"/>
      <c r="AK4253" s="1229"/>
      <c r="AL4253" s="1229"/>
      <c r="AM4253" s="1229"/>
      <c r="AN4253" s="1229"/>
      <c r="AO4253" s="1229"/>
      <c r="AP4253" s="1229"/>
      <c r="AQ4253" s="1229"/>
      <c r="AR4253" s="1229"/>
      <c r="AS4253" s="1229"/>
      <c r="AT4253" s="1229"/>
      <c r="AU4253" s="1229"/>
      <c r="AV4253" s="1229"/>
      <c r="AW4253" s="1229"/>
      <c r="AX4253" s="1229"/>
      <c r="AY4253" s="1229"/>
      <c r="AZ4253" s="1229"/>
      <c r="BA4253" s="1229"/>
      <c r="BB4253" s="1229"/>
      <c r="BC4253" s="1229"/>
      <c r="BD4253" s="1229"/>
      <c r="BE4253" s="1229"/>
      <c r="BF4253" s="1229"/>
      <c r="BG4253" s="1229"/>
      <c r="BH4253" s="1229"/>
      <c r="BI4253" s="1229"/>
      <c r="BJ4253" s="1229"/>
      <c r="BK4253" s="1229"/>
      <c r="BL4253" s="1229"/>
      <c r="BM4253" s="1229"/>
      <c r="BN4253" s="1229"/>
      <c r="BO4253" s="1229"/>
      <c r="BP4253" s="1229"/>
      <c r="BQ4253" s="1229"/>
      <c r="BR4253" s="1229"/>
      <c r="BS4253" s="1229"/>
      <c r="BT4253" s="1229"/>
      <c r="BU4253" s="1229"/>
      <c r="BV4253" s="1229"/>
      <c r="BW4253" s="1229"/>
      <c r="BX4253" s="1229"/>
      <c r="BY4253" s="1229"/>
      <c r="BZ4253" s="1229"/>
      <c r="CA4253" s="1229"/>
      <c r="CB4253" s="1229"/>
      <c r="CC4253" s="1229"/>
      <c r="CD4253" s="1229"/>
      <c r="CE4253" s="1229"/>
      <c r="CF4253" s="1229"/>
      <c r="CG4253" s="1229"/>
      <c r="CH4253" s="1229"/>
      <c r="CI4253" s="1229"/>
      <c r="CJ4253" s="1229"/>
      <c r="CK4253" s="1229"/>
      <c r="CL4253" s="1229"/>
      <c r="CM4253" s="1229"/>
      <c r="CN4253" s="1229"/>
      <c r="CO4253" s="1229"/>
      <c r="CP4253" s="1229"/>
      <c r="CQ4253" s="1229"/>
      <c r="CR4253" s="1229"/>
      <c r="CS4253" s="1229"/>
      <c r="CT4253" s="1229"/>
      <c r="CU4253" s="1229"/>
      <c r="CV4253" s="1229"/>
      <c r="CW4253" s="1229"/>
      <c r="CX4253" s="1229"/>
      <c r="CY4253" s="1229"/>
      <c r="CZ4253" s="1229"/>
      <c r="DA4253" s="1229"/>
      <c r="DB4253" s="1229"/>
      <c r="DC4253" s="1229"/>
      <c r="DD4253" s="1229"/>
      <c r="DE4253" s="1229"/>
      <c r="DF4253" s="1229"/>
      <c r="DG4253" s="1229"/>
      <c r="DH4253" s="1229"/>
      <c r="DI4253" s="1229"/>
      <c r="DJ4253" s="1229"/>
      <c r="DK4253" s="1229"/>
      <c r="DL4253" s="1229"/>
      <c r="DM4253" s="1229"/>
      <c r="DN4253" s="1229"/>
    </row>
    <row r="4254" spans="1:118" s="49" customFormat="1" ht="15" customHeight="1">
      <c r="A4254" s="1221"/>
      <c r="B4254" s="1232"/>
      <c r="C4254" s="1224"/>
      <c r="D4254" s="1224"/>
      <c r="E4254" s="1881"/>
      <c r="F4254" s="1230"/>
      <c r="G4254" s="1229"/>
      <c r="H4254" s="1229"/>
      <c r="I4254" s="1229"/>
      <c r="J4254" s="1229"/>
      <c r="K4254" s="1229"/>
      <c r="L4254" s="1229"/>
      <c r="M4254" s="1229"/>
      <c r="N4254" s="1229"/>
      <c r="O4254" s="1229"/>
      <c r="P4254" s="1229"/>
      <c r="Q4254" s="1229"/>
      <c r="R4254" s="1229"/>
      <c r="S4254" s="1229"/>
      <c r="T4254" s="1229"/>
      <c r="U4254" s="1229"/>
      <c r="V4254" s="1229"/>
      <c r="W4254" s="1229"/>
      <c r="X4254" s="1229"/>
      <c r="Y4254" s="1229"/>
      <c r="Z4254" s="1229"/>
      <c r="AA4254" s="1229"/>
      <c r="AB4254" s="1229"/>
      <c r="AC4254" s="1229"/>
      <c r="AD4254" s="1229"/>
      <c r="AE4254" s="1229"/>
      <c r="AF4254" s="1229"/>
      <c r="AG4254" s="1229"/>
      <c r="AH4254" s="1229"/>
      <c r="AI4254" s="1229"/>
      <c r="AJ4254" s="1229"/>
      <c r="AK4254" s="1229"/>
      <c r="AL4254" s="1229"/>
      <c r="AM4254" s="1229"/>
      <c r="AN4254" s="1229"/>
      <c r="AO4254" s="1229"/>
      <c r="AP4254" s="1229"/>
      <c r="AQ4254" s="1229"/>
      <c r="AR4254" s="1229"/>
      <c r="AS4254" s="1229"/>
      <c r="AT4254" s="1229"/>
      <c r="AU4254" s="1229"/>
      <c r="AV4254" s="1229"/>
      <c r="AW4254" s="1229"/>
      <c r="AX4254" s="1229"/>
      <c r="AY4254" s="1229"/>
      <c r="AZ4254" s="1229"/>
      <c r="BA4254" s="1229"/>
      <c r="BB4254" s="1229"/>
      <c r="BC4254" s="1229"/>
      <c r="BD4254" s="1229"/>
      <c r="BE4254" s="1229"/>
      <c r="BF4254" s="1229"/>
      <c r="BG4254" s="1229"/>
      <c r="BH4254" s="1229"/>
      <c r="BI4254" s="1229"/>
      <c r="BJ4254" s="1229"/>
      <c r="BK4254" s="1229"/>
      <c r="BL4254" s="1229"/>
      <c r="BM4254" s="1229"/>
      <c r="BN4254" s="1229"/>
      <c r="BO4254" s="1229"/>
      <c r="BP4254" s="1229"/>
      <c r="BQ4254" s="1229"/>
      <c r="BR4254" s="1229"/>
      <c r="BS4254" s="1229"/>
      <c r="BT4254" s="1229"/>
      <c r="BU4254" s="1229"/>
      <c r="BV4254" s="1229"/>
      <c r="BW4254" s="1229"/>
      <c r="BX4254" s="1229"/>
      <c r="BY4254" s="1229"/>
      <c r="BZ4254" s="1229"/>
      <c r="CA4254" s="1229"/>
      <c r="CB4254" s="1229"/>
      <c r="CC4254" s="1229"/>
      <c r="CD4254" s="1229"/>
      <c r="CE4254" s="1229"/>
      <c r="CF4254" s="1229"/>
      <c r="CG4254" s="1229"/>
      <c r="CH4254" s="1229"/>
      <c r="CI4254" s="1229"/>
      <c r="CJ4254" s="1229"/>
      <c r="CK4254" s="1229"/>
      <c r="CL4254" s="1229"/>
      <c r="CM4254" s="1229"/>
      <c r="CN4254" s="1229"/>
      <c r="CO4254" s="1229"/>
      <c r="CP4254" s="1229"/>
      <c r="CQ4254" s="1229"/>
      <c r="CR4254" s="1229"/>
      <c r="CS4254" s="1229"/>
      <c r="CT4254" s="1229"/>
      <c r="CU4254" s="1229"/>
      <c r="CV4254" s="1229"/>
      <c r="CW4254" s="1229"/>
      <c r="CX4254" s="1229"/>
      <c r="CY4254" s="1229"/>
      <c r="CZ4254" s="1229"/>
      <c r="DA4254" s="1229"/>
      <c r="DB4254" s="1229"/>
      <c r="DC4254" s="1229"/>
      <c r="DD4254" s="1229"/>
      <c r="DE4254" s="1229"/>
      <c r="DF4254" s="1229"/>
      <c r="DG4254" s="1229"/>
      <c r="DH4254" s="1229"/>
      <c r="DI4254" s="1229"/>
      <c r="DJ4254" s="1229"/>
      <c r="DK4254" s="1229"/>
      <c r="DL4254" s="1229"/>
      <c r="DM4254" s="1229"/>
      <c r="DN4254" s="1229"/>
    </row>
    <row r="4255" spans="1:118" s="354" customFormat="1" ht="15" customHeight="1">
      <c r="A4255" s="1224" t="s">
        <v>4935</v>
      </c>
      <c r="B4255" s="1232">
        <v>6</v>
      </c>
      <c r="C4255" s="1224" t="s">
        <v>4936</v>
      </c>
      <c r="D4255" s="1224" t="s">
        <v>4937</v>
      </c>
      <c r="E4255" s="1880">
        <f t="shared" ref="E4255:E4261" si="131">ROUNDUP(F4255*1.2,0)</f>
        <v>612</v>
      </c>
      <c r="F4255" s="354">
        <v>510</v>
      </c>
    </row>
    <row r="4256" spans="1:118" s="354" customFormat="1" ht="15" customHeight="1">
      <c r="A4256" s="1224" t="s">
        <v>4935</v>
      </c>
      <c r="B4256" s="1232">
        <v>8</v>
      </c>
      <c r="C4256" s="1224" t="s">
        <v>4936</v>
      </c>
      <c r="D4256" s="1224" t="s">
        <v>4937</v>
      </c>
      <c r="E4256" s="1880">
        <f t="shared" si="131"/>
        <v>648</v>
      </c>
      <c r="F4256" s="354">
        <v>540</v>
      </c>
    </row>
    <row r="4257" spans="1:6" s="354" customFormat="1" ht="15" customHeight="1">
      <c r="A4257" s="1224" t="s">
        <v>4935</v>
      </c>
      <c r="B4257" s="1232">
        <v>13</v>
      </c>
      <c r="C4257" s="1224" t="s">
        <v>4936</v>
      </c>
      <c r="D4257" s="1224" t="s">
        <v>4937</v>
      </c>
      <c r="E4257" s="1880">
        <f t="shared" si="131"/>
        <v>828</v>
      </c>
      <c r="F4257" s="354">
        <v>690</v>
      </c>
    </row>
    <row r="4258" spans="1:6" s="354" customFormat="1" ht="15" customHeight="1">
      <c r="A4258" s="1224" t="s">
        <v>4935</v>
      </c>
      <c r="B4258" s="1232">
        <v>18</v>
      </c>
      <c r="C4258" s="1224" t="s">
        <v>4936</v>
      </c>
      <c r="D4258" s="1224" t="s">
        <v>4937</v>
      </c>
      <c r="E4258" s="1880">
        <f t="shared" si="131"/>
        <v>1404</v>
      </c>
      <c r="F4258" s="354">
        <v>1170</v>
      </c>
    </row>
    <row r="4259" spans="1:6" s="354" customFormat="1" ht="15" customHeight="1">
      <c r="A4259" s="1224" t="s">
        <v>4935</v>
      </c>
      <c r="B4259" s="1232">
        <v>24</v>
      </c>
      <c r="C4259" s="1224" t="s">
        <v>4936</v>
      </c>
      <c r="D4259" s="1224" t="s">
        <v>4937</v>
      </c>
      <c r="E4259" s="1880">
        <f t="shared" si="131"/>
        <v>1728</v>
      </c>
      <c r="F4259" s="354">
        <v>1440</v>
      </c>
    </row>
    <row r="4260" spans="1:6" s="354" customFormat="1" ht="15" customHeight="1">
      <c r="A4260" s="1224" t="s">
        <v>4938</v>
      </c>
      <c r="B4260" s="1232"/>
      <c r="C4260" s="1224" t="s">
        <v>4939</v>
      </c>
      <c r="D4260" s="1224" t="s">
        <v>4940</v>
      </c>
      <c r="E4260" s="1880">
        <f t="shared" si="131"/>
        <v>5220</v>
      </c>
      <c r="F4260" s="354">
        <v>4350</v>
      </c>
    </row>
    <row r="4261" spans="1:6" s="354" customFormat="1" ht="15" customHeight="1">
      <c r="A4261" s="1224" t="s">
        <v>4942</v>
      </c>
      <c r="B4261" s="1232"/>
      <c r="C4261" s="1224" t="s">
        <v>4939</v>
      </c>
      <c r="D4261" s="1224" t="s">
        <v>4943</v>
      </c>
      <c r="E4261" s="1880">
        <f t="shared" si="131"/>
        <v>6156</v>
      </c>
      <c r="F4261" s="354">
        <v>5130</v>
      </c>
    </row>
    <row r="4266" spans="1:6">
      <c r="A4266" s="289" t="s">
        <v>99</v>
      </c>
      <c r="B4266" s="289" t="s">
        <v>45</v>
      </c>
      <c r="C4266" s="289" t="s">
        <v>18</v>
      </c>
      <c r="D4266" s="1418" t="s">
        <v>3604</v>
      </c>
      <c r="E4266" s="1418" t="s">
        <v>3739</v>
      </c>
    </row>
    <row r="4267" spans="1:6">
      <c r="A4267" s="1674" t="s">
        <v>4946</v>
      </c>
      <c r="B4267" s="41" t="s">
        <v>4661</v>
      </c>
      <c r="C4267" s="298">
        <v>2</v>
      </c>
      <c r="D4267" s="1181">
        <v>1.02</v>
      </c>
      <c r="E4267" s="1276">
        <f>D4267*C4267</f>
        <v>2.04</v>
      </c>
    </row>
    <row r="4268" spans="1:6">
      <c r="A4268" s="1674" t="s">
        <v>4947</v>
      </c>
      <c r="B4268" s="41" t="s">
        <v>4661</v>
      </c>
      <c r="C4268" s="298">
        <v>2</v>
      </c>
      <c r="D4268" s="1181">
        <v>1.97</v>
      </c>
      <c r="E4268" s="1276">
        <f>D4268*C4268</f>
        <v>3.94</v>
      </c>
    </row>
    <row r="4269" spans="1:6">
      <c r="A4269" s="1674" t="s">
        <v>111</v>
      </c>
      <c r="B4269" s="41" t="s">
        <v>4661</v>
      </c>
      <c r="C4269" s="298">
        <v>2</v>
      </c>
      <c r="D4269" s="1181">
        <v>1.49</v>
      </c>
      <c r="E4269" s="1276">
        <f>D4269*C4269</f>
        <v>2.98</v>
      </c>
    </row>
    <row r="4270" spans="1:6">
      <c r="A4270" s="1674" t="s">
        <v>293</v>
      </c>
      <c r="B4270" s="41" t="s">
        <v>4661</v>
      </c>
      <c r="C4270" s="298">
        <v>2</v>
      </c>
      <c r="D4270" s="1181">
        <v>2.5</v>
      </c>
      <c r="E4270" s="1276">
        <f>D4270*C4270</f>
        <v>5</v>
      </c>
    </row>
    <row r="4271" spans="1:6">
      <c r="A4271" s="1674" t="s">
        <v>2469</v>
      </c>
      <c r="B4271" s="41" t="s">
        <v>4661</v>
      </c>
      <c r="C4271" s="298">
        <v>2</v>
      </c>
      <c r="D4271" s="1181">
        <v>2.68</v>
      </c>
      <c r="E4271" s="1276">
        <f>D4271*C4271</f>
        <v>5.36</v>
      </c>
    </row>
    <row r="4272" spans="1:6">
      <c r="A4272" s="41"/>
      <c r="B4272" s="136" t="s">
        <v>218</v>
      </c>
      <c r="C4272" s="292">
        <v>1</v>
      </c>
      <c r="D4272" s="1181">
        <v>24</v>
      </c>
      <c r="E4272" s="1276">
        <f t="shared" ref="E4272" si="132">D4272*C4272</f>
        <v>24</v>
      </c>
    </row>
    <row r="4275" spans="1:8" ht="13.5" customHeight="1">
      <c r="A4275" s="1485" t="s">
        <v>4957</v>
      </c>
    </row>
    <row r="4276" spans="1:8" ht="13.5" customHeight="1">
      <c r="A4276" s="295" t="s">
        <v>192</v>
      </c>
      <c r="B4276" s="295" t="s">
        <v>18</v>
      </c>
      <c r="C4276" s="1421" t="s">
        <v>4948</v>
      </c>
      <c r="D4276" s="1421" t="s">
        <v>176</v>
      </c>
      <c r="E4276" s="1547" t="s">
        <v>4949</v>
      </c>
      <c r="F4276" s="1547" t="s">
        <v>4370</v>
      </c>
      <c r="G4276" s="1547" t="s">
        <v>1843</v>
      </c>
    </row>
    <row r="4277" spans="1:8" ht="13.5" customHeight="1">
      <c r="A4277" s="302" t="s">
        <v>4952</v>
      </c>
      <c r="B4277" s="1805" t="s">
        <v>4646</v>
      </c>
      <c r="C4277" s="1405">
        <f>ROUNDUP(E4277/0.75/140,2)</f>
        <v>24.770000000000003</v>
      </c>
      <c r="D4277" s="1808" t="s">
        <v>4950</v>
      </c>
      <c r="E4277" s="1882">
        <f>2300+300</f>
        <v>2600</v>
      </c>
      <c r="F4277" s="1883">
        <f>(C4277-(E4277/G4277))/C4277</f>
        <v>0.25024511217486595</v>
      </c>
      <c r="G4277">
        <v>140</v>
      </c>
      <c r="H4277" s="161"/>
    </row>
    <row r="4278" spans="1:8" ht="13.5" customHeight="1">
      <c r="A4278" s="302" t="s">
        <v>4952</v>
      </c>
      <c r="B4278" s="1805" t="s">
        <v>4953</v>
      </c>
      <c r="C4278" s="1405">
        <f>ROUNDUP(E4278/0.75/140,2)</f>
        <v>21.91</v>
      </c>
      <c r="D4278" s="1808" t="s">
        <v>4951</v>
      </c>
      <c r="E4278" s="1882">
        <v>2300</v>
      </c>
      <c r="F4278" s="1883">
        <f>(C4278-(E4278/G4278))/C4278</f>
        <v>0.25017930494881668</v>
      </c>
      <c r="G4278">
        <v>140</v>
      </c>
      <c r="H4278" s="1884"/>
    </row>
    <row r="4279" spans="1:8" ht="13.5" customHeight="1">
      <c r="A4279" s="302" t="s">
        <v>4954</v>
      </c>
      <c r="B4279" s="1805" t="s">
        <v>4955</v>
      </c>
      <c r="C4279" s="1405">
        <f>ROUNDUP(E4279/0.75/140,2)</f>
        <v>23.34</v>
      </c>
      <c r="D4279" s="1808" t="s">
        <v>4950</v>
      </c>
      <c r="E4279" s="1882">
        <f>2150+300</f>
        <v>2450</v>
      </c>
      <c r="F4279" s="1883">
        <f>(C4279-(E4279/G4279))/C4279</f>
        <v>0.25021422450728364</v>
      </c>
      <c r="G4279">
        <v>140</v>
      </c>
      <c r="H4279" s="161"/>
    </row>
    <row r="4280" spans="1:8" ht="13.5" customHeight="1">
      <c r="A4280" s="302" t="s">
        <v>4954</v>
      </c>
      <c r="B4280" s="1805" t="s">
        <v>4956</v>
      </c>
      <c r="C4280" s="1405">
        <f>ROUNDUP(E4280/0.75/140,2)</f>
        <v>20.48</v>
      </c>
      <c r="D4280" s="1808" t="s">
        <v>4951</v>
      </c>
      <c r="E4280" s="1882">
        <v>2150</v>
      </c>
      <c r="F4280" s="1883">
        <f>(C4280-(E4280/G4280))/C4280</f>
        <v>0.2501395089285714</v>
      </c>
      <c r="G4280">
        <v>140</v>
      </c>
      <c r="H4280" s="1884"/>
    </row>
    <row r="4283" spans="1:8">
      <c r="A4283" s="289" t="s">
        <v>99</v>
      </c>
      <c r="B4283" s="289" t="s">
        <v>45</v>
      </c>
      <c r="C4283" s="289" t="s">
        <v>18</v>
      </c>
      <c r="D4283" s="1418" t="s">
        <v>3604</v>
      </c>
    </row>
    <row r="4284" spans="1:8">
      <c r="A4284" s="302" t="s">
        <v>293</v>
      </c>
      <c r="B4284" s="41" t="s">
        <v>4661</v>
      </c>
      <c r="C4284" s="298">
        <v>10</v>
      </c>
      <c r="D4284" s="1181">
        <v>2.5</v>
      </c>
    </row>
    <row r="4285" spans="1:8">
      <c r="A4285" s="41"/>
      <c r="B4285" s="136" t="s">
        <v>218</v>
      </c>
      <c r="C4285" s="292">
        <v>1</v>
      </c>
      <c r="D4285" s="1181">
        <v>12</v>
      </c>
    </row>
    <row r="4288" spans="1:8" ht="15">
      <c r="A4288" s="1872" t="s">
        <v>4959</v>
      </c>
      <c r="B4288" s="1872"/>
      <c r="C4288" s="1872"/>
      <c r="D4288" s="1872"/>
      <c r="E4288" s="1872"/>
      <c r="F4288" s="1872"/>
    </row>
    <row r="4289" spans="1:8">
      <c r="A4289" s="289" t="s">
        <v>99</v>
      </c>
      <c r="B4289" s="289" t="s">
        <v>16</v>
      </c>
      <c r="C4289" s="1885" t="s">
        <v>2</v>
      </c>
      <c r="D4289" s="1886" t="s">
        <v>4961</v>
      </c>
      <c r="E4289" s="1418" t="s">
        <v>3604</v>
      </c>
      <c r="G4289" s="1547" t="s">
        <v>3909</v>
      </c>
      <c r="H4289" s="161" t="s">
        <v>1843</v>
      </c>
    </row>
    <row r="4290" spans="1:8">
      <c r="A4290" s="41" t="s">
        <v>4960</v>
      </c>
      <c r="B4290" s="1576">
        <v>9</v>
      </c>
      <c r="C4290" s="1887" t="s">
        <v>4971</v>
      </c>
      <c r="D4290" s="1888" t="s">
        <v>4972</v>
      </c>
      <c r="E4290" s="1876">
        <v>0.89</v>
      </c>
      <c r="F4290" s="1810">
        <v>62</v>
      </c>
      <c r="G4290" s="1874">
        <f>(E4290-(F4290/H4290))/E4290</f>
        <v>0.5024077046548957</v>
      </c>
      <c r="H4290" s="161">
        <v>140</v>
      </c>
    </row>
    <row r="4294" spans="1:8">
      <c r="A4294" s="266" t="s">
        <v>4962</v>
      </c>
    </row>
    <row r="4295" spans="1:8">
      <c r="A4295" s="266" t="s">
        <v>4963</v>
      </c>
    </row>
    <row r="4296" spans="1:8">
      <c r="A4296" s="266" t="s">
        <v>4964</v>
      </c>
    </row>
    <row r="4297" spans="1:8">
      <c r="A4297" s="266" t="s">
        <v>4965</v>
      </c>
    </row>
    <row r="4298" spans="1:8">
      <c r="A4298" s="266" t="s">
        <v>4966</v>
      </c>
    </row>
    <row r="4299" spans="1:8">
      <c r="A4299" s="266" t="s">
        <v>4967</v>
      </c>
    </row>
    <row r="4300" spans="1:8">
      <c r="A4300" s="266" t="s">
        <v>4968</v>
      </c>
    </row>
    <row r="4301" spans="1:8">
      <c r="A4301" s="266" t="s">
        <v>4969</v>
      </c>
    </row>
    <row r="4302" spans="1:8">
      <c r="A4302" s="266" t="s">
        <v>4970</v>
      </c>
    </row>
    <row r="4305" spans="1:8">
      <c r="A4305" s="289" t="s">
        <v>99</v>
      </c>
      <c r="B4305" s="289" t="s">
        <v>16</v>
      </c>
      <c r="C4305" s="289" t="s">
        <v>45</v>
      </c>
      <c r="D4305" s="289" t="s">
        <v>18</v>
      </c>
      <c r="E4305" s="1418" t="s">
        <v>3604</v>
      </c>
      <c r="F4305" s="1418" t="s">
        <v>3739</v>
      </c>
    </row>
    <row r="4306" spans="1:8">
      <c r="A4306" s="302">
        <v>3844</v>
      </c>
      <c r="B4306" s="1264">
        <v>9</v>
      </c>
      <c r="C4306" s="41" t="s">
        <v>4974</v>
      </c>
      <c r="D4306" s="298">
        <v>25</v>
      </c>
      <c r="E4306" s="1181">
        <v>0.89</v>
      </c>
      <c r="F4306" s="1276">
        <f>E4306*D4306</f>
        <v>22.25</v>
      </c>
    </row>
    <row r="4307" spans="1:8">
      <c r="A4307" s="41"/>
      <c r="B4307" s="136"/>
      <c r="C4307" s="136" t="s">
        <v>4587</v>
      </c>
      <c r="D4307" s="292">
        <v>1</v>
      </c>
      <c r="E4307" s="1181">
        <v>225</v>
      </c>
      <c r="F4307" s="1276">
        <f>E4307*D4307</f>
        <v>225</v>
      </c>
    </row>
    <row r="4308" spans="1:8">
      <c r="A4308" s="41"/>
      <c r="B4308" s="136"/>
      <c r="C4308" s="136"/>
      <c r="D4308" s="292"/>
      <c r="E4308" s="1704" t="s">
        <v>4975</v>
      </c>
      <c r="F4308" s="1889">
        <f>SUM(F4306:F4307)</f>
        <v>247.25</v>
      </c>
    </row>
    <row r="4309" spans="1:8">
      <c r="A4309" s="1485"/>
      <c r="B4309" s="1208"/>
      <c r="C4309" s="1208"/>
      <c r="D4309" s="1209"/>
      <c r="E4309" s="1890"/>
      <c r="F4309" s="1891"/>
    </row>
    <row r="4310" spans="1:8">
      <c r="A4310" s="1485"/>
      <c r="B4310" s="1208"/>
      <c r="C4310" s="1208"/>
      <c r="D4310" s="1209"/>
      <c r="E4310" s="1890"/>
      <c r="F4310" s="1891"/>
    </row>
    <row r="4311" spans="1:8">
      <c r="A4311" s="1485"/>
      <c r="B4311" s="1208"/>
      <c r="C4311" s="1208"/>
      <c r="D4311" s="1209"/>
      <c r="E4311" s="1890"/>
      <c r="F4311" s="1891"/>
    </row>
    <row r="4313" spans="1:8">
      <c r="A4313" s="289" t="s">
        <v>99</v>
      </c>
      <c r="B4313" s="289" t="s">
        <v>16</v>
      </c>
      <c r="C4313" s="289" t="s">
        <v>45</v>
      </c>
      <c r="D4313" s="289" t="s">
        <v>163</v>
      </c>
      <c r="E4313" s="289" t="s">
        <v>197</v>
      </c>
      <c r="F4313" s="289" t="s">
        <v>198</v>
      </c>
      <c r="G4313" s="1541" t="s">
        <v>242</v>
      </c>
      <c r="H4313" s="1606" t="s">
        <v>3739</v>
      </c>
    </row>
    <row r="4314" spans="1:8">
      <c r="A4314" s="1400" t="s">
        <v>4973</v>
      </c>
      <c r="B4314" s="42"/>
      <c r="C4314" s="41"/>
      <c r="D4314" s="298"/>
      <c r="E4314" s="299"/>
      <c r="F4314" s="298"/>
      <c r="G4314" s="44"/>
      <c r="H4314" s="33"/>
    </row>
    <row r="4315" spans="1:8">
      <c r="A4315" s="302">
        <v>3844</v>
      </c>
      <c r="B4315" s="1264">
        <v>9</v>
      </c>
      <c r="C4315" s="41" t="s">
        <v>4976</v>
      </c>
      <c r="D4315" s="296">
        <v>30</v>
      </c>
      <c r="E4315" s="297">
        <v>1</v>
      </c>
      <c r="F4315" s="298">
        <f>D4315*E4315</f>
        <v>30</v>
      </c>
      <c r="G4315" s="1181">
        <v>0.89</v>
      </c>
      <c r="H4315" s="1276">
        <f>G4315*F4315</f>
        <v>26.7</v>
      </c>
    </row>
    <row r="4316" spans="1:8">
      <c r="A4316" s="302">
        <v>3844</v>
      </c>
      <c r="B4316" s="1264">
        <v>9</v>
      </c>
      <c r="C4316" s="41" t="s">
        <v>4977</v>
      </c>
      <c r="D4316" s="296">
        <v>30</v>
      </c>
      <c r="E4316" s="297">
        <v>1</v>
      </c>
      <c r="F4316" s="298">
        <f>D4316*E4316</f>
        <v>30</v>
      </c>
      <c r="G4316" s="1181">
        <v>0.89</v>
      </c>
      <c r="H4316" s="1276">
        <f>G4316*F4316</f>
        <v>26.7</v>
      </c>
    </row>
    <row r="4317" spans="1:8">
      <c r="A4317" s="41" t="s">
        <v>4981</v>
      </c>
      <c r="B4317" s="1264">
        <v>9</v>
      </c>
      <c r="C4317" s="136" t="s">
        <v>4983</v>
      </c>
      <c r="D4317" s="292"/>
      <c r="E4317" s="297"/>
      <c r="F4317" s="292">
        <v>1</v>
      </c>
      <c r="G4317" s="1181">
        <v>90</v>
      </c>
      <c r="H4317" s="1276">
        <f t="shared" ref="H4317" si="133">G4317*F4317</f>
        <v>90</v>
      </c>
    </row>
    <row r="4318" spans="1:8">
      <c r="A4318" s="41"/>
      <c r="B4318" s="1264"/>
      <c r="C4318" s="136"/>
      <c r="D4318" s="292"/>
      <c r="E4318" s="297"/>
      <c r="F4318" s="292"/>
      <c r="G4318" s="1181"/>
      <c r="H4318" s="1276"/>
    </row>
    <row r="4319" spans="1:8">
      <c r="A4319" s="1400" t="s">
        <v>4978</v>
      </c>
      <c r="B4319" s="42"/>
      <c r="C4319" s="41"/>
      <c r="D4319" s="298"/>
      <c r="E4319" s="299"/>
      <c r="F4319" s="298"/>
      <c r="G4319" s="44"/>
      <c r="H4319" s="33"/>
    </row>
    <row r="4320" spans="1:8">
      <c r="A4320" s="302" t="s">
        <v>4979</v>
      </c>
      <c r="B4320" s="1264">
        <v>9</v>
      </c>
      <c r="C4320" s="41" t="s">
        <v>4977</v>
      </c>
      <c r="D4320" s="296">
        <v>30</v>
      </c>
      <c r="E4320" s="297">
        <v>1</v>
      </c>
      <c r="F4320" s="298">
        <f>D4320*E4320</f>
        <v>30</v>
      </c>
      <c r="G4320" s="1181">
        <v>0.35</v>
      </c>
      <c r="H4320" s="1276">
        <f>G4320*F4320</f>
        <v>10.5</v>
      </c>
    </row>
    <row r="4321" spans="1:9">
      <c r="A4321" s="302" t="s">
        <v>4979</v>
      </c>
      <c r="B4321" s="1264">
        <v>9</v>
      </c>
      <c r="C4321" s="41" t="s">
        <v>4980</v>
      </c>
      <c r="D4321" s="296">
        <v>30</v>
      </c>
      <c r="E4321" s="297">
        <v>1</v>
      </c>
      <c r="F4321" s="298">
        <f>D4321*E4321</f>
        <v>30</v>
      </c>
      <c r="G4321" s="1181">
        <v>0.35</v>
      </c>
      <c r="H4321" s="1276">
        <f>G4321*F4321</f>
        <v>10.5</v>
      </c>
    </row>
    <row r="4322" spans="1:9">
      <c r="A4322" s="41"/>
      <c r="B4322" s="136"/>
      <c r="C4322" s="136" t="s">
        <v>218</v>
      </c>
      <c r="D4322" s="292"/>
      <c r="E4322" s="297"/>
      <c r="F4322" s="292">
        <v>1</v>
      </c>
      <c r="G4322" s="1181">
        <v>12</v>
      </c>
      <c r="H4322" s="1276">
        <f t="shared" ref="H4322" si="134">G4322*F4322</f>
        <v>12</v>
      </c>
    </row>
    <row r="4323" spans="1:9">
      <c r="A4323" s="41"/>
      <c r="B4323" s="136"/>
      <c r="C4323" s="136"/>
      <c r="D4323" s="292"/>
      <c r="E4323" s="297"/>
      <c r="F4323" s="292"/>
      <c r="G4323" s="1704" t="s">
        <v>4982</v>
      </c>
      <c r="H4323" s="1605">
        <f>SUM(H4315:H4322)</f>
        <v>176.4</v>
      </c>
    </row>
    <row r="4326" spans="1:9" ht="15">
      <c r="A4326" s="1872" t="s">
        <v>4986</v>
      </c>
      <c r="B4326" s="1872"/>
      <c r="C4326" s="1872"/>
      <c r="D4326" s="1872"/>
      <c r="E4326" s="1872"/>
      <c r="F4326" s="1872"/>
    </row>
    <row r="4327" spans="1:9" ht="25.5">
      <c r="A4327" s="289" t="s">
        <v>99</v>
      </c>
      <c r="B4327" s="289" t="s">
        <v>45</v>
      </c>
      <c r="C4327" s="289" t="s">
        <v>4914</v>
      </c>
      <c r="D4327" s="1418" t="s">
        <v>3604</v>
      </c>
      <c r="E4327" s="1408" t="s">
        <v>4471</v>
      </c>
      <c r="F4327" s="1418" t="s">
        <v>4991</v>
      </c>
      <c r="H4327" s="1547" t="s">
        <v>3909</v>
      </c>
      <c r="I4327" s="161" t="s">
        <v>1843</v>
      </c>
    </row>
    <row r="4328" spans="1:9">
      <c r="A4328" s="41" t="s">
        <v>4987</v>
      </c>
      <c r="B4328" s="41" t="s">
        <v>200</v>
      </c>
      <c r="C4328" s="298">
        <v>10</v>
      </c>
      <c r="D4328" s="1876">
        <f>ROUNDUP(G4328/0.6/140,2)</f>
        <v>1.79</v>
      </c>
      <c r="E4328" s="1863" t="s">
        <v>4840</v>
      </c>
      <c r="F4328" s="1873" t="s">
        <v>4992</v>
      </c>
      <c r="G4328" s="1810">
        <v>150</v>
      </c>
      <c r="H4328" s="1874">
        <f t="shared" ref="H4328:H4333" si="135">(D4328-(G4328/I4328))/D4328</f>
        <v>0.40143655227454111</v>
      </c>
      <c r="I4328" s="161">
        <v>140</v>
      </c>
    </row>
    <row r="4329" spans="1:9">
      <c r="A4329" s="41" t="s">
        <v>4987</v>
      </c>
      <c r="B4329" s="41" t="s">
        <v>4917</v>
      </c>
      <c r="C4329" s="328" t="s">
        <v>4990</v>
      </c>
      <c r="D4329" s="1876" t="s">
        <v>4990</v>
      </c>
      <c r="E4329" s="1755" t="s">
        <v>149</v>
      </c>
      <c r="F4329" s="1875" t="s">
        <v>231</v>
      </c>
      <c r="G4329" s="1810"/>
      <c r="H4329" s="1874" t="e">
        <f t="shared" si="135"/>
        <v>#VALUE!</v>
      </c>
      <c r="I4329" s="161">
        <v>140</v>
      </c>
    </row>
    <row r="4330" spans="1:9">
      <c r="A4330" s="41" t="s">
        <v>4988</v>
      </c>
      <c r="B4330" s="41" t="s">
        <v>200</v>
      </c>
      <c r="C4330" s="298">
        <v>10</v>
      </c>
      <c r="D4330" s="1876">
        <f>ROUNDUP(G4330/0.6/140,2)</f>
        <v>2.86</v>
      </c>
      <c r="E4330" s="1863" t="s">
        <v>4840</v>
      </c>
      <c r="F4330" s="1873" t="s">
        <v>4993</v>
      </c>
      <c r="G4330" s="1810">
        <v>240</v>
      </c>
      <c r="H4330" s="1874">
        <f t="shared" si="135"/>
        <v>0.40059940059940058</v>
      </c>
      <c r="I4330" s="161">
        <v>140</v>
      </c>
    </row>
    <row r="4331" spans="1:9">
      <c r="A4331" s="41" t="s">
        <v>4988</v>
      </c>
      <c r="B4331" s="41" t="s">
        <v>4917</v>
      </c>
      <c r="C4331" s="328" t="s">
        <v>4990</v>
      </c>
      <c r="D4331" s="1876" t="s">
        <v>4990</v>
      </c>
      <c r="E4331" s="1755" t="s">
        <v>149</v>
      </c>
      <c r="F4331" s="1875" t="s">
        <v>231</v>
      </c>
      <c r="G4331" s="1810"/>
      <c r="H4331" s="1874" t="e">
        <f t="shared" si="135"/>
        <v>#VALUE!</v>
      </c>
      <c r="I4331" s="161">
        <v>140</v>
      </c>
    </row>
    <row r="4332" spans="1:9">
      <c r="A4332" s="41" t="s">
        <v>4989</v>
      </c>
      <c r="B4332" s="41" t="s">
        <v>200</v>
      </c>
      <c r="C4332" s="298">
        <v>10</v>
      </c>
      <c r="D4332" s="1876">
        <f>ROUNDUP(G4332/0.6/140,2)</f>
        <v>2.5299999999999998</v>
      </c>
      <c r="E4332" s="1863" t="s">
        <v>4840</v>
      </c>
      <c r="F4332" s="1873" t="s">
        <v>4994</v>
      </c>
      <c r="G4332" s="1810">
        <v>212</v>
      </c>
      <c r="H4332" s="1874">
        <f t="shared" si="135"/>
        <v>0.40146809712027098</v>
      </c>
      <c r="I4332" s="161">
        <v>140</v>
      </c>
    </row>
    <row r="4333" spans="1:9">
      <c r="A4333" s="41" t="s">
        <v>4989</v>
      </c>
      <c r="B4333" s="41" t="s">
        <v>4917</v>
      </c>
      <c r="C4333" s="328" t="s">
        <v>4990</v>
      </c>
      <c r="D4333" s="1876" t="s">
        <v>4990</v>
      </c>
      <c r="E4333" s="1755" t="s">
        <v>149</v>
      </c>
      <c r="F4333" s="1875" t="s">
        <v>231</v>
      </c>
      <c r="G4333" s="1810"/>
      <c r="H4333" s="1874" t="e">
        <f t="shared" si="135"/>
        <v>#VALUE!</v>
      </c>
      <c r="I4333" s="161">
        <v>140</v>
      </c>
    </row>
    <row r="4336" spans="1:9">
      <c r="A4336" s="1633" t="s">
        <v>5001</v>
      </c>
    </row>
    <row r="4337" spans="1:9" ht="14.25" thickBot="1"/>
    <row r="4338" spans="1:9" ht="14.25" thickBot="1">
      <c r="A4338" s="348" t="s">
        <v>40</v>
      </c>
      <c r="B4338" s="1631" t="s">
        <v>3654</v>
      </c>
      <c r="C4338" s="1631" t="s">
        <v>4135</v>
      </c>
      <c r="D4338" s="348" t="s">
        <v>4136</v>
      </c>
      <c r="E4338" s="1639" t="s">
        <v>3609</v>
      </c>
      <c r="F4338" s="1640" t="s">
        <v>3909</v>
      </c>
      <c r="G4338" s="1640" t="s">
        <v>1843</v>
      </c>
    </row>
    <row r="4339" spans="1:9" ht="15" thickBot="1">
      <c r="A4339" s="351" t="s">
        <v>4857</v>
      </c>
      <c r="B4339" s="1865" t="s">
        <v>4856</v>
      </c>
      <c r="C4339" s="1632" t="s">
        <v>4854</v>
      </c>
      <c r="D4339" s="1638">
        <f>ROUNDUP(E4339/0.75/140,2)</f>
        <v>21.53</v>
      </c>
      <c r="E4339" s="1641">
        <f>1960+300</f>
        <v>2260</v>
      </c>
      <c r="F4339" s="1642">
        <f>(D4339-(E4339/G4339))/D4339</f>
        <v>0.2502156459425387</v>
      </c>
      <c r="G4339" s="1643">
        <v>140</v>
      </c>
    </row>
    <row r="4340" spans="1:9" ht="15" thickBot="1">
      <c r="A4340" s="351" t="s">
        <v>4857</v>
      </c>
      <c r="B4340" s="1865" t="s">
        <v>4856</v>
      </c>
      <c r="C4340" s="1632" t="s">
        <v>4855</v>
      </c>
      <c r="D4340" s="1638">
        <f>ROUNDUP(E4340/0.75/140,2)</f>
        <v>18.670000000000002</v>
      </c>
      <c r="E4340" s="1641">
        <v>1960</v>
      </c>
      <c r="F4340" s="1642">
        <f>(D4340-(E4340/G4340))/D4340</f>
        <v>0.25013390465988222</v>
      </c>
      <c r="G4340" s="1643">
        <v>140</v>
      </c>
    </row>
    <row r="4341" spans="1:9" ht="15" thickBot="1">
      <c r="A4341" s="351" t="s">
        <v>4858</v>
      </c>
      <c r="B4341" s="1865" t="s">
        <v>4856</v>
      </c>
      <c r="C4341" s="1632" t="s">
        <v>4143</v>
      </c>
      <c r="D4341" s="1638">
        <f>ROUNDUP(E4341/0.75/140,2)</f>
        <v>21.53</v>
      </c>
      <c r="E4341" s="1641">
        <f>1960+300</f>
        <v>2260</v>
      </c>
      <c r="F4341" s="1642">
        <f>(D4341-(E4341/G4341))/D4341</f>
        <v>0.2502156459425387</v>
      </c>
      <c r="G4341" s="1643">
        <v>140</v>
      </c>
    </row>
    <row r="4342" spans="1:9" ht="15" thickBot="1">
      <c r="A4342" s="351" t="s">
        <v>4858</v>
      </c>
      <c r="B4342" s="1865" t="s">
        <v>4856</v>
      </c>
      <c r="C4342" s="1632" t="s">
        <v>4142</v>
      </c>
      <c r="D4342" s="1638">
        <f>ROUNDUP(E4342/0.75/140,2)</f>
        <v>18.670000000000002</v>
      </c>
      <c r="E4342" s="1641">
        <v>1960</v>
      </c>
      <c r="F4342" s="1642">
        <f>(D4342-(E4342/G4342))/D4342</f>
        <v>0.25013390465988222</v>
      </c>
      <c r="G4342" s="1643">
        <v>140</v>
      </c>
    </row>
    <row r="4343" spans="1:9">
      <c r="A4343" s="1520" t="s">
        <v>4144</v>
      </c>
    </row>
    <row r="4344" spans="1:9">
      <c r="A4344" s="2062" t="s">
        <v>4489</v>
      </c>
      <c r="B4344" s="2062"/>
      <c r="C4344" s="2062"/>
    </row>
    <row r="4345" spans="1:9">
      <c r="A4345" s="1758" t="s">
        <v>4490</v>
      </c>
      <c r="B4345" s="1758"/>
      <c r="C4345" s="1758"/>
    </row>
    <row r="4346" spans="1:9">
      <c r="A4346" s="1474" t="s">
        <v>4491</v>
      </c>
    </row>
    <row r="4349" spans="1:9" ht="15">
      <c r="A4349" s="1872" t="s">
        <v>5002</v>
      </c>
      <c r="B4349" s="1872"/>
      <c r="C4349" s="1872"/>
      <c r="D4349" s="1872"/>
      <c r="E4349" s="1872"/>
      <c r="F4349" s="1872"/>
    </row>
    <row r="4350" spans="1:9" ht="25.5">
      <c r="A4350" s="289" t="s">
        <v>99</v>
      </c>
      <c r="B4350" s="289" t="s">
        <v>45</v>
      </c>
      <c r="C4350" s="289" t="s">
        <v>4914</v>
      </c>
      <c r="D4350" s="1418" t="s">
        <v>3604</v>
      </c>
      <c r="E4350" s="1408" t="s">
        <v>4471</v>
      </c>
      <c r="F4350" s="1418" t="s">
        <v>5017</v>
      </c>
      <c r="H4350" s="1547" t="s">
        <v>3909</v>
      </c>
      <c r="I4350" s="161" t="s">
        <v>1843</v>
      </c>
    </row>
    <row r="4351" spans="1:9">
      <c r="A4351" s="41" t="s">
        <v>4987</v>
      </c>
      <c r="B4351" s="41" t="s">
        <v>200</v>
      </c>
      <c r="C4351" s="298">
        <v>10</v>
      </c>
      <c r="D4351" s="1876">
        <f t="shared" ref="D4351:D4372" si="136">ROUNDUP(G4351/0.6/140,2)</f>
        <v>1.79</v>
      </c>
      <c r="E4351" s="1863" t="s">
        <v>4840</v>
      </c>
      <c r="F4351" s="1873" t="s">
        <v>5015</v>
      </c>
      <c r="G4351" s="1810">
        <v>150</v>
      </c>
      <c r="H4351" s="1874">
        <f t="shared" ref="H4351:H4372" si="137">(D4351-(G4351/I4351))/D4351</f>
        <v>0.40143655227454111</v>
      </c>
      <c r="I4351" s="161">
        <v>140</v>
      </c>
    </row>
    <row r="4352" spans="1:9">
      <c r="A4352" s="41" t="s">
        <v>4987</v>
      </c>
      <c r="B4352" s="41" t="s">
        <v>4917</v>
      </c>
      <c r="C4352" s="298" t="s">
        <v>5003</v>
      </c>
      <c r="D4352" s="1876">
        <f t="shared" si="136"/>
        <v>3.2199999999999998</v>
      </c>
      <c r="E4352" s="1755" t="s">
        <v>5004</v>
      </c>
      <c r="F4352" s="1875" t="s">
        <v>231</v>
      </c>
      <c r="G4352" s="1810">
        <f>150+120</f>
        <v>270</v>
      </c>
      <c r="H4352" s="1874">
        <f t="shared" si="137"/>
        <v>0.40106477373558114</v>
      </c>
      <c r="I4352" s="161">
        <v>140</v>
      </c>
    </row>
    <row r="4353" spans="1:9">
      <c r="A4353" s="41" t="s">
        <v>4988</v>
      </c>
      <c r="B4353" s="41" t="s">
        <v>200</v>
      </c>
      <c r="C4353" s="298">
        <v>10</v>
      </c>
      <c r="D4353" s="1876">
        <f t="shared" si="136"/>
        <v>2.86</v>
      </c>
      <c r="E4353" s="1863" t="s">
        <v>4840</v>
      </c>
      <c r="F4353" s="1873" t="s">
        <v>4993</v>
      </c>
      <c r="G4353" s="1810">
        <v>240</v>
      </c>
      <c r="H4353" s="1874">
        <f t="shared" si="137"/>
        <v>0.40059940059940058</v>
      </c>
      <c r="I4353" s="161">
        <v>140</v>
      </c>
    </row>
    <row r="4354" spans="1:9">
      <c r="A4354" s="41" t="s">
        <v>4988</v>
      </c>
      <c r="B4354" s="41" t="s">
        <v>4917</v>
      </c>
      <c r="C4354" s="298" t="s">
        <v>5003</v>
      </c>
      <c r="D4354" s="1876">
        <f t="shared" si="136"/>
        <v>4.17</v>
      </c>
      <c r="E4354" s="1755" t="s">
        <v>5005</v>
      </c>
      <c r="F4354" s="1875" t="s">
        <v>231</v>
      </c>
      <c r="G4354" s="1810">
        <f>240+110</f>
        <v>350</v>
      </c>
      <c r="H4354" s="1874">
        <f t="shared" si="137"/>
        <v>0.40047961630695444</v>
      </c>
      <c r="I4354" s="161">
        <v>140</v>
      </c>
    </row>
    <row r="4355" spans="1:9">
      <c r="A4355" s="41" t="s">
        <v>4989</v>
      </c>
      <c r="B4355" s="41" t="s">
        <v>200</v>
      </c>
      <c r="C4355" s="298">
        <v>10</v>
      </c>
      <c r="D4355" s="1876">
        <f t="shared" si="136"/>
        <v>2.5299999999999998</v>
      </c>
      <c r="E4355" s="1863" t="s">
        <v>4840</v>
      </c>
      <c r="F4355" s="1873" t="s">
        <v>5016</v>
      </c>
      <c r="G4355" s="1810">
        <v>212</v>
      </c>
      <c r="H4355" s="1874">
        <f t="shared" si="137"/>
        <v>0.40146809712027098</v>
      </c>
      <c r="I4355" s="161">
        <v>140</v>
      </c>
    </row>
    <row r="4356" spans="1:9">
      <c r="A4356" s="41" t="s">
        <v>4989</v>
      </c>
      <c r="B4356" s="41" t="s">
        <v>4917</v>
      </c>
      <c r="C4356" s="298" t="s">
        <v>5003</v>
      </c>
      <c r="D4356" s="1876">
        <f t="shared" si="136"/>
        <v>4.43</v>
      </c>
      <c r="E4356" s="1755" t="s">
        <v>5006</v>
      </c>
      <c r="F4356" s="1875" t="s">
        <v>231</v>
      </c>
      <c r="G4356" s="1810">
        <f>212+160</f>
        <v>372</v>
      </c>
      <c r="H4356" s="1874">
        <f t="shared" si="137"/>
        <v>0.400193485972267</v>
      </c>
      <c r="I4356" s="161">
        <v>140</v>
      </c>
    </row>
    <row r="4357" spans="1:9">
      <c r="A4357" s="41" t="s">
        <v>5007</v>
      </c>
      <c r="B4357" s="41" t="s">
        <v>200</v>
      </c>
      <c r="C4357" s="298">
        <v>10</v>
      </c>
      <c r="D4357" s="1876">
        <f t="shared" si="136"/>
        <v>0.78</v>
      </c>
      <c r="E4357" s="1863" t="s">
        <v>4840</v>
      </c>
      <c r="F4357" s="1873" t="s">
        <v>5020</v>
      </c>
      <c r="G4357" s="1810">
        <v>65</v>
      </c>
      <c r="H4357" s="1874">
        <f t="shared" si="137"/>
        <v>0.40476190476190477</v>
      </c>
      <c r="I4357" s="161">
        <v>140</v>
      </c>
    </row>
    <row r="4358" spans="1:9">
      <c r="A4358" s="41" t="s">
        <v>5007</v>
      </c>
      <c r="B4358" s="41" t="s">
        <v>4917</v>
      </c>
      <c r="C4358" s="298" t="s">
        <v>5003</v>
      </c>
      <c r="D4358" s="1876">
        <f t="shared" si="136"/>
        <v>1.73</v>
      </c>
      <c r="E4358" s="1755" t="s">
        <v>5018</v>
      </c>
      <c r="F4358" s="1875" t="s">
        <v>231</v>
      </c>
      <c r="G4358" s="1810">
        <f>65+80</f>
        <v>145</v>
      </c>
      <c r="H4358" s="1874">
        <f t="shared" si="137"/>
        <v>0.40132122213047061</v>
      </c>
      <c r="I4358" s="161">
        <v>140</v>
      </c>
    </row>
    <row r="4359" spans="1:9">
      <c r="A4359" s="41" t="s">
        <v>5008</v>
      </c>
      <c r="B4359" s="41" t="s">
        <v>200</v>
      </c>
      <c r="C4359" s="298">
        <v>10</v>
      </c>
      <c r="D4359" s="1876">
        <f t="shared" si="136"/>
        <v>1.27</v>
      </c>
      <c r="E4359" s="1863" t="s">
        <v>4840</v>
      </c>
      <c r="F4359" s="1873" t="s">
        <v>5021</v>
      </c>
      <c r="G4359" s="1810">
        <v>106</v>
      </c>
      <c r="H4359" s="1874">
        <f t="shared" si="137"/>
        <v>0.40382452193475821</v>
      </c>
      <c r="I4359" s="161">
        <v>140</v>
      </c>
    </row>
    <row r="4360" spans="1:9">
      <c r="A4360" s="41" t="s">
        <v>5008</v>
      </c>
      <c r="B4360" s="41" t="s">
        <v>4917</v>
      </c>
      <c r="C4360" s="298" t="s">
        <v>5003</v>
      </c>
      <c r="D4360" s="1876">
        <f t="shared" si="136"/>
        <v>2.2199999999999998</v>
      </c>
      <c r="E4360" s="1755" t="s">
        <v>5018</v>
      </c>
      <c r="F4360" s="1875" t="s">
        <v>231</v>
      </c>
      <c r="G4360" s="1810">
        <f>106+80</f>
        <v>186</v>
      </c>
      <c r="H4360" s="1874">
        <f t="shared" si="137"/>
        <v>0.40154440154440152</v>
      </c>
      <c r="I4360" s="161">
        <v>140</v>
      </c>
    </row>
    <row r="4361" spans="1:9">
      <c r="A4361" s="41" t="s">
        <v>5009</v>
      </c>
      <c r="B4361" s="41" t="s">
        <v>200</v>
      </c>
      <c r="C4361" s="298">
        <v>10</v>
      </c>
      <c r="D4361" s="1876">
        <f t="shared" si="136"/>
        <v>1.2</v>
      </c>
      <c r="E4361" s="1863" t="s">
        <v>4840</v>
      </c>
      <c r="F4361" s="1873" t="s">
        <v>5022</v>
      </c>
      <c r="G4361" s="1810">
        <v>100</v>
      </c>
      <c r="H4361" s="1874">
        <f t="shared" si="137"/>
        <v>0.40476190476190471</v>
      </c>
      <c r="I4361" s="161">
        <v>140</v>
      </c>
    </row>
    <row r="4362" spans="1:9">
      <c r="A4362" s="41" t="s">
        <v>5009</v>
      </c>
      <c r="B4362" s="41" t="s">
        <v>4917</v>
      </c>
      <c r="C4362" s="298" t="s">
        <v>5003</v>
      </c>
      <c r="D4362" s="1876">
        <f t="shared" si="136"/>
        <v>2.15</v>
      </c>
      <c r="E4362" s="1755" t="s">
        <v>5018</v>
      </c>
      <c r="F4362" s="1875" t="s">
        <v>231</v>
      </c>
      <c r="G4362" s="1810">
        <f>100+80</f>
        <v>180</v>
      </c>
      <c r="H4362" s="1874">
        <f t="shared" si="137"/>
        <v>0.40199335548172749</v>
      </c>
      <c r="I4362" s="161">
        <v>140</v>
      </c>
    </row>
    <row r="4363" spans="1:9">
      <c r="A4363" s="41" t="s">
        <v>5010</v>
      </c>
      <c r="B4363" s="41" t="s">
        <v>200</v>
      </c>
      <c r="C4363" s="298">
        <v>10</v>
      </c>
      <c r="D4363" s="1876">
        <f t="shared" si="136"/>
        <v>1.27</v>
      </c>
      <c r="E4363" s="1863" t="s">
        <v>4840</v>
      </c>
      <c r="F4363" s="1873" t="s">
        <v>5016</v>
      </c>
      <c r="G4363" s="1810">
        <v>106</v>
      </c>
      <c r="H4363" s="1874">
        <f t="shared" si="137"/>
        <v>0.40382452193475821</v>
      </c>
      <c r="I4363" s="161">
        <v>140</v>
      </c>
    </row>
    <row r="4364" spans="1:9">
      <c r="A4364" s="41" t="s">
        <v>5010</v>
      </c>
      <c r="B4364" s="41" t="s">
        <v>4917</v>
      </c>
      <c r="C4364" s="298" t="s">
        <v>5003</v>
      </c>
      <c r="D4364" s="1876">
        <f t="shared" si="136"/>
        <v>2.2199999999999998</v>
      </c>
      <c r="E4364" s="1755" t="s">
        <v>5018</v>
      </c>
      <c r="F4364" s="1875" t="s">
        <v>231</v>
      </c>
      <c r="G4364" s="1810">
        <f>106+80</f>
        <v>186</v>
      </c>
      <c r="H4364" s="1874">
        <f t="shared" si="137"/>
        <v>0.40154440154440152</v>
      </c>
      <c r="I4364" s="161">
        <v>140</v>
      </c>
    </row>
    <row r="4365" spans="1:9">
      <c r="A4365" s="41" t="s">
        <v>5011</v>
      </c>
      <c r="B4365" s="41" t="s">
        <v>200</v>
      </c>
      <c r="C4365" s="298">
        <v>10</v>
      </c>
      <c r="D4365" s="1876">
        <f t="shared" si="136"/>
        <v>1.75</v>
      </c>
      <c r="E4365" s="1863" t="s">
        <v>4840</v>
      </c>
      <c r="F4365" s="1873" t="s">
        <v>5023</v>
      </c>
      <c r="G4365" s="1810">
        <v>147</v>
      </c>
      <c r="H4365" s="1874">
        <f t="shared" si="137"/>
        <v>0.39999999999999997</v>
      </c>
      <c r="I4365" s="161">
        <v>140</v>
      </c>
    </row>
    <row r="4366" spans="1:9">
      <c r="A4366" s="41" t="s">
        <v>5011</v>
      </c>
      <c r="B4366" s="41" t="s">
        <v>4917</v>
      </c>
      <c r="C4366" s="298" t="s">
        <v>5003</v>
      </c>
      <c r="D4366" s="1876">
        <f t="shared" si="136"/>
        <v>2.71</v>
      </c>
      <c r="E4366" s="1755" t="s">
        <v>5018</v>
      </c>
      <c r="F4366" s="1875" t="s">
        <v>231</v>
      </c>
      <c r="G4366" s="1810">
        <f>147+80</f>
        <v>227</v>
      </c>
      <c r="H4366" s="1874">
        <f t="shared" si="137"/>
        <v>0.40168687401159725</v>
      </c>
      <c r="I4366" s="161">
        <v>140</v>
      </c>
    </row>
    <row r="4367" spans="1:9">
      <c r="A4367" s="41" t="s">
        <v>5012</v>
      </c>
      <c r="B4367" s="41" t="s">
        <v>200</v>
      </c>
      <c r="C4367" s="298">
        <v>10</v>
      </c>
      <c r="D4367" s="1876">
        <f t="shared" si="136"/>
        <v>1.2</v>
      </c>
      <c r="E4367" s="1863" t="s">
        <v>4840</v>
      </c>
      <c r="F4367" s="1873" t="s">
        <v>5020</v>
      </c>
      <c r="G4367" s="1810">
        <v>100</v>
      </c>
      <c r="H4367" s="1874">
        <f t="shared" si="137"/>
        <v>0.40476190476190471</v>
      </c>
      <c r="I4367" s="161">
        <v>140</v>
      </c>
    </row>
    <row r="4368" spans="1:9">
      <c r="A4368" s="41" t="s">
        <v>5012</v>
      </c>
      <c r="B4368" s="41" t="s">
        <v>4917</v>
      </c>
      <c r="C4368" s="298" t="s">
        <v>5003</v>
      </c>
      <c r="D4368" s="1876">
        <f t="shared" si="136"/>
        <v>2.15</v>
      </c>
      <c r="E4368" s="1755" t="s">
        <v>5018</v>
      </c>
      <c r="F4368" s="1875" t="s">
        <v>231</v>
      </c>
      <c r="G4368" s="1810">
        <f>100+80</f>
        <v>180</v>
      </c>
      <c r="H4368" s="1874">
        <f t="shared" si="137"/>
        <v>0.40199335548172749</v>
      </c>
      <c r="I4368" s="161">
        <v>140</v>
      </c>
    </row>
    <row r="4369" spans="1:9">
      <c r="A4369" s="41" t="s">
        <v>5013</v>
      </c>
      <c r="B4369" s="41" t="s">
        <v>200</v>
      </c>
      <c r="C4369" s="298">
        <v>10</v>
      </c>
      <c r="D4369" s="1876">
        <f t="shared" si="136"/>
        <v>1.1399999999999999</v>
      </c>
      <c r="E4369" s="1863" t="s">
        <v>4840</v>
      </c>
      <c r="F4369" s="1873" t="s">
        <v>5024</v>
      </c>
      <c r="G4369" s="1810">
        <v>95</v>
      </c>
      <c r="H4369" s="1874">
        <f t="shared" si="137"/>
        <v>0.40476190476190466</v>
      </c>
      <c r="I4369" s="161">
        <v>140</v>
      </c>
    </row>
    <row r="4370" spans="1:9">
      <c r="A4370" s="41" t="s">
        <v>5013</v>
      </c>
      <c r="B4370" s="41" t="s">
        <v>4917</v>
      </c>
      <c r="C4370" s="298" t="s">
        <v>5003</v>
      </c>
      <c r="D4370" s="1876">
        <f t="shared" si="136"/>
        <v>2.09</v>
      </c>
      <c r="E4370" s="1755" t="s">
        <v>5018</v>
      </c>
      <c r="F4370" s="1875" t="s">
        <v>231</v>
      </c>
      <c r="G4370" s="1810">
        <f>95+80</f>
        <v>175</v>
      </c>
      <c r="H4370" s="1874">
        <f t="shared" si="137"/>
        <v>0.40191387559808606</v>
      </c>
      <c r="I4370" s="161">
        <v>140</v>
      </c>
    </row>
    <row r="4371" spans="1:9" ht="14.25" customHeight="1">
      <c r="A4371" s="41" t="s">
        <v>5014</v>
      </c>
      <c r="B4371" s="41" t="s">
        <v>200</v>
      </c>
      <c r="C4371" s="298">
        <v>10</v>
      </c>
      <c r="D4371" s="1876">
        <f>ROUNDUP(G4371/0.6/140,2)</f>
        <v>1.46</v>
      </c>
      <c r="E4371" s="1863" t="s">
        <v>4840</v>
      </c>
      <c r="F4371" s="1873" t="s">
        <v>5025</v>
      </c>
      <c r="G4371" s="1810">
        <v>122</v>
      </c>
      <c r="H4371" s="1874">
        <f t="shared" si="137"/>
        <v>0.40313111545988256</v>
      </c>
      <c r="I4371" s="161">
        <v>140</v>
      </c>
    </row>
    <row r="4372" spans="1:9" ht="14.25" customHeight="1">
      <c r="A4372" s="41" t="s">
        <v>5014</v>
      </c>
      <c r="B4372" s="41" t="s">
        <v>4917</v>
      </c>
      <c r="C4372" s="298" t="s">
        <v>5003</v>
      </c>
      <c r="D4372" s="1876">
        <f t="shared" si="136"/>
        <v>2.5299999999999998</v>
      </c>
      <c r="E4372" s="1755" t="s">
        <v>5019</v>
      </c>
      <c r="F4372" s="1875" t="s">
        <v>231</v>
      </c>
      <c r="G4372" s="1810">
        <f>122+90</f>
        <v>212</v>
      </c>
      <c r="H4372" s="1874">
        <f t="shared" si="137"/>
        <v>0.40146809712027098</v>
      </c>
      <c r="I4372" s="161">
        <v>140</v>
      </c>
    </row>
    <row r="4376" spans="1:9">
      <c r="A4376" s="289" t="s">
        <v>99</v>
      </c>
      <c r="B4376" s="289" t="s">
        <v>45</v>
      </c>
      <c r="C4376" s="289" t="s">
        <v>198</v>
      </c>
      <c r="D4376" s="1541" t="s">
        <v>242</v>
      </c>
      <c r="E4376" s="1893" t="s">
        <v>5034</v>
      </c>
    </row>
    <row r="4377" spans="1:9">
      <c r="A4377" s="302" t="s">
        <v>5027</v>
      </c>
      <c r="B4377" s="41" t="s">
        <v>4661</v>
      </c>
      <c r="C4377" s="298">
        <v>5</v>
      </c>
      <c r="D4377" s="1181">
        <v>1.2</v>
      </c>
      <c r="E4377" s="302" t="s">
        <v>5035</v>
      </c>
    </row>
    <row r="4378" spans="1:9">
      <c r="A4378" s="302" t="s">
        <v>5029</v>
      </c>
      <c r="B4378" s="41" t="s">
        <v>4661</v>
      </c>
      <c r="C4378" s="298">
        <v>5</v>
      </c>
      <c r="D4378" s="1181">
        <v>1.43</v>
      </c>
      <c r="E4378" s="302" t="s">
        <v>5036</v>
      </c>
    </row>
    <row r="4379" spans="1:9">
      <c r="A4379" s="302" t="s">
        <v>5030</v>
      </c>
      <c r="B4379" s="41" t="s">
        <v>4661</v>
      </c>
      <c r="C4379" s="298">
        <v>5</v>
      </c>
      <c r="D4379" s="1181">
        <v>1.2</v>
      </c>
      <c r="E4379" s="302" t="s">
        <v>5037</v>
      </c>
    </row>
    <row r="4380" spans="1:9">
      <c r="A4380" s="302" t="s">
        <v>5028</v>
      </c>
      <c r="B4380" s="41" t="s">
        <v>4661</v>
      </c>
      <c r="C4380" s="298">
        <v>5</v>
      </c>
      <c r="D4380" s="1181">
        <v>1.37</v>
      </c>
      <c r="E4380" s="302" t="s">
        <v>5038</v>
      </c>
    </row>
    <row r="4381" spans="1:9" ht="25.5">
      <c r="A4381" s="302" t="s">
        <v>5031</v>
      </c>
      <c r="B4381" s="41" t="s">
        <v>4661</v>
      </c>
      <c r="C4381" s="298">
        <v>5</v>
      </c>
      <c r="D4381" s="1181">
        <v>1.31</v>
      </c>
      <c r="E4381" s="1894" t="s">
        <v>5039</v>
      </c>
    </row>
    <row r="4382" spans="1:9" ht="25.5">
      <c r="A4382" s="302" t="s">
        <v>5032</v>
      </c>
      <c r="B4382" s="41" t="s">
        <v>4661</v>
      </c>
      <c r="C4382" s="298">
        <v>5</v>
      </c>
      <c r="D4382" s="1181">
        <v>1.49</v>
      </c>
      <c r="E4382" s="1894" t="s">
        <v>5040</v>
      </c>
    </row>
    <row r="4383" spans="1:9">
      <c r="A4383" s="41"/>
      <c r="B4383" s="136" t="s">
        <v>218</v>
      </c>
      <c r="C4383" s="292">
        <v>1</v>
      </c>
      <c r="D4383" s="1181">
        <v>12</v>
      </c>
      <c r="E4383" s="302"/>
    </row>
    <row r="4386" spans="1:5">
      <c r="A4386" s="289" t="s">
        <v>99</v>
      </c>
      <c r="B4386" s="289" t="s">
        <v>45</v>
      </c>
      <c r="C4386" s="289" t="s">
        <v>198</v>
      </c>
      <c r="D4386" s="1541" t="s">
        <v>242</v>
      </c>
      <c r="E4386" s="1893" t="s">
        <v>3739</v>
      </c>
    </row>
    <row r="4387" spans="1:5">
      <c r="A4387" s="41" t="s">
        <v>5014</v>
      </c>
      <c r="B4387" s="41" t="s">
        <v>5000</v>
      </c>
      <c r="C4387" s="298">
        <v>30</v>
      </c>
      <c r="D4387" s="1181">
        <v>1.46</v>
      </c>
      <c r="E4387" s="1276">
        <f t="shared" ref="E4387:E4389" si="138">D4387*C4387</f>
        <v>43.8</v>
      </c>
    </row>
    <row r="4388" spans="1:5">
      <c r="A4388" s="41" t="s">
        <v>5014</v>
      </c>
      <c r="B4388" s="41" t="s">
        <v>5043</v>
      </c>
      <c r="C4388" s="298">
        <v>30</v>
      </c>
      <c r="D4388" s="1181">
        <v>1.46</v>
      </c>
      <c r="E4388" s="1276">
        <f t="shared" si="138"/>
        <v>43.8</v>
      </c>
    </row>
    <row r="4389" spans="1:5">
      <c r="A4389" s="41"/>
      <c r="B4389" s="136" t="s">
        <v>4587</v>
      </c>
      <c r="C4389" s="292">
        <v>1</v>
      </c>
      <c r="D4389" s="1181">
        <v>85</v>
      </c>
      <c r="E4389" s="1276">
        <f t="shared" si="138"/>
        <v>85</v>
      </c>
    </row>
    <row r="4390" spans="1:5">
      <c r="A4390" s="1400"/>
      <c r="B4390" s="41"/>
      <c r="C4390" s="298"/>
      <c r="D4390" s="44"/>
      <c r="E4390" s="33"/>
    </row>
    <row r="4391" spans="1:5">
      <c r="A4391" s="41" t="s">
        <v>5011</v>
      </c>
      <c r="B4391" s="41" t="s">
        <v>5000</v>
      </c>
      <c r="C4391" s="298">
        <v>30</v>
      </c>
      <c r="D4391" s="1181">
        <v>1.75</v>
      </c>
      <c r="E4391" s="1276">
        <f t="shared" ref="E4391:E4394" si="139">D4391*C4391</f>
        <v>52.5</v>
      </c>
    </row>
    <row r="4392" spans="1:5">
      <c r="A4392" s="41" t="s">
        <v>5011</v>
      </c>
      <c r="B4392" s="41" t="s">
        <v>5043</v>
      </c>
      <c r="C4392" s="298">
        <v>30</v>
      </c>
      <c r="D4392" s="1181">
        <v>1.75</v>
      </c>
      <c r="E4392" s="1276">
        <f t="shared" si="139"/>
        <v>52.5</v>
      </c>
    </row>
    <row r="4393" spans="1:5">
      <c r="A4393" s="41"/>
      <c r="B4393" s="136" t="s">
        <v>4587</v>
      </c>
      <c r="C4393" s="292">
        <v>1</v>
      </c>
      <c r="D4393" s="1181">
        <v>75</v>
      </c>
      <c r="E4393" s="1276">
        <f t="shared" si="139"/>
        <v>75</v>
      </c>
    </row>
    <row r="4394" spans="1:5">
      <c r="A4394" s="41"/>
      <c r="B4394" s="136" t="s">
        <v>218</v>
      </c>
      <c r="C4394" s="292">
        <v>1</v>
      </c>
      <c r="D4394" s="1181">
        <v>15</v>
      </c>
      <c r="E4394" s="1276">
        <f t="shared" si="139"/>
        <v>15</v>
      </c>
    </row>
    <row r="4395" spans="1:5">
      <c r="A4395" s="41"/>
      <c r="B4395" s="136"/>
      <c r="C4395" s="292"/>
      <c r="D4395" s="1487" t="s">
        <v>5051</v>
      </c>
      <c r="E4395" s="1488">
        <f>SUM(E4387:E4394)</f>
        <v>367.6</v>
      </c>
    </row>
    <row r="4400" spans="1:5">
      <c r="A4400" s="1898"/>
      <c r="B4400" s="1899"/>
      <c r="C4400" s="1900"/>
    </row>
    <row r="4401" spans="1:8">
      <c r="A4401" s="1899" t="s">
        <v>5014</v>
      </c>
      <c r="B4401" s="1899" t="s">
        <v>5000</v>
      </c>
      <c r="C4401" s="1901">
        <v>122</v>
      </c>
    </row>
    <row r="4402" spans="1:8">
      <c r="A4402" s="1899" t="s">
        <v>5014</v>
      </c>
      <c r="B4402" s="1899" t="s">
        <v>5052</v>
      </c>
      <c r="C4402" s="1901"/>
    </row>
    <row r="4403" spans="1:8">
      <c r="A4403" s="1898"/>
      <c r="B4403" s="1899"/>
      <c r="C4403" s="1902"/>
    </row>
    <row r="4404" spans="1:8">
      <c r="A4404" s="1899" t="s">
        <v>5011</v>
      </c>
      <c r="B4404" s="1899" t="s">
        <v>5000</v>
      </c>
      <c r="C4404" s="1901">
        <v>147</v>
      </c>
    </row>
    <row r="4405" spans="1:8">
      <c r="A4405" s="1899" t="s">
        <v>5011</v>
      </c>
      <c r="B4405" s="1899" t="s">
        <v>5052</v>
      </c>
      <c r="C4405" s="1901">
        <v>147</v>
      </c>
    </row>
    <row r="4410" spans="1:8">
      <c r="A4410" s="289" t="s">
        <v>99</v>
      </c>
      <c r="B4410" s="289" t="s">
        <v>45</v>
      </c>
      <c r="C4410" s="289" t="s">
        <v>198</v>
      </c>
      <c r="D4410" s="1541" t="s">
        <v>242</v>
      </c>
      <c r="E4410" s="1893" t="s">
        <v>3739</v>
      </c>
      <c r="F4410" s="298"/>
      <c r="G4410" s="44" t="s">
        <v>8</v>
      </c>
      <c r="H4410" s="33"/>
    </row>
    <row r="4411" spans="1:8">
      <c r="A4411" s="41" t="s">
        <v>5014</v>
      </c>
      <c r="B4411" s="41" t="s">
        <v>5000</v>
      </c>
      <c r="C4411" s="298">
        <v>30</v>
      </c>
      <c r="D4411" s="1181">
        <v>1.46</v>
      </c>
      <c r="E4411" s="1276">
        <f t="shared" ref="E4411:E4413" si="140">D4411*C4411</f>
        <v>43.8</v>
      </c>
    </row>
    <row r="4412" spans="1:8">
      <c r="A4412" s="41" t="s">
        <v>5014</v>
      </c>
      <c r="B4412" s="41" t="s">
        <v>5053</v>
      </c>
      <c r="C4412" s="298">
        <v>30</v>
      </c>
      <c r="D4412" s="1181">
        <v>2.04</v>
      </c>
      <c r="E4412" s="1276">
        <f t="shared" si="140"/>
        <v>61.2</v>
      </c>
    </row>
    <row r="4413" spans="1:8">
      <c r="A4413" s="41"/>
      <c r="B4413" s="136" t="s">
        <v>5054</v>
      </c>
      <c r="C4413" s="292">
        <v>1</v>
      </c>
      <c r="D4413" s="1181">
        <v>60</v>
      </c>
      <c r="E4413" s="1276">
        <f t="shared" si="140"/>
        <v>60</v>
      </c>
    </row>
    <row r="4414" spans="1:8">
      <c r="A4414" s="1400"/>
      <c r="B4414" s="41"/>
      <c r="C4414" s="298"/>
      <c r="D4414" s="44"/>
      <c r="E4414" s="33"/>
    </row>
    <row r="4415" spans="1:8">
      <c r="A4415" s="41" t="s">
        <v>5011</v>
      </c>
      <c r="B4415" s="41" t="s">
        <v>5000</v>
      </c>
      <c r="C4415" s="298">
        <v>30</v>
      </c>
      <c r="D4415" s="1181">
        <v>1.75</v>
      </c>
      <c r="E4415" s="1276">
        <f t="shared" ref="E4415:E4418" si="141">D4415*C4415</f>
        <v>52.5</v>
      </c>
    </row>
    <row r="4416" spans="1:8">
      <c r="A4416" s="41" t="s">
        <v>5011</v>
      </c>
      <c r="B4416" s="41" t="s">
        <v>5053</v>
      </c>
      <c r="C4416" s="298">
        <v>30</v>
      </c>
      <c r="D4416" s="1181">
        <v>2.46</v>
      </c>
      <c r="E4416" s="1276">
        <f t="shared" si="141"/>
        <v>73.8</v>
      </c>
    </row>
    <row r="4417" spans="1:9">
      <c r="A4417" s="41"/>
      <c r="B4417" s="136" t="s">
        <v>5054</v>
      </c>
      <c r="C4417" s="292">
        <v>1</v>
      </c>
      <c r="D4417" s="1181">
        <v>60</v>
      </c>
      <c r="E4417" s="1276">
        <f t="shared" si="141"/>
        <v>60</v>
      </c>
    </row>
    <row r="4418" spans="1:9">
      <c r="A4418" s="41"/>
      <c r="B4418" s="136" t="s">
        <v>218</v>
      </c>
      <c r="C4418" s="292">
        <v>1</v>
      </c>
      <c r="D4418" s="1181">
        <v>15</v>
      </c>
      <c r="E4418" s="1276">
        <f t="shared" si="141"/>
        <v>15</v>
      </c>
    </row>
    <row r="4419" spans="1:9">
      <c r="A4419" s="41"/>
      <c r="B4419" s="136"/>
      <c r="C4419" s="292"/>
      <c r="D4419" s="1487" t="s">
        <v>266</v>
      </c>
      <c r="E4419" s="1488">
        <f>SUM(E4411:E4418)</f>
        <v>366.3</v>
      </c>
    </row>
    <row r="4423" spans="1:9">
      <c r="A4423" s="289" t="s">
        <v>99</v>
      </c>
      <c r="B4423" s="289" t="s">
        <v>16</v>
      </c>
      <c r="C4423" s="289" t="s">
        <v>45</v>
      </c>
      <c r="D4423" s="289" t="s">
        <v>163</v>
      </c>
      <c r="E4423" s="289" t="s">
        <v>197</v>
      </c>
      <c r="F4423" s="289" t="s">
        <v>198</v>
      </c>
      <c r="G4423" s="1606" t="s">
        <v>5089</v>
      </c>
      <c r="H4423" s="1606" t="s">
        <v>5090</v>
      </c>
      <c r="I4423" s="1606" t="s">
        <v>4275</v>
      </c>
    </row>
    <row r="4424" spans="1:9">
      <c r="A4424" s="1400" t="s">
        <v>264</v>
      </c>
      <c r="B4424" s="42"/>
      <c r="C4424" s="41"/>
      <c r="D4424" s="298"/>
      <c r="E4424" s="299"/>
      <c r="F4424" s="298"/>
      <c r="G4424" s="44" t="s">
        <v>7</v>
      </c>
      <c r="H4424" s="33"/>
      <c r="I4424" s="33"/>
    </row>
    <row r="4425" spans="1:9">
      <c r="A4425" s="41">
        <v>11700</v>
      </c>
      <c r="B4425" s="1264">
        <v>48</v>
      </c>
      <c r="C4425" s="41" t="s">
        <v>5059</v>
      </c>
      <c r="D4425" s="296">
        <v>10</v>
      </c>
      <c r="E4425" s="297">
        <v>1</v>
      </c>
      <c r="F4425" s="298">
        <f t="shared" ref="F4425:F4454" si="142">D4425*E4425</f>
        <v>10</v>
      </c>
      <c r="G4425" s="1181">
        <v>65.66</v>
      </c>
      <c r="H4425" s="1276">
        <f t="shared" ref="H4425:H4454" si="143">E4425*G4425</f>
        <v>65.66</v>
      </c>
      <c r="I4425" s="132" t="s">
        <v>5086</v>
      </c>
    </row>
    <row r="4426" spans="1:9">
      <c r="A4426" s="41">
        <v>11700</v>
      </c>
      <c r="B4426" s="1264">
        <v>48</v>
      </c>
      <c r="C4426" s="41" t="s">
        <v>15</v>
      </c>
      <c r="D4426" s="296">
        <v>10</v>
      </c>
      <c r="E4426" s="297">
        <v>2</v>
      </c>
      <c r="F4426" s="298">
        <f t="shared" si="142"/>
        <v>20</v>
      </c>
      <c r="G4426" s="1181">
        <v>65.66</v>
      </c>
      <c r="H4426" s="1276">
        <f t="shared" si="143"/>
        <v>131.32</v>
      </c>
      <c r="I4426" s="33" t="s">
        <v>5088</v>
      </c>
    </row>
    <row r="4427" spans="1:9">
      <c r="A4427" s="41">
        <v>11700</v>
      </c>
      <c r="B4427" s="1264">
        <v>48</v>
      </c>
      <c r="C4427" s="41" t="s">
        <v>5061</v>
      </c>
      <c r="D4427" s="296">
        <v>10</v>
      </c>
      <c r="E4427" s="297">
        <v>1</v>
      </c>
      <c r="F4427" s="298">
        <f t="shared" si="142"/>
        <v>10</v>
      </c>
      <c r="G4427" s="1181">
        <v>65.66</v>
      </c>
      <c r="H4427" s="1276">
        <f t="shared" si="143"/>
        <v>65.66</v>
      </c>
      <c r="I4427" s="33" t="s">
        <v>5088</v>
      </c>
    </row>
    <row r="4428" spans="1:9">
      <c r="A4428" s="41">
        <v>11700</v>
      </c>
      <c r="B4428" s="1264">
        <v>48</v>
      </c>
      <c r="C4428" s="41" t="s">
        <v>5062</v>
      </c>
      <c r="D4428" s="296">
        <v>10</v>
      </c>
      <c r="E4428" s="297">
        <v>2</v>
      </c>
      <c r="F4428" s="298">
        <f t="shared" si="142"/>
        <v>20</v>
      </c>
      <c r="G4428" s="1181">
        <v>65.66</v>
      </c>
      <c r="H4428" s="1276">
        <f t="shared" si="143"/>
        <v>131.32</v>
      </c>
      <c r="I4428" s="33" t="s">
        <v>5088</v>
      </c>
    </row>
    <row r="4429" spans="1:9">
      <c r="A4429" s="41">
        <v>11700</v>
      </c>
      <c r="B4429" s="1264">
        <v>48</v>
      </c>
      <c r="C4429" s="41" t="s">
        <v>5063</v>
      </c>
      <c r="D4429" s="296">
        <v>10</v>
      </c>
      <c r="E4429" s="297">
        <v>2</v>
      </c>
      <c r="F4429" s="298">
        <f t="shared" si="142"/>
        <v>20</v>
      </c>
      <c r="G4429" s="1181">
        <v>65.66</v>
      </c>
      <c r="H4429" s="1276">
        <f t="shared" si="143"/>
        <v>131.32</v>
      </c>
      <c r="I4429" s="33" t="s">
        <v>5088</v>
      </c>
    </row>
    <row r="4430" spans="1:9">
      <c r="A4430" s="41">
        <v>11700</v>
      </c>
      <c r="B4430" s="1264">
        <v>48</v>
      </c>
      <c r="C4430" s="41" t="s">
        <v>4263</v>
      </c>
      <c r="D4430" s="296">
        <v>10</v>
      </c>
      <c r="E4430" s="297">
        <v>2</v>
      </c>
      <c r="F4430" s="298">
        <f t="shared" si="142"/>
        <v>20</v>
      </c>
      <c r="G4430" s="1181">
        <v>65.66</v>
      </c>
      <c r="H4430" s="1276">
        <f t="shared" si="143"/>
        <v>131.32</v>
      </c>
      <c r="I4430" s="33" t="s">
        <v>5088</v>
      </c>
    </row>
    <row r="4431" spans="1:9">
      <c r="A4431" s="41">
        <v>11700</v>
      </c>
      <c r="B4431" s="1264">
        <v>48</v>
      </c>
      <c r="C4431" s="41" t="s">
        <v>5065</v>
      </c>
      <c r="D4431" s="296">
        <v>10</v>
      </c>
      <c r="E4431" s="297">
        <v>1</v>
      </c>
      <c r="F4431" s="298">
        <f t="shared" si="142"/>
        <v>10</v>
      </c>
      <c r="G4431" s="1181">
        <v>65.66</v>
      </c>
      <c r="H4431" s="1276">
        <f t="shared" si="143"/>
        <v>65.66</v>
      </c>
      <c r="I4431" s="33" t="s">
        <v>5088</v>
      </c>
    </row>
    <row r="4432" spans="1:9">
      <c r="A4432" s="41">
        <v>11700</v>
      </c>
      <c r="B4432" s="1264">
        <v>48</v>
      </c>
      <c r="C4432" s="41" t="s">
        <v>5066</v>
      </c>
      <c r="D4432" s="296">
        <v>10</v>
      </c>
      <c r="E4432" s="297">
        <v>1</v>
      </c>
      <c r="F4432" s="298">
        <f t="shared" si="142"/>
        <v>10</v>
      </c>
      <c r="G4432" s="1181">
        <v>65.66</v>
      </c>
      <c r="H4432" s="1276">
        <f t="shared" si="143"/>
        <v>65.66</v>
      </c>
      <c r="I4432" s="33" t="s">
        <v>5088</v>
      </c>
    </row>
    <row r="4433" spans="1:9">
      <c r="A4433" s="41">
        <v>11700</v>
      </c>
      <c r="B4433" s="1264">
        <v>48</v>
      </c>
      <c r="C4433" s="41" t="s">
        <v>81</v>
      </c>
      <c r="D4433" s="296">
        <v>10</v>
      </c>
      <c r="E4433" s="297">
        <v>6</v>
      </c>
      <c r="F4433" s="298">
        <f t="shared" si="142"/>
        <v>60</v>
      </c>
      <c r="G4433" s="1181">
        <v>65.66</v>
      </c>
      <c r="H4433" s="1276">
        <f t="shared" si="143"/>
        <v>393.96</v>
      </c>
      <c r="I4433" s="33" t="s">
        <v>5088</v>
      </c>
    </row>
    <row r="4434" spans="1:9">
      <c r="A4434" s="41">
        <v>11700</v>
      </c>
      <c r="B4434" s="1264">
        <v>48</v>
      </c>
      <c r="C4434" s="41" t="s">
        <v>5068</v>
      </c>
      <c r="D4434" s="296">
        <v>10</v>
      </c>
      <c r="E4434" s="297">
        <v>4</v>
      </c>
      <c r="F4434" s="298">
        <f t="shared" si="142"/>
        <v>40</v>
      </c>
      <c r="G4434" s="1181">
        <v>65.66</v>
      </c>
      <c r="H4434" s="1276">
        <f t="shared" si="143"/>
        <v>262.64</v>
      </c>
      <c r="I4434" s="33" t="s">
        <v>5088</v>
      </c>
    </row>
    <row r="4435" spans="1:9">
      <c r="A4435" s="41">
        <v>11700</v>
      </c>
      <c r="B4435" s="1264">
        <v>48</v>
      </c>
      <c r="C4435" s="41" t="s">
        <v>5069</v>
      </c>
      <c r="D4435" s="296">
        <v>10</v>
      </c>
      <c r="E4435" s="297">
        <v>1</v>
      </c>
      <c r="F4435" s="298">
        <f t="shared" si="142"/>
        <v>10</v>
      </c>
      <c r="G4435" s="1181">
        <v>65.66</v>
      </c>
      <c r="H4435" s="1276">
        <f t="shared" si="143"/>
        <v>65.66</v>
      </c>
      <c r="I4435" s="33" t="s">
        <v>5088</v>
      </c>
    </row>
    <row r="4436" spans="1:9">
      <c r="A4436" s="41">
        <v>11700</v>
      </c>
      <c r="B4436" s="1264">
        <v>48</v>
      </c>
      <c r="C4436" s="41" t="s">
        <v>4624</v>
      </c>
      <c r="D4436" s="296">
        <v>10</v>
      </c>
      <c r="E4436" s="297">
        <v>1</v>
      </c>
      <c r="F4436" s="298">
        <f t="shared" si="142"/>
        <v>10</v>
      </c>
      <c r="G4436" s="1181">
        <v>65.66</v>
      </c>
      <c r="H4436" s="1276">
        <f t="shared" si="143"/>
        <v>65.66</v>
      </c>
      <c r="I4436" s="33" t="s">
        <v>5088</v>
      </c>
    </row>
    <row r="4437" spans="1:9">
      <c r="A4437" s="41">
        <v>11700</v>
      </c>
      <c r="B4437" s="1264">
        <v>48</v>
      </c>
      <c r="C4437" s="41" t="s">
        <v>123</v>
      </c>
      <c r="D4437" s="296">
        <v>10</v>
      </c>
      <c r="E4437" s="297">
        <v>3</v>
      </c>
      <c r="F4437" s="298">
        <f t="shared" si="142"/>
        <v>30</v>
      </c>
      <c r="G4437" s="1181">
        <v>65.66</v>
      </c>
      <c r="H4437" s="1276">
        <f t="shared" si="143"/>
        <v>196.98</v>
      </c>
      <c r="I4437" s="33" t="s">
        <v>5088</v>
      </c>
    </row>
    <row r="4438" spans="1:9">
      <c r="A4438" s="41">
        <v>11700</v>
      </c>
      <c r="B4438" s="1264">
        <v>48</v>
      </c>
      <c r="C4438" s="41" t="s">
        <v>5072</v>
      </c>
      <c r="D4438" s="296">
        <v>10</v>
      </c>
      <c r="E4438" s="297">
        <v>1</v>
      </c>
      <c r="F4438" s="298">
        <f t="shared" si="142"/>
        <v>10</v>
      </c>
      <c r="G4438" s="1181">
        <v>65.66</v>
      </c>
      <c r="H4438" s="1276">
        <f t="shared" si="143"/>
        <v>65.66</v>
      </c>
      <c r="I4438" s="33" t="s">
        <v>5088</v>
      </c>
    </row>
    <row r="4439" spans="1:9">
      <c r="A4439" s="41">
        <v>11700</v>
      </c>
      <c r="B4439" s="1264">
        <v>48</v>
      </c>
      <c r="C4439" s="41" t="s">
        <v>5073</v>
      </c>
      <c r="D4439" s="296">
        <v>10</v>
      </c>
      <c r="E4439" s="297">
        <v>1</v>
      </c>
      <c r="F4439" s="298">
        <f t="shared" si="142"/>
        <v>10</v>
      </c>
      <c r="G4439" s="1181">
        <v>65.66</v>
      </c>
      <c r="H4439" s="1276">
        <f t="shared" si="143"/>
        <v>65.66</v>
      </c>
      <c r="I4439" s="33" t="s">
        <v>5088</v>
      </c>
    </row>
    <row r="4440" spans="1:9">
      <c r="A4440" s="41">
        <v>11700</v>
      </c>
      <c r="B4440" s="1264">
        <v>18</v>
      </c>
      <c r="C4440" s="41" t="s">
        <v>5074</v>
      </c>
      <c r="D4440" s="296">
        <v>10</v>
      </c>
      <c r="E4440" s="297">
        <v>1</v>
      </c>
      <c r="F4440" s="298">
        <f t="shared" si="142"/>
        <v>10</v>
      </c>
      <c r="G4440" s="1181">
        <v>21.59</v>
      </c>
      <c r="H4440" s="1276">
        <f t="shared" si="143"/>
        <v>21.59</v>
      </c>
      <c r="I4440" s="132" t="s">
        <v>5086</v>
      </c>
    </row>
    <row r="4441" spans="1:9">
      <c r="A4441" s="41">
        <v>11700</v>
      </c>
      <c r="B4441" s="1264">
        <v>18</v>
      </c>
      <c r="C4441" s="41" t="s">
        <v>15</v>
      </c>
      <c r="D4441" s="296">
        <v>10</v>
      </c>
      <c r="E4441" s="297">
        <v>2</v>
      </c>
      <c r="F4441" s="298">
        <f t="shared" si="142"/>
        <v>20</v>
      </c>
      <c r="G4441" s="1181">
        <v>21.59</v>
      </c>
      <c r="H4441" s="1276">
        <f t="shared" si="143"/>
        <v>43.18</v>
      </c>
      <c r="I4441" s="33" t="s">
        <v>5088</v>
      </c>
    </row>
    <row r="4442" spans="1:9">
      <c r="A4442" s="41">
        <v>11700</v>
      </c>
      <c r="B4442" s="1264">
        <v>18</v>
      </c>
      <c r="C4442" s="41" t="s">
        <v>5061</v>
      </c>
      <c r="D4442" s="296">
        <v>10</v>
      </c>
      <c r="E4442" s="297">
        <v>1</v>
      </c>
      <c r="F4442" s="298">
        <f t="shared" si="142"/>
        <v>10</v>
      </c>
      <c r="G4442" s="1181">
        <v>21.59</v>
      </c>
      <c r="H4442" s="1276">
        <f t="shared" si="143"/>
        <v>21.59</v>
      </c>
      <c r="I4442" s="33" t="s">
        <v>5088</v>
      </c>
    </row>
    <row r="4443" spans="1:9">
      <c r="A4443" s="41">
        <v>11700</v>
      </c>
      <c r="B4443" s="1264">
        <v>18</v>
      </c>
      <c r="C4443" s="41" t="s">
        <v>5062</v>
      </c>
      <c r="D4443" s="296">
        <v>10</v>
      </c>
      <c r="E4443" s="297">
        <v>2</v>
      </c>
      <c r="F4443" s="298">
        <f t="shared" si="142"/>
        <v>20</v>
      </c>
      <c r="G4443" s="1181">
        <v>21.59</v>
      </c>
      <c r="H4443" s="1276">
        <f t="shared" si="143"/>
        <v>43.18</v>
      </c>
      <c r="I4443" s="33" t="s">
        <v>5088</v>
      </c>
    </row>
    <row r="4444" spans="1:9">
      <c r="A4444" s="41">
        <v>11700</v>
      </c>
      <c r="B4444" s="1264">
        <v>18</v>
      </c>
      <c r="C4444" s="41" t="s">
        <v>5063</v>
      </c>
      <c r="D4444" s="296">
        <v>10</v>
      </c>
      <c r="E4444" s="297">
        <v>2</v>
      </c>
      <c r="F4444" s="298">
        <f t="shared" si="142"/>
        <v>20</v>
      </c>
      <c r="G4444" s="1181">
        <v>21.59</v>
      </c>
      <c r="H4444" s="1276">
        <f t="shared" si="143"/>
        <v>43.18</v>
      </c>
      <c r="I4444" s="33" t="s">
        <v>5088</v>
      </c>
    </row>
    <row r="4445" spans="1:9">
      <c r="A4445" s="41">
        <v>11700</v>
      </c>
      <c r="B4445" s="1264">
        <v>18</v>
      </c>
      <c r="C4445" s="41" t="s">
        <v>4263</v>
      </c>
      <c r="D4445" s="296">
        <v>10</v>
      </c>
      <c r="E4445" s="297">
        <v>2</v>
      </c>
      <c r="F4445" s="298">
        <f t="shared" si="142"/>
        <v>20</v>
      </c>
      <c r="G4445" s="1181">
        <v>21.59</v>
      </c>
      <c r="H4445" s="1276">
        <f t="shared" si="143"/>
        <v>43.18</v>
      </c>
      <c r="I4445" s="33" t="s">
        <v>5088</v>
      </c>
    </row>
    <row r="4446" spans="1:9">
      <c r="A4446" s="41">
        <v>11700</v>
      </c>
      <c r="B4446" s="1264">
        <v>18</v>
      </c>
      <c r="C4446" s="41" t="s">
        <v>5075</v>
      </c>
      <c r="D4446" s="296">
        <v>10</v>
      </c>
      <c r="E4446" s="297">
        <v>1</v>
      </c>
      <c r="F4446" s="298">
        <f t="shared" si="142"/>
        <v>10</v>
      </c>
      <c r="G4446" s="1181">
        <v>21.59</v>
      </c>
      <c r="H4446" s="1276">
        <f t="shared" si="143"/>
        <v>21.59</v>
      </c>
      <c r="I4446" s="132" t="s">
        <v>5087</v>
      </c>
    </row>
    <row r="4447" spans="1:9">
      <c r="A4447" s="41">
        <v>11700</v>
      </c>
      <c r="B4447" s="1264">
        <v>18</v>
      </c>
      <c r="C4447" s="41" t="s">
        <v>4628</v>
      </c>
      <c r="D4447" s="296">
        <v>10</v>
      </c>
      <c r="E4447" s="297">
        <v>1</v>
      </c>
      <c r="F4447" s="298">
        <f t="shared" si="142"/>
        <v>10</v>
      </c>
      <c r="G4447" s="1181">
        <v>21.59</v>
      </c>
      <c r="H4447" s="1276">
        <f t="shared" si="143"/>
        <v>21.59</v>
      </c>
      <c r="I4447" s="33" t="s">
        <v>5088</v>
      </c>
    </row>
    <row r="4448" spans="1:9">
      <c r="A4448" s="41">
        <v>11700</v>
      </c>
      <c r="B4448" s="1264">
        <v>18</v>
      </c>
      <c r="C4448" s="41" t="s">
        <v>81</v>
      </c>
      <c r="D4448" s="296">
        <v>10</v>
      </c>
      <c r="E4448" s="297">
        <v>6</v>
      </c>
      <c r="F4448" s="298">
        <f t="shared" si="142"/>
        <v>60</v>
      </c>
      <c r="G4448" s="1181">
        <v>21.59</v>
      </c>
      <c r="H4448" s="1276">
        <f t="shared" si="143"/>
        <v>129.54</v>
      </c>
      <c r="I4448" s="33" t="s">
        <v>5088</v>
      </c>
    </row>
    <row r="4449" spans="1:9">
      <c r="A4449" s="41">
        <v>11700</v>
      </c>
      <c r="B4449" s="1264">
        <v>18</v>
      </c>
      <c r="C4449" s="41" t="s">
        <v>5076</v>
      </c>
      <c r="D4449" s="296">
        <v>10</v>
      </c>
      <c r="E4449" s="297">
        <v>4</v>
      </c>
      <c r="F4449" s="298">
        <f t="shared" si="142"/>
        <v>40</v>
      </c>
      <c r="G4449" s="1181">
        <v>21.59</v>
      </c>
      <c r="H4449" s="1276">
        <f t="shared" si="143"/>
        <v>86.36</v>
      </c>
      <c r="I4449" s="33" t="s">
        <v>5088</v>
      </c>
    </row>
    <row r="4450" spans="1:9">
      <c r="A4450" s="41">
        <v>11700</v>
      </c>
      <c r="B4450" s="1264">
        <v>18</v>
      </c>
      <c r="C4450" s="41" t="s">
        <v>5077</v>
      </c>
      <c r="D4450" s="296">
        <v>10</v>
      </c>
      <c r="E4450" s="297">
        <v>1</v>
      </c>
      <c r="F4450" s="298">
        <f t="shared" si="142"/>
        <v>10</v>
      </c>
      <c r="G4450" s="1181">
        <v>21.59</v>
      </c>
      <c r="H4450" s="1276">
        <f t="shared" si="143"/>
        <v>21.59</v>
      </c>
      <c r="I4450" s="132" t="s">
        <v>5087</v>
      </c>
    </row>
    <row r="4451" spans="1:9">
      <c r="A4451" s="41">
        <v>11700</v>
      </c>
      <c r="B4451" s="1264">
        <v>18</v>
      </c>
      <c r="C4451" s="41" t="s">
        <v>4624</v>
      </c>
      <c r="D4451" s="296">
        <v>10</v>
      </c>
      <c r="E4451" s="297">
        <v>1</v>
      </c>
      <c r="F4451" s="298">
        <f t="shared" si="142"/>
        <v>10</v>
      </c>
      <c r="G4451" s="1181">
        <v>21.59</v>
      </c>
      <c r="H4451" s="1276">
        <f t="shared" si="143"/>
        <v>21.59</v>
      </c>
      <c r="I4451" s="33" t="s">
        <v>5088</v>
      </c>
    </row>
    <row r="4452" spans="1:9">
      <c r="A4452" s="41">
        <v>11700</v>
      </c>
      <c r="B4452" s="1264">
        <v>18</v>
      </c>
      <c r="C4452" s="41" t="s">
        <v>123</v>
      </c>
      <c r="D4452" s="296">
        <v>10</v>
      </c>
      <c r="E4452" s="297">
        <v>3</v>
      </c>
      <c r="F4452" s="298">
        <f t="shared" si="142"/>
        <v>30</v>
      </c>
      <c r="G4452" s="1181">
        <v>21.59</v>
      </c>
      <c r="H4452" s="1276">
        <f t="shared" si="143"/>
        <v>64.77</v>
      </c>
      <c r="I4452" s="33" t="s">
        <v>5088</v>
      </c>
    </row>
    <row r="4453" spans="1:9">
      <c r="A4453" s="41">
        <v>11700</v>
      </c>
      <c r="B4453" s="1264">
        <v>18</v>
      </c>
      <c r="C4453" s="41" t="s">
        <v>5072</v>
      </c>
      <c r="D4453" s="296">
        <v>10</v>
      </c>
      <c r="E4453" s="297">
        <v>1</v>
      </c>
      <c r="F4453" s="298">
        <f t="shared" si="142"/>
        <v>10</v>
      </c>
      <c r="G4453" s="1181">
        <v>21.59</v>
      </c>
      <c r="H4453" s="1276">
        <f t="shared" si="143"/>
        <v>21.59</v>
      </c>
      <c r="I4453" s="33" t="s">
        <v>5088</v>
      </c>
    </row>
    <row r="4454" spans="1:9">
      <c r="A4454" s="41">
        <v>11700</v>
      </c>
      <c r="B4454" s="1264">
        <v>18</v>
      </c>
      <c r="C4454" s="41" t="s">
        <v>5073</v>
      </c>
      <c r="D4454" s="296">
        <v>10</v>
      </c>
      <c r="E4454" s="297">
        <v>1</v>
      </c>
      <c r="F4454" s="298">
        <f t="shared" si="142"/>
        <v>10</v>
      </c>
      <c r="G4454" s="1181">
        <v>21.59</v>
      </c>
      <c r="H4454" s="1276">
        <f t="shared" si="143"/>
        <v>21.59</v>
      </c>
      <c r="I4454" s="33" t="s">
        <v>5088</v>
      </c>
    </row>
    <row r="4455" spans="1:9">
      <c r="A4455" s="1400" t="s">
        <v>5079</v>
      </c>
      <c r="B4455" s="42"/>
      <c r="C4455" s="41"/>
      <c r="D4455" s="298"/>
      <c r="E4455" s="299"/>
      <c r="F4455" s="298"/>
      <c r="G4455" s="44" t="s">
        <v>7</v>
      </c>
      <c r="H4455" s="33"/>
      <c r="I4455" s="33"/>
    </row>
    <row r="4456" spans="1:9">
      <c r="A4456" s="41">
        <v>3715</v>
      </c>
      <c r="B4456" s="1264">
        <v>100</v>
      </c>
      <c r="C4456" s="41" t="s">
        <v>35</v>
      </c>
      <c r="D4456" s="296">
        <v>30</v>
      </c>
      <c r="E4456" s="297">
        <v>2</v>
      </c>
      <c r="F4456" s="298">
        <f>D4456*E4456</f>
        <v>60</v>
      </c>
      <c r="G4456" s="1181">
        <v>78.86</v>
      </c>
      <c r="H4456" s="1276">
        <f>E4456*G4456</f>
        <v>157.72</v>
      </c>
      <c r="I4456" s="33" t="s">
        <v>5088</v>
      </c>
    </row>
    <row r="4457" spans="1:9">
      <c r="A4457" s="41">
        <v>3715</v>
      </c>
      <c r="B4457" s="1264">
        <v>100</v>
      </c>
      <c r="C4457" s="41" t="s">
        <v>2625</v>
      </c>
      <c r="D4457" s="296">
        <v>30</v>
      </c>
      <c r="E4457" s="297">
        <v>1</v>
      </c>
      <c r="F4457" s="298">
        <f>D4457*E4457</f>
        <v>30</v>
      </c>
      <c r="G4457" s="1181">
        <v>78.86</v>
      </c>
      <c r="H4457" s="1276">
        <f>E4457*G4457</f>
        <v>78.86</v>
      </c>
      <c r="I4457" s="33" t="s">
        <v>5088</v>
      </c>
    </row>
    <row r="4458" spans="1:9">
      <c r="A4458" s="336" t="s">
        <v>84</v>
      </c>
      <c r="B4458" s="1815"/>
      <c r="C4458" s="41"/>
      <c r="D4458" s="298" t="s">
        <v>265</v>
      </c>
      <c r="E4458" s="299"/>
      <c r="F4458" s="296"/>
      <c r="G4458" s="44" t="s">
        <v>7</v>
      </c>
      <c r="H4458" s="33"/>
      <c r="I4458" s="33"/>
    </row>
    <row r="4459" spans="1:9">
      <c r="A4459" s="41">
        <v>14552</v>
      </c>
      <c r="B4459" s="1749">
        <v>75</v>
      </c>
      <c r="C4459" s="302" t="s">
        <v>85</v>
      </c>
      <c r="D4459" s="296">
        <v>30</v>
      </c>
      <c r="E4459" s="297">
        <v>1</v>
      </c>
      <c r="F4459" s="298">
        <f>D4459*E4459</f>
        <v>30</v>
      </c>
      <c r="G4459" s="1181">
        <v>126.67</v>
      </c>
      <c r="H4459" s="1276">
        <f>E4459*G4459</f>
        <v>126.67</v>
      </c>
      <c r="I4459" s="33" t="s">
        <v>5088</v>
      </c>
    </row>
    <row r="4460" spans="1:9">
      <c r="A4460" s="41">
        <v>14552</v>
      </c>
      <c r="B4460" s="1749">
        <v>75</v>
      </c>
      <c r="C4460" s="302" t="s">
        <v>5083</v>
      </c>
      <c r="D4460" s="296">
        <v>30</v>
      </c>
      <c r="E4460" s="297">
        <v>1</v>
      </c>
      <c r="F4460" s="298">
        <f>D4460*E4460</f>
        <v>30</v>
      </c>
      <c r="G4460" s="1181">
        <v>126.67</v>
      </c>
      <c r="H4460" s="1276">
        <f>E4460*G4460</f>
        <v>126.67</v>
      </c>
      <c r="I4460" s="33" t="s">
        <v>5088</v>
      </c>
    </row>
    <row r="4461" spans="1:9">
      <c r="A4461" s="41">
        <v>14552</v>
      </c>
      <c r="B4461" s="1749">
        <v>75</v>
      </c>
      <c r="C4461" s="302" t="s">
        <v>5084</v>
      </c>
      <c r="D4461" s="296">
        <v>30</v>
      </c>
      <c r="E4461" s="297">
        <v>1</v>
      </c>
      <c r="F4461" s="298">
        <f>D4461*E4461</f>
        <v>30</v>
      </c>
      <c r="G4461" s="1181">
        <v>126.67</v>
      </c>
      <c r="H4461" s="1276">
        <f>E4461*G4461</f>
        <v>126.67</v>
      </c>
      <c r="I4461" s="33" t="s">
        <v>5088</v>
      </c>
    </row>
    <row r="4462" spans="1:9">
      <c r="A4462" s="41">
        <v>14552</v>
      </c>
      <c r="B4462" s="1749">
        <v>75</v>
      </c>
      <c r="C4462" s="302" t="s">
        <v>5085</v>
      </c>
      <c r="D4462" s="296">
        <v>30</v>
      </c>
      <c r="E4462" s="297">
        <v>1</v>
      </c>
      <c r="F4462" s="298">
        <f>D4462*E4462</f>
        <v>30</v>
      </c>
      <c r="G4462" s="1181">
        <v>126.67</v>
      </c>
      <c r="H4462" s="1276">
        <f>E4462*G4462</f>
        <v>126.67</v>
      </c>
      <c r="I4462" s="33" t="s">
        <v>5088</v>
      </c>
    </row>
    <row r="4465" spans="1:22" ht="25.5">
      <c r="A4465" s="289" t="s">
        <v>99</v>
      </c>
      <c r="B4465" s="289" t="s">
        <v>45</v>
      </c>
      <c r="C4465" s="289" t="s">
        <v>163</v>
      </c>
      <c r="D4465" s="289" t="s">
        <v>197</v>
      </c>
      <c r="E4465" s="289" t="s">
        <v>198</v>
      </c>
      <c r="F4465" s="1606" t="s">
        <v>5097</v>
      </c>
      <c r="G4465" s="1418" t="s">
        <v>5098</v>
      </c>
    </row>
    <row r="4466" spans="1:22">
      <c r="A4466" s="302" t="s">
        <v>5093</v>
      </c>
      <c r="B4466" s="41" t="s">
        <v>4661</v>
      </c>
      <c r="C4466" s="296">
        <v>14</v>
      </c>
      <c r="D4466" s="297">
        <v>1</v>
      </c>
      <c r="E4466" s="298">
        <f t="shared" ref="E4466:E4467" si="144">C4466*D4466</f>
        <v>14</v>
      </c>
      <c r="F4466" s="1181">
        <v>1.72</v>
      </c>
      <c r="G4466" s="1489" t="s">
        <v>5099</v>
      </c>
    </row>
    <row r="4467" spans="1:22">
      <c r="A4467" s="302" t="s">
        <v>5094</v>
      </c>
      <c r="B4467" s="41" t="s">
        <v>4661</v>
      </c>
      <c r="C4467" s="328">
        <v>13.7</v>
      </c>
      <c r="D4467" s="297">
        <v>1</v>
      </c>
      <c r="E4467" s="328">
        <f t="shared" si="144"/>
        <v>13.7</v>
      </c>
      <c r="F4467" s="1181">
        <v>2.75</v>
      </c>
      <c r="G4467" s="1489" t="s">
        <v>5102</v>
      </c>
    </row>
    <row r="4468" spans="1:22">
      <c r="A4468" s="302" t="s">
        <v>5095</v>
      </c>
      <c r="B4468" s="41" t="s">
        <v>4661</v>
      </c>
      <c r="C4468" s="328">
        <v>13.7</v>
      </c>
      <c r="D4468" s="297">
        <v>1</v>
      </c>
      <c r="E4468" s="328">
        <f t="shared" ref="E4468:E4469" si="145">C4468*D4468</f>
        <v>13.7</v>
      </c>
      <c r="F4468" s="1181">
        <v>1.72</v>
      </c>
      <c r="G4468" s="1489" t="s">
        <v>5100</v>
      </c>
    </row>
    <row r="4469" spans="1:22">
      <c r="A4469" s="302" t="s">
        <v>5096</v>
      </c>
      <c r="B4469" s="41" t="s">
        <v>4661</v>
      </c>
      <c r="C4469" s="328">
        <v>13.7</v>
      </c>
      <c r="D4469" s="297">
        <v>1</v>
      </c>
      <c r="E4469" s="328">
        <f t="shared" si="145"/>
        <v>13.7</v>
      </c>
      <c r="F4469" s="1181">
        <v>2.29</v>
      </c>
      <c r="G4469" s="1489" t="s">
        <v>5101</v>
      </c>
    </row>
    <row r="4470" spans="1:22">
      <c r="A4470" s="41"/>
      <c r="B4470" s="136" t="s">
        <v>218</v>
      </c>
      <c r="C4470" s="292"/>
      <c r="D4470" s="297"/>
      <c r="E4470" s="292">
        <v>1</v>
      </c>
      <c r="F4470" s="1181">
        <v>12</v>
      </c>
      <c r="G4470" s="1489"/>
    </row>
    <row r="4474" spans="1:22">
      <c r="A4474" s="289" t="s">
        <v>99</v>
      </c>
      <c r="B4474" s="289" t="s">
        <v>45</v>
      </c>
      <c r="C4474" s="289" t="s">
        <v>198</v>
      </c>
      <c r="D4474" s="1606" t="s">
        <v>5097</v>
      </c>
      <c r="E4474" s="1606" t="s">
        <v>135</v>
      </c>
    </row>
    <row r="4475" spans="1:22">
      <c r="A4475" s="302" t="s">
        <v>5108</v>
      </c>
      <c r="B4475" s="1805" t="s">
        <v>4661</v>
      </c>
      <c r="C4475" s="298">
        <v>2</v>
      </c>
      <c r="D4475" s="1184">
        <v>9.0500000000000007</v>
      </c>
      <c r="E4475" s="1184">
        <f>D4475*C4475</f>
        <v>18.100000000000001</v>
      </c>
    </row>
    <row r="4476" spans="1:22">
      <c r="A4476" s="41"/>
      <c r="B4476" s="136" t="s">
        <v>218</v>
      </c>
      <c r="C4476" s="292">
        <v>1</v>
      </c>
      <c r="D4476" s="1181">
        <v>12</v>
      </c>
      <c r="E4476" s="1184">
        <f>D4476*C4476</f>
        <v>12</v>
      </c>
    </row>
    <row r="4477" spans="1:22">
      <c r="A4477" s="41"/>
      <c r="B4477" s="136"/>
      <c r="C4477" s="292"/>
      <c r="D4477" s="1487" t="s">
        <v>5109</v>
      </c>
      <c r="E4477" s="1920">
        <f>SUM(E4475:E4476)</f>
        <v>30.1</v>
      </c>
    </row>
    <row r="4479" spans="1:22" s="121" customFormat="1" ht="18" customHeight="1">
      <c r="C4479" s="119" t="s">
        <v>5092</v>
      </c>
      <c r="D4479" s="123" t="s">
        <v>4945</v>
      </c>
      <c r="E4479" s="330" t="s">
        <v>2181</v>
      </c>
      <c r="F4479" s="101"/>
      <c r="G4479" s="102"/>
      <c r="H4479" s="120"/>
      <c r="I4479" s="333"/>
      <c r="J4479" s="120"/>
      <c r="K4479" s="1905" t="s">
        <v>8</v>
      </c>
      <c r="L4479" s="1906"/>
      <c r="M4479" s="1906"/>
      <c r="N4479" s="267" t="s">
        <v>32</v>
      </c>
      <c r="O4479" s="267" t="s">
        <v>32</v>
      </c>
      <c r="P4479" s="1908"/>
      <c r="Q4479" s="1908"/>
      <c r="T4479" s="1313"/>
      <c r="U4479" s="119" t="s">
        <v>3</v>
      </c>
    </row>
    <row r="4480" spans="1:22" s="121" customFormat="1" ht="15.75" customHeight="1">
      <c r="C4480" s="119" t="s">
        <v>5092</v>
      </c>
      <c r="D4480" s="123" t="s">
        <v>4945</v>
      </c>
      <c r="E4480" s="1909" t="s">
        <v>5093</v>
      </c>
      <c r="F4480" s="123"/>
      <c r="G4480" s="102" t="s">
        <v>4661</v>
      </c>
      <c r="H4480" s="122">
        <v>14</v>
      </c>
      <c r="I4480" s="129">
        <v>1</v>
      </c>
      <c r="J4480" s="120">
        <f t="shared" ref="J4480:J4481" si="146">H4480*I4480</f>
        <v>14</v>
      </c>
      <c r="K4480" s="748">
        <v>1.72</v>
      </c>
      <c r="L4480" s="831">
        <f>K4480*J4480</f>
        <v>24.08</v>
      </c>
      <c r="M4480" s="335" t="s">
        <v>224</v>
      </c>
      <c r="N4480" s="267" t="s">
        <v>32</v>
      </c>
      <c r="O4480" s="267" t="s">
        <v>32</v>
      </c>
      <c r="P4480" s="226">
        <v>120</v>
      </c>
      <c r="Q4480" s="226">
        <f>P4480*J4480</f>
        <v>1680</v>
      </c>
      <c r="S4480" s="121">
        <f t="shared" ref="S4480:T4485" si="147">P4480</f>
        <v>120</v>
      </c>
      <c r="T4480" s="1739">
        <f t="shared" si="147"/>
        <v>1680</v>
      </c>
      <c r="U4480" s="226">
        <v>140</v>
      </c>
      <c r="V4480" s="1740">
        <f>(((K4480*U4480)-P4480)/(K4480*U4480))</f>
        <v>0.50166112956810627</v>
      </c>
    </row>
    <row r="4481" spans="1:23" s="121" customFormat="1" ht="15.75" customHeight="1">
      <c r="C4481" s="119" t="s">
        <v>5092</v>
      </c>
      <c r="D4481" s="123" t="s">
        <v>4945</v>
      </c>
      <c r="E4481" s="1909" t="s">
        <v>5094</v>
      </c>
      <c r="F4481" s="123"/>
      <c r="G4481" s="102" t="s">
        <v>4661</v>
      </c>
      <c r="H4481" s="332">
        <v>13.7</v>
      </c>
      <c r="I4481" s="129">
        <v>1</v>
      </c>
      <c r="J4481" s="332">
        <f t="shared" si="146"/>
        <v>13.7</v>
      </c>
      <c r="K4481" s="748">
        <v>2.75</v>
      </c>
      <c r="L4481" s="831">
        <f>K4481*J4481</f>
        <v>37.674999999999997</v>
      </c>
      <c r="M4481" s="335" t="s">
        <v>224</v>
      </c>
      <c r="N4481" s="267" t="s">
        <v>32</v>
      </c>
      <c r="O4481" s="267" t="s">
        <v>32</v>
      </c>
      <c r="P4481" s="226">
        <v>192</v>
      </c>
      <c r="Q4481" s="226">
        <f>P4481*J4481</f>
        <v>2630.3999999999996</v>
      </c>
      <c r="S4481" s="121">
        <f t="shared" si="147"/>
        <v>192</v>
      </c>
      <c r="T4481" s="1739">
        <f t="shared" si="147"/>
        <v>2630.3999999999996</v>
      </c>
      <c r="U4481" s="226">
        <v>140</v>
      </c>
      <c r="V4481" s="1740">
        <f>(((K4481*U4481)-P4481)/(K4481*U4481))</f>
        <v>0.50129870129870124</v>
      </c>
    </row>
    <row r="4482" spans="1:23" s="121" customFormat="1" ht="18" customHeight="1">
      <c r="C4482" s="119" t="s">
        <v>5092</v>
      </c>
      <c r="D4482" s="123" t="s">
        <v>4945</v>
      </c>
      <c r="E4482" s="330" t="s">
        <v>5033</v>
      </c>
      <c r="F4482" s="101"/>
      <c r="G4482" s="102"/>
      <c r="H4482" s="120"/>
      <c r="I4482" s="333"/>
      <c r="J4482" s="120"/>
      <c r="K4482" s="1905" t="s">
        <v>8</v>
      </c>
      <c r="L4482" s="1906"/>
      <c r="M4482" s="1906"/>
      <c r="N4482" s="267" t="s">
        <v>32</v>
      </c>
      <c r="O4482" s="267" t="s">
        <v>32</v>
      </c>
      <c r="P4482" s="1908"/>
      <c r="Q4482" s="1908"/>
      <c r="T4482" s="1313"/>
      <c r="U4482" s="119" t="s">
        <v>3</v>
      </c>
    </row>
    <row r="4483" spans="1:23" s="121" customFormat="1" ht="15.75" customHeight="1">
      <c r="C4483" s="119" t="s">
        <v>5092</v>
      </c>
      <c r="D4483" s="123" t="s">
        <v>4945</v>
      </c>
      <c r="E4483" s="1909" t="s">
        <v>5095</v>
      </c>
      <c r="F4483" s="123"/>
      <c r="G4483" s="102" t="s">
        <v>4661</v>
      </c>
      <c r="H4483" s="332">
        <v>13.7</v>
      </c>
      <c r="I4483" s="129">
        <v>1</v>
      </c>
      <c r="J4483" s="332">
        <f t="shared" ref="J4483:J4484" si="148">H4483*I4483</f>
        <v>13.7</v>
      </c>
      <c r="K4483" s="748">
        <v>1.72</v>
      </c>
      <c r="L4483" s="831">
        <f>K4483*J4483</f>
        <v>23.564</v>
      </c>
      <c r="M4483" s="335" t="s">
        <v>224</v>
      </c>
      <c r="N4483" s="267" t="s">
        <v>32</v>
      </c>
      <c r="O4483" s="267" t="s">
        <v>32</v>
      </c>
      <c r="P4483" s="226">
        <v>120</v>
      </c>
      <c r="Q4483" s="226">
        <f>P4483*J4483</f>
        <v>1644</v>
      </c>
      <c r="S4483" s="121">
        <f t="shared" ref="S4483:T4484" si="149">P4483</f>
        <v>120</v>
      </c>
      <c r="T4483" s="1739">
        <f t="shared" si="149"/>
        <v>1644</v>
      </c>
      <c r="U4483" s="226">
        <v>140</v>
      </c>
      <c r="V4483" s="1740">
        <f>(((K4483*U4483)-P4483)/(K4483*U4483))</f>
        <v>0.50166112956810627</v>
      </c>
    </row>
    <row r="4484" spans="1:23" s="121" customFormat="1" ht="15.75" customHeight="1">
      <c r="C4484" s="119" t="s">
        <v>5092</v>
      </c>
      <c r="D4484" s="123" t="s">
        <v>4945</v>
      </c>
      <c r="E4484" s="1909" t="s">
        <v>5096</v>
      </c>
      <c r="F4484" s="123"/>
      <c r="G4484" s="102" t="s">
        <v>4661</v>
      </c>
      <c r="H4484" s="332">
        <v>13.7</v>
      </c>
      <c r="I4484" s="129">
        <v>1</v>
      </c>
      <c r="J4484" s="332">
        <f t="shared" si="148"/>
        <v>13.7</v>
      </c>
      <c r="K4484" s="748">
        <v>2.29</v>
      </c>
      <c r="L4484" s="831">
        <f>K4484*J4484</f>
        <v>31.372999999999998</v>
      </c>
      <c r="M4484" s="335" t="s">
        <v>224</v>
      </c>
      <c r="N4484" s="267" t="s">
        <v>32</v>
      </c>
      <c r="O4484" s="267" t="s">
        <v>32</v>
      </c>
      <c r="P4484" s="226">
        <v>160</v>
      </c>
      <c r="Q4484" s="226">
        <f>P4484*J4484</f>
        <v>2192</v>
      </c>
      <c r="S4484" s="121">
        <f t="shared" si="149"/>
        <v>160</v>
      </c>
      <c r="T4484" s="1739">
        <f t="shared" si="149"/>
        <v>2192</v>
      </c>
      <c r="U4484" s="226">
        <v>140</v>
      </c>
      <c r="V4484" s="1740">
        <f>(((K4484*U4484)-P4484)/(K4484*U4484))</f>
        <v>0.50093574547723019</v>
      </c>
    </row>
    <row r="4485" spans="1:23" s="341" customFormat="1" ht="18" customHeight="1">
      <c r="C4485" s="119" t="s">
        <v>5092</v>
      </c>
      <c r="D4485" s="123" t="s">
        <v>4945</v>
      </c>
      <c r="E4485" s="102"/>
      <c r="F4485" s="105"/>
      <c r="G4485" s="105" t="s">
        <v>218</v>
      </c>
      <c r="H4485" s="339"/>
      <c r="I4485" s="129"/>
      <c r="J4485" s="339">
        <v>1</v>
      </c>
      <c r="K4485" s="748">
        <v>12</v>
      </c>
      <c r="L4485" s="831">
        <f t="shared" ref="L4485" si="150">K4485*J4485</f>
        <v>12</v>
      </c>
      <c r="M4485" s="335"/>
      <c r="N4485" s="267" t="s">
        <v>32</v>
      </c>
      <c r="O4485" s="267" t="s">
        <v>32</v>
      </c>
      <c r="P4485" s="1910">
        <v>900</v>
      </c>
      <c r="Q4485" s="1910">
        <f t="shared" ref="Q4485" si="151">P4485*J4485</f>
        <v>900</v>
      </c>
      <c r="S4485" s="121">
        <f t="shared" si="147"/>
        <v>900</v>
      </c>
      <c r="T4485" s="1739">
        <f t="shared" si="147"/>
        <v>900</v>
      </c>
      <c r="U4485" s="226">
        <v>125</v>
      </c>
      <c r="V4485" s="1740">
        <f t="shared" ref="V4485" si="152">(((K4485*U4485)-P4485)/(K4485*U4485))</f>
        <v>0.4</v>
      </c>
    </row>
    <row r="4486" spans="1:23" s="341" customFormat="1" ht="15">
      <c r="B4486" s="1911"/>
      <c r="C4486" s="119" t="s">
        <v>5092</v>
      </c>
      <c r="D4486" s="123" t="s">
        <v>4945</v>
      </c>
      <c r="E4486" s="102"/>
      <c r="F4486" s="105"/>
      <c r="G4486" s="1912" t="s">
        <v>168</v>
      </c>
      <c r="H4486" s="339" t="s">
        <v>169</v>
      </c>
      <c r="I4486" s="129"/>
      <c r="J4486" s="122"/>
      <c r="K4486" s="109">
        <v>0</v>
      </c>
      <c r="L4486" s="1907"/>
      <c r="M4486" s="1907"/>
      <c r="N4486" s="267" t="s">
        <v>32</v>
      </c>
      <c r="O4486" s="267" t="s">
        <v>32</v>
      </c>
      <c r="P4486" s="119"/>
      <c r="Q4486" s="1913">
        <v>0</v>
      </c>
      <c r="S4486" s="1914">
        <v>0</v>
      </c>
      <c r="T4486" s="340">
        <v>0</v>
      </c>
      <c r="U4486" s="1915"/>
      <c r="V4486" s="1914">
        <v>120</v>
      </c>
      <c r="W4486" s="1740" t="e">
        <f t="shared" ref="W4486" si="153">(((K4486*V4486)-S4486)/(K4486*V4486))</f>
        <v>#DIV/0!</v>
      </c>
    </row>
    <row r="4489" spans="1:23" s="290" customFormat="1" ht="12.75">
      <c r="A4489" s="289" t="s">
        <v>99</v>
      </c>
      <c r="B4489" s="289" t="s">
        <v>16</v>
      </c>
      <c r="C4489" s="289" t="s">
        <v>45</v>
      </c>
      <c r="D4489" s="289" t="s">
        <v>163</v>
      </c>
      <c r="E4489" s="289" t="s">
        <v>197</v>
      </c>
      <c r="F4489" s="289" t="s">
        <v>198</v>
      </c>
      <c r="G4489" s="1606" t="s">
        <v>5089</v>
      </c>
      <c r="H4489" s="1606" t="s">
        <v>5090</v>
      </c>
      <c r="I4489" s="1606" t="s">
        <v>4275</v>
      </c>
    </row>
    <row r="4490" spans="1:23" s="290" customFormat="1" ht="12.75">
      <c r="A4490" s="336" t="s">
        <v>84</v>
      </c>
      <c r="B4490" s="1815"/>
      <c r="C4490" s="41"/>
      <c r="D4490" s="298" t="s">
        <v>265</v>
      </c>
      <c r="E4490" s="299"/>
      <c r="F4490" s="296"/>
      <c r="G4490" s="44" t="s">
        <v>7</v>
      </c>
      <c r="H4490" s="33"/>
      <c r="I4490" s="33"/>
    </row>
    <row r="4491" spans="1:23" s="290" customFormat="1" ht="12.75">
      <c r="A4491" s="41">
        <v>14552</v>
      </c>
      <c r="B4491" s="1749">
        <v>75</v>
      </c>
      <c r="C4491" s="302">
        <v>164</v>
      </c>
      <c r="D4491" s="1415">
        <v>30</v>
      </c>
      <c r="E4491" s="1416">
        <v>1</v>
      </c>
      <c r="F4491" s="43">
        <f>D4491*E4491</f>
        <v>30</v>
      </c>
      <c r="G4491" s="1181">
        <v>126.67</v>
      </c>
      <c r="H4491" s="1276">
        <f>E4491*G4491</f>
        <v>126.67</v>
      </c>
    </row>
    <row r="4492" spans="1:23" s="290" customFormat="1" ht="12.75">
      <c r="A4492" s="41">
        <v>14552</v>
      </c>
      <c r="B4492" s="1749">
        <v>100</v>
      </c>
      <c r="C4492" s="302">
        <v>30</v>
      </c>
      <c r="D4492" s="1415">
        <v>30</v>
      </c>
      <c r="E4492" s="1416">
        <v>1</v>
      </c>
      <c r="F4492" s="43">
        <f>D4492*E4492</f>
        <v>30</v>
      </c>
      <c r="G4492" s="1181">
        <v>193</v>
      </c>
      <c r="H4492" s="1276">
        <f>E4492*G4492</f>
        <v>193</v>
      </c>
    </row>
    <row r="4495" spans="1:23">
      <c r="A4495" s="289" t="s">
        <v>99</v>
      </c>
      <c r="B4495" s="289" t="s">
        <v>16</v>
      </c>
      <c r="C4495" s="289" t="s">
        <v>45</v>
      </c>
      <c r="D4495" s="289" t="s">
        <v>163</v>
      </c>
      <c r="E4495" s="289" t="s">
        <v>197</v>
      </c>
      <c r="F4495" s="289" t="s">
        <v>198</v>
      </c>
      <c r="G4495" s="1606" t="s">
        <v>5089</v>
      </c>
      <c r="H4495" s="1606" t="s">
        <v>5090</v>
      </c>
      <c r="I4495" s="1606" t="s">
        <v>4275</v>
      </c>
    </row>
    <row r="4496" spans="1:23">
      <c r="A4496" s="1400" t="s">
        <v>5111</v>
      </c>
      <c r="B4496" s="42"/>
      <c r="C4496" s="41"/>
      <c r="D4496" s="298"/>
      <c r="E4496" s="299"/>
      <c r="F4496" s="298"/>
      <c r="G4496" s="44" t="s">
        <v>7</v>
      </c>
      <c r="H4496" s="33"/>
      <c r="I4496" s="33"/>
    </row>
    <row r="4497" spans="1:9">
      <c r="A4497" s="41">
        <v>11707</v>
      </c>
      <c r="B4497" s="1926">
        <v>18</v>
      </c>
      <c r="C4497" s="302" t="s">
        <v>5119</v>
      </c>
      <c r="D4497" s="1415">
        <v>10</v>
      </c>
      <c r="E4497" s="1416">
        <v>1</v>
      </c>
      <c r="F4497" s="298">
        <f>D4497*E4497</f>
        <v>10</v>
      </c>
      <c r="G4497" s="1564">
        <v>22.45</v>
      </c>
      <c r="H4497" s="1276">
        <f>E4497*G4497</f>
        <v>22.45</v>
      </c>
      <c r="I4497" s="33" t="s">
        <v>5118</v>
      </c>
    </row>
    <row r="4498" spans="1:9">
      <c r="A4498" s="41">
        <v>11707</v>
      </c>
      <c r="B4498" s="1926">
        <v>18</v>
      </c>
      <c r="C4498" s="302" t="s">
        <v>5120</v>
      </c>
      <c r="D4498" s="1415">
        <v>10</v>
      </c>
      <c r="E4498" s="1416">
        <v>1</v>
      </c>
      <c r="F4498" s="298">
        <f>D4498*E4498</f>
        <v>10</v>
      </c>
      <c r="G4498" s="1564">
        <v>22.45</v>
      </c>
      <c r="H4498" s="1276">
        <f>E4498*G4498</f>
        <v>22.45</v>
      </c>
      <c r="I4498" s="132" t="s">
        <v>5139</v>
      </c>
    </row>
    <row r="4499" spans="1:9">
      <c r="A4499" s="1400" t="s">
        <v>5112</v>
      </c>
      <c r="B4499" s="42"/>
      <c r="C4499" s="41"/>
      <c r="D4499" s="298"/>
      <c r="E4499" s="299"/>
      <c r="F4499" s="298"/>
      <c r="G4499" s="44"/>
      <c r="H4499" s="688"/>
      <c r="I4499" s="1106"/>
    </row>
    <row r="4500" spans="1:9">
      <c r="A4500" s="41">
        <v>12701</v>
      </c>
      <c r="B4500" s="1926">
        <v>50</v>
      </c>
      <c r="C4500" s="302" t="s">
        <v>5121</v>
      </c>
      <c r="D4500" s="1415">
        <v>10</v>
      </c>
      <c r="E4500" s="1416">
        <v>1</v>
      </c>
      <c r="F4500" s="298">
        <f>D4500*E4500</f>
        <v>10</v>
      </c>
      <c r="G4500" s="1564">
        <v>36.36</v>
      </c>
      <c r="H4500" s="1276">
        <f>E4500*G4500</f>
        <v>36.36</v>
      </c>
      <c r="I4500" s="33" t="s">
        <v>5118</v>
      </c>
    </row>
    <row r="4501" spans="1:9">
      <c r="A4501" s="41">
        <v>12701</v>
      </c>
      <c r="B4501" s="1926">
        <v>50</v>
      </c>
      <c r="C4501" s="302" t="s">
        <v>5122</v>
      </c>
      <c r="D4501" s="1415">
        <v>10</v>
      </c>
      <c r="E4501" s="1416">
        <v>1</v>
      </c>
      <c r="F4501" s="298">
        <f>D4501*E4501</f>
        <v>10</v>
      </c>
      <c r="G4501" s="1564">
        <v>36.36</v>
      </c>
      <c r="H4501" s="1276">
        <f>E4501*G4501</f>
        <v>36.36</v>
      </c>
      <c r="I4501" s="33" t="s">
        <v>5118</v>
      </c>
    </row>
    <row r="4502" spans="1:9">
      <c r="A4502" s="41">
        <v>12701</v>
      </c>
      <c r="B4502" s="1926">
        <v>50</v>
      </c>
      <c r="C4502" s="302" t="s">
        <v>5123</v>
      </c>
      <c r="D4502" s="1415">
        <v>10</v>
      </c>
      <c r="E4502" s="1416">
        <v>1</v>
      </c>
      <c r="F4502" s="298">
        <f>D4502*E4502</f>
        <v>10</v>
      </c>
      <c r="G4502" s="1564">
        <v>36.36</v>
      </c>
      <c r="H4502" s="1276">
        <f>E4502*G4502</f>
        <v>36.36</v>
      </c>
      <c r="I4502" s="33" t="s">
        <v>5118</v>
      </c>
    </row>
    <row r="4503" spans="1:9">
      <c r="A4503" s="41">
        <v>12701</v>
      </c>
      <c r="B4503" s="1926">
        <v>50</v>
      </c>
      <c r="C4503" s="302" t="s">
        <v>5124</v>
      </c>
      <c r="D4503" s="1415">
        <v>10</v>
      </c>
      <c r="E4503" s="1416">
        <v>1</v>
      </c>
      <c r="F4503" s="298">
        <f>D4503*E4503</f>
        <v>10</v>
      </c>
      <c r="G4503" s="1564">
        <v>36.36</v>
      </c>
      <c r="H4503" s="1276">
        <f>E4503*G4503</f>
        <v>36.36</v>
      </c>
      <c r="I4503" s="33" t="s">
        <v>5118</v>
      </c>
    </row>
    <row r="4504" spans="1:9">
      <c r="A4504" s="41">
        <v>12701</v>
      </c>
      <c r="B4504" s="1926">
        <v>50</v>
      </c>
      <c r="C4504" s="302" t="s">
        <v>5125</v>
      </c>
      <c r="D4504" s="1415">
        <v>10</v>
      </c>
      <c r="E4504" s="1416">
        <v>1</v>
      </c>
      <c r="F4504" s="298">
        <f>D4504*E4504</f>
        <v>10</v>
      </c>
      <c r="G4504" s="1564">
        <v>36.36</v>
      </c>
      <c r="H4504" s="1276">
        <f>E4504*G4504</f>
        <v>36.36</v>
      </c>
      <c r="I4504" s="33" t="s">
        <v>5118</v>
      </c>
    </row>
    <row r="4505" spans="1:9">
      <c r="A4505" s="1400" t="s">
        <v>5113</v>
      </c>
      <c r="B4505" s="42"/>
      <c r="C4505" s="41"/>
      <c r="D4505" s="298"/>
      <c r="E4505" s="299"/>
      <c r="F4505" s="298"/>
      <c r="G4505" s="44"/>
      <c r="H4505" s="688"/>
      <c r="I4505" s="688"/>
    </row>
    <row r="4506" spans="1:9">
      <c r="A4506" s="41">
        <v>8005</v>
      </c>
      <c r="B4506" s="1926">
        <v>50</v>
      </c>
      <c r="C4506" s="302" t="s">
        <v>258</v>
      </c>
      <c r="D4506" s="1415">
        <v>10</v>
      </c>
      <c r="E4506" s="1416">
        <v>1</v>
      </c>
      <c r="F4506" s="298">
        <f>D4506*E4506</f>
        <v>10</v>
      </c>
      <c r="G4506" s="1564">
        <v>49.53</v>
      </c>
      <c r="H4506" s="1276">
        <f>E4506*G4506</f>
        <v>49.53</v>
      </c>
      <c r="I4506" s="33" t="s">
        <v>5118</v>
      </c>
    </row>
    <row r="4507" spans="1:9">
      <c r="A4507" s="1400" t="s">
        <v>5114</v>
      </c>
      <c r="B4507" s="42"/>
      <c r="C4507" s="41"/>
      <c r="D4507" s="298"/>
      <c r="E4507" s="299"/>
      <c r="F4507" s="298"/>
      <c r="G4507" s="44"/>
      <c r="H4507" s="688"/>
      <c r="I4507" s="688"/>
    </row>
    <row r="4508" spans="1:9">
      <c r="A4508" s="41" t="s">
        <v>5115</v>
      </c>
      <c r="B4508" s="1926">
        <v>50</v>
      </c>
      <c r="C4508" s="302" t="s">
        <v>5126</v>
      </c>
      <c r="D4508" s="1415">
        <v>30</v>
      </c>
      <c r="E4508" s="1416">
        <v>1</v>
      </c>
      <c r="F4508" s="298">
        <f>D4508*E4508</f>
        <v>30</v>
      </c>
      <c r="G4508" s="1564">
        <v>77.040000000000006</v>
      </c>
      <c r="H4508" s="1276">
        <f>E4508*G4508</f>
        <v>77.040000000000006</v>
      </c>
      <c r="I4508" s="33" t="s">
        <v>5118</v>
      </c>
    </row>
    <row r="4509" spans="1:9">
      <c r="A4509" s="41" t="s">
        <v>5115</v>
      </c>
      <c r="B4509" s="1926">
        <v>50</v>
      </c>
      <c r="C4509" s="302" t="s">
        <v>5127</v>
      </c>
      <c r="D4509" s="1415">
        <v>30</v>
      </c>
      <c r="E4509" s="1416">
        <v>1</v>
      </c>
      <c r="F4509" s="298">
        <f>D4509*E4509</f>
        <v>30</v>
      </c>
      <c r="G4509" s="1564">
        <v>77.040000000000006</v>
      </c>
      <c r="H4509" s="1276">
        <f>E4509*G4509</f>
        <v>77.040000000000006</v>
      </c>
      <c r="I4509" s="33" t="s">
        <v>5118</v>
      </c>
    </row>
    <row r="4510" spans="1:9">
      <c r="A4510" s="41" t="s">
        <v>5115</v>
      </c>
      <c r="B4510" s="1926">
        <v>50</v>
      </c>
      <c r="C4510" s="302" t="s">
        <v>5128</v>
      </c>
      <c r="D4510" s="1415">
        <v>30</v>
      </c>
      <c r="E4510" s="1416">
        <v>1</v>
      </c>
      <c r="F4510" s="298">
        <f>D4510*E4510</f>
        <v>30</v>
      </c>
      <c r="G4510" s="1564">
        <v>77.040000000000006</v>
      </c>
      <c r="H4510" s="1276">
        <f>E4510*G4510</f>
        <v>77.040000000000006</v>
      </c>
      <c r="I4510" s="33" t="s">
        <v>5118</v>
      </c>
    </row>
    <row r="4511" spans="1:9">
      <c r="A4511" s="41" t="s">
        <v>5115</v>
      </c>
      <c r="B4511" s="1926">
        <v>50</v>
      </c>
      <c r="C4511" s="302" t="s">
        <v>5129</v>
      </c>
      <c r="D4511" s="1415">
        <v>30</v>
      </c>
      <c r="E4511" s="1416">
        <v>1</v>
      </c>
      <c r="F4511" s="298">
        <f>D4511*E4511</f>
        <v>30</v>
      </c>
      <c r="G4511" s="1564">
        <v>77.040000000000006</v>
      </c>
      <c r="H4511" s="1276">
        <f>E4511*G4511</f>
        <v>77.040000000000006</v>
      </c>
      <c r="I4511" s="33" t="s">
        <v>5118</v>
      </c>
    </row>
    <row r="4512" spans="1:9">
      <c r="A4512" s="1400" t="s">
        <v>5116</v>
      </c>
      <c r="B4512" s="42"/>
      <c r="C4512" s="41"/>
      <c r="D4512" s="298"/>
      <c r="E4512" s="299"/>
      <c r="F4512" s="298"/>
      <c r="G4512" s="44"/>
      <c r="H4512" s="688"/>
      <c r="I4512" s="688"/>
    </row>
    <row r="4513" spans="1:9">
      <c r="A4513" s="41">
        <v>3770</v>
      </c>
      <c r="B4513" s="1926">
        <v>25</v>
      </c>
      <c r="C4513" s="302" t="s">
        <v>5130</v>
      </c>
      <c r="D4513" s="1927">
        <v>20</v>
      </c>
      <c r="E4513" s="1416">
        <v>1</v>
      </c>
      <c r="F4513" s="298">
        <f>D4513*E4513</f>
        <v>20</v>
      </c>
      <c r="G4513" s="1564">
        <v>27.78</v>
      </c>
      <c r="H4513" s="1276">
        <f>E4513*G4513</f>
        <v>27.78</v>
      </c>
      <c r="I4513" s="33" t="s">
        <v>5118</v>
      </c>
    </row>
    <row r="4514" spans="1:9">
      <c r="A4514" s="41">
        <v>3770</v>
      </c>
      <c r="B4514" s="1926">
        <v>25</v>
      </c>
      <c r="C4514" s="302" t="s">
        <v>5131</v>
      </c>
      <c r="D4514" s="1927">
        <v>20</v>
      </c>
      <c r="E4514" s="1416">
        <v>1</v>
      </c>
      <c r="F4514" s="298">
        <f>D4514*E4514</f>
        <v>20</v>
      </c>
      <c r="G4514" s="1564">
        <v>27.78</v>
      </c>
      <c r="H4514" s="1276">
        <f>E4514*G4514</f>
        <v>27.78</v>
      </c>
      <c r="I4514" s="33" t="s">
        <v>5118</v>
      </c>
    </row>
    <row r="4515" spans="1:9">
      <c r="A4515" s="41">
        <v>3770</v>
      </c>
      <c r="B4515" s="1926">
        <v>25</v>
      </c>
      <c r="C4515" s="302" t="s">
        <v>5132</v>
      </c>
      <c r="D4515" s="1927">
        <v>20</v>
      </c>
      <c r="E4515" s="1416">
        <v>1</v>
      </c>
      <c r="F4515" s="298">
        <f>D4515*E4515</f>
        <v>20</v>
      </c>
      <c r="G4515" s="1564">
        <v>27.78</v>
      </c>
      <c r="H4515" s="1276">
        <f>E4515*G4515</f>
        <v>27.78</v>
      </c>
      <c r="I4515" s="33" t="s">
        <v>5118</v>
      </c>
    </row>
    <row r="4516" spans="1:9">
      <c r="A4516" s="1400" t="s">
        <v>5116</v>
      </c>
      <c r="B4516" s="42"/>
      <c r="C4516" s="41"/>
      <c r="D4516" s="298"/>
      <c r="E4516" s="299"/>
      <c r="F4516" s="298"/>
      <c r="G4516" s="44"/>
      <c r="H4516" s="688"/>
      <c r="I4516" s="688"/>
    </row>
    <row r="4517" spans="1:9">
      <c r="A4517" s="41">
        <v>3780</v>
      </c>
      <c r="B4517" s="1926">
        <v>15</v>
      </c>
      <c r="C4517" s="302" t="s">
        <v>5120</v>
      </c>
      <c r="D4517" s="1927">
        <v>20</v>
      </c>
      <c r="E4517" s="1416">
        <v>1</v>
      </c>
      <c r="F4517" s="298">
        <f>D4517*E4517</f>
        <v>20</v>
      </c>
      <c r="G4517" s="1564">
        <v>17.86</v>
      </c>
      <c r="H4517" s="1276">
        <f>E4517*G4517</f>
        <v>17.86</v>
      </c>
      <c r="I4517" s="33" t="s">
        <v>5118</v>
      </c>
    </row>
    <row r="4518" spans="1:9">
      <c r="A4518" s="41">
        <v>3780</v>
      </c>
      <c r="B4518" s="1926">
        <v>15</v>
      </c>
      <c r="C4518" s="302" t="s">
        <v>5133</v>
      </c>
      <c r="D4518" s="1927">
        <v>20</v>
      </c>
      <c r="E4518" s="1416">
        <v>1</v>
      </c>
      <c r="F4518" s="298">
        <f>D4518*E4518</f>
        <v>20</v>
      </c>
      <c r="G4518" s="1564">
        <v>17.86</v>
      </c>
      <c r="H4518" s="1276">
        <f>E4518*G4518</f>
        <v>17.86</v>
      </c>
      <c r="I4518" s="33" t="s">
        <v>5118</v>
      </c>
    </row>
    <row r="4519" spans="1:9">
      <c r="A4519" s="1400" t="s">
        <v>5117</v>
      </c>
      <c r="B4519" s="42"/>
      <c r="C4519" s="41"/>
      <c r="D4519" s="298"/>
      <c r="E4519" s="299"/>
      <c r="F4519" s="298"/>
      <c r="G4519" s="44"/>
      <c r="H4519" s="688"/>
      <c r="I4519" s="688"/>
    </row>
    <row r="4520" spans="1:9">
      <c r="A4520" s="41">
        <v>1453</v>
      </c>
      <c r="B4520" s="1926">
        <v>33</v>
      </c>
      <c r="C4520" s="302" t="s">
        <v>5134</v>
      </c>
      <c r="D4520" s="1927">
        <v>30</v>
      </c>
      <c r="E4520" s="1416">
        <v>1</v>
      </c>
      <c r="F4520" s="298">
        <f>D4520*E4520</f>
        <v>30</v>
      </c>
      <c r="G4520" s="1564">
        <v>38.94</v>
      </c>
      <c r="H4520" s="1276">
        <f>E4520*G4520</f>
        <v>38.94</v>
      </c>
      <c r="I4520" s="33" t="s">
        <v>5118</v>
      </c>
    </row>
    <row r="4521" spans="1:9">
      <c r="A4521" s="41">
        <v>1453</v>
      </c>
      <c r="B4521" s="1926">
        <v>33</v>
      </c>
      <c r="C4521" s="302" t="s">
        <v>5135</v>
      </c>
      <c r="D4521" s="1927">
        <v>30</v>
      </c>
      <c r="E4521" s="1416">
        <v>1</v>
      </c>
      <c r="F4521" s="298">
        <f>D4521*E4521</f>
        <v>30</v>
      </c>
      <c r="G4521" s="1564">
        <v>38.94</v>
      </c>
      <c r="H4521" s="1276">
        <f>E4521*G4521</f>
        <v>38.94</v>
      </c>
      <c r="I4521" s="33" t="s">
        <v>5118</v>
      </c>
    </row>
    <row r="4522" spans="1:9">
      <c r="A4522" s="41">
        <v>1453</v>
      </c>
      <c r="B4522" s="1926">
        <v>33</v>
      </c>
      <c r="C4522" s="302" t="s">
        <v>5136</v>
      </c>
      <c r="D4522" s="1927">
        <v>30</v>
      </c>
      <c r="E4522" s="1416">
        <v>1</v>
      </c>
      <c r="F4522" s="298">
        <f>D4522*E4522</f>
        <v>30</v>
      </c>
      <c r="G4522" s="1564">
        <v>38.94</v>
      </c>
      <c r="H4522" s="1276">
        <f>E4522*G4522</f>
        <v>38.94</v>
      </c>
      <c r="I4522" s="33" t="s">
        <v>5118</v>
      </c>
    </row>
    <row r="4523" spans="1:9">
      <c r="A4523" s="41">
        <v>1453</v>
      </c>
      <c r="B4523" s="1926">
        <v>33</v>
      </c>
      <c r="C4523" s="302" t="s">
        <v>5137</v>
      </c>
      <c r="D4523" s="1927">
        <v>30</v>
      </c>
      <c r="E4523" s="1416">
        <v>1</v>
      </c>
      <c r="F4523" s="298">
        <f>D4523*E4523</f>
        <v>30</v>
      </c>
      <c r="G4523" s="1564">
        <v>38.94</v>
      </c>
      <c r="H4523" s="1276">
        <f>E4523*G4523</f>
        <v>38.94</v>
      </c>
      <c r="I4523" s="33" t="s">
        <v>5118</v>
      </c>
    </row>
    <row r="4524" spans="1:9">
      <c r="A4524" s="336" t="s">
        <v>84</v>
      </c>
      <c r="B4524" s="1815"/>
      <c r="C4524" s="41"/>
      <c r="D4524" s="298" t="s">
        <v>265</v>
      </c>
      <c r="E4524" s="299"/>
      <c r="F4524" s="296"/>
      <c r="G4524" s="44"/>
      <c r="H4524" s="33"/>
      <c r="I4524" s="33"/>
    </row>
    <row r="4525" spans="1:9">
      <c r="A4525" s="41">
        <v>14552</v>
      </c>
      <c r="B4525" s="1749">
        <v>75</v>
      </c>
      <c r="C4525" s="302" t="s">
        <v>5138</v>
      </c>
      <c r="D4525" s="1415">
        <v>30</v>
      </c>
      <c r="E4525" s="1416">
        <v>1</v>
      </c>
      <c r="F4525" s="298">
        <f>D4525*E4525</f>
        <v>30</v>
      </c>
      <c r="G4525" s="1181">
        <v>126.67</v>
      </c>
      <c r="H4525" s="1276">
        <f>E4525*G4525</f>
        <v>126.67</v>
      </c>
      <c r="I4525" s="33" t="s">
        <v>5118</v>
      </c>
    </row>
    <row r="4526" spans="1:9">
      <c r="A4526" s="41">
        <v>14552</v>
      </c>
      <c r="B4526" s="1749">
        <v>100</v>
      </c>
      <c r="C4526" s="302" t="s">
        <v>5120</v>
      </c>
      <c r="D4526" s="1415">
        <v>30</v>
      </c>
      <c r="E4526" s="1416">
        <v>1</v>
      </c>
      <c r="F4526" s="298">
        <f>D4526*E4526</f>
        <v>30</v>
      </c>
      <c r="G4526" s="1181">
        <v>193</v>
      </c>
      <c r="H4526" s="1276">
        <f>E4526*G4526</f>
        <v>193</v>
      </c>
      <c r="I4526" s="33" t="s">
        <v>5118</v>
      </c>
    </row>
    <row r="4527" spans="1:9">
      <c r="A4527" s="1485"/>
      <c r="B4527" s="1929"/>
      <c r="C4527" s="376"/>
      <c r="D4527" s="1930"/>
      <c r="E4527" s="1931"/>
      <c r="F4527" s="1544"/>
      <c r="G4527" s="1211"/>
      <c r="H4527" s="1932"/>
      <c r="I4527" s="1933"/>
    </row>
    <row r="4529" spans="1:9" s="290" customFormat="1" ht="12.75">
      <c r="A4529" s="289" t="s">
        <v>99</v>
      </c>
      <c r="B4529" s="289" t="s">
        <v>16</v>
      </c>
      <c r="C4529" s="289" t="s">
        <v>45</v>
      </c>
      <c r="D4529" s="289" t="s">
        <v>163</v>
      </c>
      <c r="E4529" s="289" t="s">
        <v>197</v>
      </c>
      <c r="F4529" s="289" t="s">
        <v>198</v>
      </c>
      <c r="G4529" s="1606" t="s">
        <v>5089</v>
      </c>
      <c r="H4529" s="1606" t="s">
        <v>5090</v>
      </c>
      <c r="I4529" s="1606" t="s">
        <v>4275</v>
      </c>
    </row>
    <row r="4530" spans="1:9" s="290" customFormat="1" ht="12.75">
      <c r="A4530" s="1400" t="s">
        <v>5111</v>
      </c>
      <c r="B4530" s="42"/>
      <c r="C4530" s="41"/>
      <c r="D4530" s="298"/>
      <c r="E4530" s="299"/>
      <c r="F4530" s="298"/>
      <c r="G4530" s="44" t="s">
        <v>7</v>
      </c>
      <c r="H4530" s="33"/>
      <c r="I4530" s="33"/>
    </row>
    <row r="4531" spans="1:9" s="290" customFormat="1" ht="12.75">
      <c r="A4531" s="41">
        <v>11707</v>
      </c>
      <c r="B4531" s="1926">
        <v>18</v>
      </c>
      <c r="C4531" s="302" t="s">
        <v>4626</v>
      </c>
      <c r="D4531" s="1415">
        <v>10</v>
      </c>
      <c r="E4531" s="1416">
        <v>1</v>
      </c>
      <c r="F4531" s="298">
        <f>D4531*E4531</f>
        <v>10</v>
      </c>
      <c r="G4531" s="1564">
        <v>22.45</v>
      </c>
      <c r="H4531" s="1276">
        <f>E4531*G4531</f>
        <v>22.45</v>
      </c>
      <c r="I4531" s="33" t="s">
        <v>4276</v>
      </c>
    </row>
    <row r="4532" spans="1:9" s="290" customFormat="1" ht="12.75">
      <c r="A4532" s="1934">
        <v>11707</v>
      </c>
      <c r="B4532" s="1926">
        <v>18</v>
      </c>
      <c r="C4532" s="302" t="s">
        <v>85</v>
      </c>
      <c r="D4532" s="1415">
        <v>10</v>
      </c>
      <c r="E4532" s="1416">
        <v>1</v>
      </c>
      <c r="F4532" s="298">
        <f>D4532*E4532</f>
        <v>10</v>
      </c>
      <c r="G4532" s="1564">
        <v>22.45</v>
      </c>
      <c r="H4532" s="1276">
        <f>E4532*G4532</f>
        <v>22.45</v>
      </c>
      <c r="I4532" s="132" t="s">
        <v>5140</v>
      </c>
    </row>
    <row r="4533" spans="1:9" s="290" customFormat="1" ht="12.75">
      <c r="A4533" s="1928">
        <v>11707</v>
      </c>
      <c r="B4533" s="1926">
        <v>18</v>
      </c>
      <c r="C4533" s="302" t="s">
        <v>15</v>
      </c>
      <c r="D4533" s="1415">
        <v>10</v>
      </c>
      <c r="E4533" s="1416">
        <v>1</v>
      </c>
      <c r="F4533" s="298">
        <f>D4533*E4533</f>
        <v>10</v>
      </c>
      <c r="G4533" s="1564">
        <v>22.45</v>
      </c>
      <c r="H4533" s="1276">
        <f>E4533*G4533</f>
        <v>22.45</v>
      </c>
      <c r="I4533" s="33" t="s">
        <v>4276</v>
      </c>
    </row>
    <row r="4534" spans="1:9" s="290" customFormat="1" ht="12.75">
      <c r="A4534" s="1400" t="s">
        <v>5112</v>
      </c>
      <c r="B4534" s="42"/>
      <c r="C4534" s="41"/>
      <c r="D4534" s="298"/>
      <c r="E4534" s="299"/>
      <c r="F4534" s="298"/>
      <c r="G4534" s="44"/>
      <c r="H4534" s="688"/>
      <c r="I4534" s="688"/>
    </row>
    <row r="4535" spans="1:9" s="290" customFormat="1" ht="12.75">
      <c r="A4535" s="41">
        <v>12701</v>
      </c>
      <c r="B4535" s="1926">
        <v>50</v>
      </c>
      <c r="C4535" s="302" t="s">
        <v>5121</v>
      </c>
      <c r="D4535" s="1415">
        <v>10</v>
      </c>
      <c r="E4535" s="1416">
        <v>1</v>
      </c>
      <c r="F4535" s="298">
        <f>D4535*E4535</f>
        <v>10</v>
      </c>
      <c r="G4535" s="1564">
        <v>36.36</v>
      </c>
      <c r="H4535" s="1276">
        <f>E4535*G4535</f>
        <v>36.36</v>
      </c>
      <c r="I4535" s="33" t="s">
        <v>4276</v>
      </c>
    </row>
    <row r="4536" spans="1:9" s="290" customFormat="1" ht="12.75">
      <c r="A4536" s="41">
        <v>12701</v>
      </c>
      <c r="B4536" s="1926">
        <v>50</v>
      </c>
      <c r="C4536" s="302" t="s">
        <v>5122</v>
      </c>
      <c r="D4536" s="1415">
        <v>10</v>
      </c>
      <c r="E4536" s="1416">
        <v>1</v>
      </c>
      <c r="F4536" s="298">
        <f>D4536*E4536</f>
        <v>10</v>
      </c>
      <c r="G4536" s="1564">
        <v>36.36</v>
      </c>
      <c r="H4536" s="1276">
        <f>E4536*G4536</f>
        <v>36.36</v>
      </c>
      <c r="I4536" s="33" t="s">
        <v>4276</v>
      </c>
    </row>
    <row r="4537" spans="1:9" s="290" customFormat="1" ht="12.75">
      <c r="A4537" s="41">
        <v>12701</v>
      </c>
      <c r="B4537" s="1926">
        <v>50</v>
      </c>
      <c r="C4537" s="302" t="s">
        <v>5123</v>
      </c>
      <c r="D4537" s="1415">
        <v>10</v>
      </c>
      <c r="E4537" s="1416">
        <v>1</v>
      </c>
      <c r="F4537" s="298">
        <f>D4537*E4537</f>
        <v>10</v>
      </c>
      <c r="G4537" s="1564">
        <v>36.36</v>
      </c>
      <c r="H4537" s="1276">
        <f>E4537*G4537</f>
        <v>36.36</v>
      </c>
      <c r="I4537" s="33" t="s">
        <v>4276</v>
      </c>
    </row>
    <row r="4538" spans="1:9" s="290" customFormat="1" ht="12.75">
      <c r="A4538" s="41">
        <v>12701</v>
      </c>
      <c r="B4538" s="1926">
        <v>50</v>
      </c>
      <c r="C4538" s="302" t="s">
        <v>5124</v>
      </c>
      <c r="D4538" s="1415">
        <v>10</v>
      </c>
      <c r="E4538" s="1416">
        <v>1</v>
      </c>
      <c r="F4538" s="298">
        <f>D4538*E4538</f>
        <v>10</v>
      </c>
      <c r="G4538" s="1564">
        <v>36.36</v>
      </c>
      <c r="H4538" s="1276">
        <f>E4538*G4538</f>
        <v>36.36</v>
      </c>
      <c r="I4538" s="33" t="s">
        <v>4276</v>
      </c>
    </row>
    <row r="4539" spans="1:9" s="290" customFormat="1" ht="12.75">
      <c r="A4539" s="41">
        <v>12701</v>
      </c>
      <c r="B4539" s="1926">
        <v>50</v>
      </c>
      <c r="C4539" s="302" t="s">
        <v>5125</v>
      </c>
      <c r="D4539" s="1415">
        <v>10</v>
      </c>
      <c r="E4539" s="1416">
        <v>1</v>
      </c>
      <c r="F4539" s="298">
        <f>D4539*E4539</f>
        <v>10</v>
      </c>
      <c r="G4539" s="1564">
        <v>36.36</v>
      </c>
      <c r="H4539" s="1276">
        <f>E4539*G4539</f>
        <v>36.36</v>
      </c>
      <c r="I4539" s="33" t="s">
        <v>4276</v>
      </c>
    </row>
    <row r="4540" spans="1:9" s="290" customFormat="1" ht="12.75">
      <c r="A4540" s="1400" t="s">
        <v>5113</v>
      </c>
      <c r="B4540" s="42"/>
      <c r="C4540" s="41"/>
      <c r="D4540" s="298"/>
      <c r="E4540" s="299"/>
      <c r="F4540" s="298"/>
      <c r="G4540" s="44"/>
      <c r="H4540" s="688"/>
      <c r="I4540" s="688"/>
    </row>
    <row r="4541" spans="1:9" s="290" customFormat="1" ht="12.75">
      <c r="A4541" s="41">
        <v>8005</v>
      </c>
      <c r="B4541" s="1926">
        <v>50</v>
      </c>
      <c r="C4541" s="302" t="s">
        <v>258</v>
      </c>
      <c r="D4541" s="1415">
        <v>10</v>
      </c>
      <c r="E4541" s="1416">
        <v>1</v>
      </c>
      <c r="F4541" s="298">
        <f>D4541*E4541</f>
        <v>10</v>
      </c>
      <c r="G4541" s="1564">
        <v>49.53</v>
      </c>
      <c r="H4541" s="1276">
        <f>E4541*G4541</f>
        <v>49.53</v>
      </c>
      <c r="I4541" s="33" t="s">
        <v>4276</v>
      </c>
    </row>
    <row r="4542" spans="1:9" s="290" customFormat="1" ht="12.75">
      <c r="A4542" s="1400" t="s">
        <v>5114</v>
      </c>
      <c r="B4542" s="42"/>
      <c r="C4542" s="41"/>
      <c r="D4542" s="298"/>
      <c r="E4542" s="299"/>
      <c r="F4542" s="298"/>
      <c r="G4542" s="44"/>
      <c r="H4542" s="688"/>
      <c r="I4542" s="688"/>
    </row>
    <row r="4543" spans="1:9" s="290" customFormat="1" ht="12.75">
      <c r="A4543" s="41" t="s">
        <v>5115</v>
      </c>
      <c r="B4543" s="1926">
        <v>50</v>
      </c>
      <c r="C4543" s="302" t="s">
        <v>5126</v>
      </c>
      <c r="D4543" s="1415">
        <v>30</v>
      </c>
      <c r="E4543" s="1416">
        <v>1</v>
      </c>
      <c r="F4543" s="298">
        <f>D4543*E4543</f>
        <v>30</v>
      </c>
      <c r="G4543" s="1564">
        <v>77.040000000000006</v>
      </c>
      <c r="H4543" s="1276">
        <f>E4543*G4543</f>
        <v>77.040000000000006</v>
      </c>
      <c r="I4543" s="33" t="s">
        <v>4276</v>
      </c>
    </row>
    <row r="4544" spans="1:9" s="290" customFormat="1" ht="12.75">
      <c r="A4544" s="41" t="s">
        <v>5115</v>
      </c>
      <c r="B4544" s="1926">
        <v>50</v>
      </c>
      <c r="C4544" s="302" t="s">
        <v>5127</v>
      </c>
      <c r="D4544" s="1415">
        <v>30</v>
      </c>
      <c r="E4544" s="1416">
        <v>1</v>
      </c>
      <c r="F4544" s="298">
        <f>D4544*E4544</f>
        <v>30</v>
      </c>
      <c r="G4544" s="1564">
        <v>77.040000000000006</v>
      </c>
      <c r="H4544" s="1276">
        <f>E4544*G4544</f>
        <v>77.040000000000006</v>
      </c>
      <c r="I4544" s="33" t="s">
        <v>4276</v>
      </c>
    </row>
    <row r="4545" spans="1:9" s="290" customFormat="1" ht="12.75">
      <c r="A4545" s="41" t="s">
        <v>5115</v>
      </c>
      <c r="B4545" s="1926">
        <v>50</v>
      </c>
      <c r="C4545" s="302" t="s">
        <v>5128</v>
      </c>
      <c r="D4545" s="1415">
        <v>30</v>
      </c>
      <c r="E4545" s="1416">
        <v>1</v>
      </c>
      <c r="F4545" s="298">
        <f>D4545*E4545</f>
        <v>30</v>
      </c>
      <c r="G4545" s="1564">
        <v>77.040000000000006</v>
      </c>
      <c r="H4545" s="1276">
        <f>E4545*G4545</f>
        <v>77.040000000000006</v>
      </c>
      <c r="I4545" s="33" t="s">
        <v>4276</v>
      </c>
    </row>
    <row r="4546" spans="1:9" s="290" customFormat="1" ht="12.75">
      <c r="A4546" s="41" t="s">
        <v>5115</v>
      </c>
      <c r="B4546" s="1926">
        <v>50</v>
      </c>
      <c r="C4546" s="302" t="s">
        <v>15</v>
      </c>
      <c r="D4546" s="1415">
        <v>30</v>
      </c>
      <c r="E4546" s="1416">
        <v>1</v>
      </c>
      <c r="F4546" s="298">
        <f>D4546*E4546</f>
        <v>30</v>
      </c>
      <c r="G4546" s="1564">
        <v>77.040000000000006</v>
      </c>
      <c r="H4546" s="1276">
        <f>E4546*G4546</f>
        <v>77.040000000000006</v>
      </c>
      <c r="I4546" s="33" t="s">
        <v>4276</v>
      </c>
    </row>
    <row r="4547" spans="1:9" s="290" customFormat="1" ht="12.75">
      <c r="A4547" s="1400" t="s">
        <v>5116</v>
      </c>
      <c r="B4547" s="42"/>
      <c r="C4547" s="41"/>
      <c r="D4547" s="298"/>
      <c r="E4547" s="299"/>
      <c r="F4547" s="298"/>
      <c r="G4547" s="44"/>
      <c r="H4547" s="688"/>
      <c r="I4547" s="688"/>
    </row>
    <row r="4548" spans="1:9" s="290" customFormat="1" ht="12.75">
      <c r="A4548" s="41">
        <v>3770</v>
      </c>
      <c r="B4548" s="1926">
        <v>25</v>
      </c>
      <c r="C4548" s="302" t="s">
        <v>37</v>
      </c>
      <c r="D4548" s="1927">
        <v>20</v>
      </c>
      <c r="E4548" s="1416">
        <v>1</v>
      </c>
      <c r="F4548" s="298">
        <f>D4548*E4548</f>
        <v>20</v>
      </c>
      <c r="G4548" s="1564">
        <v>27.78</v>
      </c>
      <c r="H4548" s="1276">
        <f>E4548*G4548</f>
        <v>27.78</v>
      </c>
      <c r="I4548" s="33" t="s">
        <v>4276</v>
      </c>
    </row>
    <row r="4549" spans="1:9" s="290" customFormat="1" ht="12.75">
      <c r="A4549" s="41">
        <v>3770</v>
      </c>
      <c r="B4549" s="1926">
        <v>25</v>
      </c>
      <c r="C4549" s="302" t="s">
        <v>5131</v>
      </c>
      <c r="D4549" s="1927">
        <v>20</v>
      </c>
      <c r="E4549" s="1416">
        <v>1</v>
      </c>
      <c r="F4549" s="298">
        <f>D4549*E4549</f>
        <v>20</v>
      </c>
      <c r="G4549" s="1564">
        <v>27.78</v>
      </c>
      <c r="H4549" s="1276">
        <f>E4549*G4549</f>
        <v>27.78</v>
      </c>
      <c r="I4549" s="33" t="s">
        <v>4276</v>
      </c>
    </row>
    <row r="4550" spans="1:9" s="290" customFormat="1" ht="12.75">
      <c r="A4550" s="41">
        <v>3770</v>
      </c>
      <c r="B4550" s="1926">
        <v>25</v>
      </c>
      <c r="C4550" s="302" t="s">
        <v>4625</v>
      </c>
      <c r="D4550" s="1927">
        <v>20</v>
      </c>
      <c r="E4550" s="1416">
        <v>1</v>
      </c>
      <c r="F4550" s="298">
        <f>D4550*E4550</f>
        <v>20</v>
      </c>
      <c r="G4550" s="1564">
        <v>27.78</v>
      </c>
      <c r="H4550" s="1276">
        <f>E4550*G4550</f>
        <v>27.78</v>
      </c>
      <c r="I4550" s="33" t="s">
        <v>4276</v>
      </c>
    </row>
    <row r="4551" spans="1:9" s="290" customFormat="1" ht="12.75">
      <c r="A4551" s="1400" t="s">
        <v>5116</v>
      </c>
      <c r="B4551" s="42"/>
      <c r="C4551" s="41"/>
      <c r="D4551" s="298"/>
      <c r="E4551" s="299"/>
      <c r="F4551" s="298"/>
      <c r="G4551" s="44"/>
      <c r="H4551" s="688"/>
      <c r="I4551" s="688"/>
    </row>
    <row r="4552" spans="1:9" s="290" customFormat="1" ht="12.75">
      <c r="A4552" s="41">
        <v>3780</v>
      </c>
      <c r="B4552" s="1926">
        <v>15</v>
      </c>
      <c r="C4552" s="302" t="s">
        <v>85</v>
      </c>
      <c r="D4552" s="1927">
        <v>20</v>
      </c>
      <c r="E4552" s="1416">
        <v>1</v>
      </c>
      <c r="F4552" s="298">
        <f>D4552*E4552</f>
        <v>20</v>
      </c>
      <c r="G4552" s="1564">
        <v>17.86</v>
      </c>
      <c r="H4552" s="1276">
        <f>E4552*G4552</f>
        <v>17.86</v>
      </c>
      <c r="I4552" s="33" t="s">
        <v>4276</v>
      </c>
    </row>
    <row r="4553" spans="1:9" s="290" customFormat="1" ht="12.75">
      <c r="A4553" s="41">
        <v>3780</v>
      </c>
      <c r="B4553" s="1926">
        <v>15</v>
      </c>
      <c r="C4553" s="302" t="s">
        <v>82</v>
      </c>
      <c r="D4553" s="1927">
        <v>20</v>
      </c>
      <c r="E4553" s="1416">
        <v>1</v>
      </c>
      <c r="F4553" s="298">
        <f>D4553*E4553</f>
        <v>20</v>
      </c>
      <c r="G4553" s="1564">
        <v>17.86</v>
      </c>
      <c r="H4553" s="1276">
        <f>E4553*G4553</f>
        <v>17.86</v>
      </c>
      <c r="I4553" s="33" t="s">
        <v>4276</v>
      </c>
    </row>
    <row r="4554" spans="1:9" s="290" customFormat="1" ht="12.75">
      <c r="A4554" s="1400" t="s">
        <v>5117</v>
      </c>
      <c r="B4554" s="42"/>
      <c r="C4554" s="41"/>
      <c r="D4554" s="298"/>
      <c r="E4554" s="299"/>
      <c r="F4554" s="298"/>
      <c r="G4554" s="44"/>
      <c r="H4554" s="688"/>
      <c r="I4554" s="688"/>
    </row>
    <row r="4555" spans="1:9" s="290" customFormat="1" ht="12.75">
      <c r="A4555" s="41">
        <v>1453</v>
      </c>
      <c r="B4555" s="1926">
        <v>33</v>
      </c>
      <c r="C4555" s="302" t="s">
        <v>4271</v>
      </c>
      <c r="D4555" s="1927">
        <v>30</v>
      </c>
      <c r="E4555" s="1416">
        <v>1</v>
      </c>
      <c r="F4555" s="298">
        <f>D4555*E4555</f>
        <v>30</v>
      </c>
      <c r="G4555" s="1564">
        <v>38.94</v>
      </c>
      <c r="H4555" s="1276">
        <f>E4555*G4555</f>
        <v>38.94</v>
      </c>
      <c r="I4555" s="33" t="s">
        <v>4276</v>
      </c>
    </row>
    <row r="4556" spans="1:9" s="290" customFormat="1" ht="12.75">
      <c r="A4556" s="41">
        <v>1453</v>
      </c>
      <c r="B4556" s="1926">
        <v>33</v>
      </c>
      <c r="C4556" s="302" t="s">
        <v>5135</v>
      </c>
      <c r="D4556" s="1927">
        <v>30</v>
      </c>
      <c r="E4556" s="1416">
        <v>1</v>
      </c>
      <c r="F4556" s="298">
        <f>D4556*E4556</f>
        <v>30</v>
      </c>
      <c r="G4556" s="1564">
        <v>38.94</v>
      </c>
      <c r="H4556" s="1276">
        <f>E4556*G4556</f>
        <v>38.94</v>
      </c>
      <c r="I4556" s="33" t="s">
        <v>4276</v>
      </c>
    </row>
    <row r="4557" spans="1:9" s="290" customFormat="1" ht="12.75">
      <c r="A4557" s="41">
        <v>1453</v>
      </c>
      <c r="B4557" s="1926">
        <v>33</v>
      </c>
      <c r="C4557" s="302" t="s">
        <v>258</v>
      </c>
      <c r="D4557" s="1927">
        <v>30</v>
      </c>
      <c r="E4557" s="1416">
        <v>1</v>
      </c>
      <c r="F4557" s="298">
        <f>D4557*E4557</f>
        <v>30</v>
      </c>
      <c r="G4557" s="1564">
        <v>38.94</v>
      </c>
      <c r="H4557" s="1276">
        <f>E4557*G4557</f>
        <v>38.94</v>
      </c>
      <c r="I4557" s="33" t="s">
        <v>4276</v>
      </c>
    </row>
    <row r="4558" spans="1:9" s="290" customFormat="1" ht="12.75">
      <c r="A4558" s="41">
        <v>1453</v>
      </c>
      <c r="B4558" s="1926">
        <v>33</v>
      </c>
      <c r="C4558" s="302" t="s">
        <v>5137</v>
      </c>
      <c r="D4558" s="1927">
        <v>30</v>
      </c>
      <c r="E4558" s="1416">
        <v>1</v>
      </c>
      <c r="F4558" s="298">
        <f>D4558*E4558</f>
        <v>30</v>
      </c>
      <c r="G4558" s="1564">
        <v>38.94</v>
      </c>
      <c r="H4558" s="1276">
        <f>E4558*G4558</f>
        <v>38.94</v>
      </c>
      <c r="I4558" s="33" t="s">
        <v>4276</v>
      </c>
    </row>
    <row r="4559" spans="1:9" s="290" customFormat="1" ht="12.75">
      <c r="A4559" s="336" t="s">
        <v>84</v>
      </c>
      <c r="B4559" s="1815"/>
      <c r="C4559" s="41"/>
      <c r="D4559" s="298" t="s">
        <v>265</v>
      </c>
      <c r="E4559" s="299"/>
      <c r="F4559" s="296"/>
      <c r="G4559" s="44"/>
      <c r="H4559" s="33"/>
      <c r="I4559" s="33"/>
    </row>
    <row r="4560" spans="1:9" s="290" customFormat="1" ht="12.75">
      <c r="A4560" s="41">
        <v>14552</v>
      </c>
      <c r="B4560" s="1749">
        <v>75</v>
      </c>
      <c r="C4560" s="302" t="s">
        <v>5138</v>
      </c>
      <c r="D4560" s="1415">
        <v>30</v>
      </c>
      <c r="E4560" s="1416">
        <v>1</v>
      </c>
      <c r="F4560" s="298">
        <f>D4560*E4560</f>
        <v>30</v>
      </c>
      <c r="G4560" s="1181">
        <v>126.67</v>
      </c>
      <c r="H4560" s="1276">
        <f>E4560*G4560</f>
        <v>126.67</v>
      </c>
      <c r="I4560" s="33" t="s">
        <v>4276</v>
      </c>
    </row>
    <row r="4561" spans="1:9" s="290" customFormat="1" ht="12.75">
      <c r="A4561" s="41">
        <v>14552</v>
      </c>
      <c r="B4561" s="1749">
        <v>100</v>
      </c>
      <c r="C4561" s="302" t="s">
        <v>85</v>
      </c>
      <c r="D4561" s="1415">
        <v>30</v>
      </c>
      <c r="E4561" s="1416">
        <v>1</v>
      </c>
      <c r="F4561" s="298">
        <f>D4561*E4561</f>
        <v>30</v>
      </c>
      <c r="G4561" s="1181">
        <v>193</v>
      </c>
      <c r="H4561" s="1276">
        <f>E4561*G4561</f>
        <v>193</v>
      </c>
      <c r="I4561" s="33" t="s">
        <v>4276</v>
      </c>
    </row>
    <row r="4562" spans="1:9" s="290" customFormat="1" ht="12.75">
      <c r="A4562" s="1400" t="s">
        <v>264</v>
      </c>
      <c r="B4562" s="42"/>
      <c r="C4562" s="41"/>
      <c r="D4562" s="298"/>
      <c r="E4562" s="299"/>
      <c r="F4562" s="298"/>
      <c r="G4562" s="44"/>
      <c r="H4562" s="33"/>
      <c r="I4562" s="33"/>
    </row>
    <row r="4563" spans="1:9" s="290" customFormat="1" ht="12.75">
      <c r="A4563" s="1928">
        <v>11700</v>
      </c>
      <c r="B4563" s="1264">
        <v>18</v>
      </c>
      <c r="C4563" s="41" t="s">
        <v>15</v>
      </c>
      <c r="D4563" s="296">
        <v>10</v>
      </c>
      <c r="E4563" s="297">
        <v>2</v>
      </c>
      <c r="F4563" s="298">
        <f>D4563*E4563</f>
        <v>20</v>
      </c>
      <c r="G4563" s="1181">
        <v>21.59</v>
      </c>
      <c r="H4563" s="1276">
        <f>E4563*G4563</f>
        <v>43.18</v>
      </c>
      <c r="I4563" s="33" t="s">
        <v>4276</v>
      </c>
    </row>
    <row r="4564" spans="1:9" s="290" customFormat="1" ht="12.75">
      <c r="A4564" s="1928">
        <v>11700</v>
      </c>
      <c r="B4564" s="1264">
        <v>18</v>
      </c>
      <c r="C4564" s="41" t="s">
        <v>81</v>
      </c>
      <c r="D4564" s="296">
        <v>10</v>
      </c>
      <c r="E4564" s="297">
        <v>2</v>
      </c>
      <c r="F4564" s="298">
        <f>D4564*E4564</f>
        <v>20</v>
      </c>
      <c r="G4564" s="1181">
        <v>21.59</v>
      </c>
      <c r="H4564" s="1276">
        <f>E4564*G4564</f>
        <v>43.18</v>
      </c>
      <c r="I4564" s="33" t="s">
        <v>4276</v>
      </c>
    </row>
    <row r="4569" spans="1:9">
      <c r="A4569" s="289" t="s">
        <v>99</v>
      </c>
      <c r="B4569" s="289" t="s">
        <v>45</v>
      </c>
      <c r="C4569" s="1606" t="s">
        <v>3604</v>
      </c>
      <c r="D4569" s="1606" t="s">
        <v>5141</v>
      </c>
    </row>
    <row r="4570" spans="1:9">
      <c r="A4570" s="41" t="s">
        <v>5014</v>
      </c>
      <c r="B4570" s="41" t="s">
        <v>5000</v>
      </c>
      <c r="C4570" s="1181">
        <v>1.46</v>
      </c>
      <c r="D4570" s="1531" t="s">
        <v>5142</v>
      </c>
    </row>
    <row r="4571" spans="1:9">
      <c r="A4571" s="41" t="s">
        <v>5014</v>
      </c>
      <c r="B4571" s="41" t="s">
        <v>5053</v>
      </c>
      <c r="C4571" s="1181">
        <v>2.04</v>
      </c>
      <c r="D4571" s="1531" t="s">
        <v>5143</v>
      </c>
    </row>
    <row r="4572" spans="1:9">
      <c r="A4572" s="1400"/>
      <c r="B4572" s="41"/>
      <c r="C4572" s="44"/>
      <c r="D4572" s="33"/>
    </row>
    <row r="4573" spans="1:9">
      <c r="A4573" s="41" t="s">
        <v>5011</v>
      </c>
      <c r="B4573" s="41" t="s">
        <v>5000</v>
      </c>
      <c r="C4573" s="1181">
        <v>1.75</v>
      </c>
      <c r="D4573" s="1531" t="s">
        <v>5144</v>
      </c>
    </row>
    <row r="4574" spans="1:9">
      <c r="A4574" s="41" t="s">
        <v>5011</v>
      </c>
      <c r="B4574" s="41" t="s">
        <v>5053</v>
      </c>
      <c r="C4574" s="1181">
        <v>2.46</v>
      </c>
      <c r="D4574" s="1531" t="s">
        <v>5145</v>
      </c>
    </row>
    <row r="4577" spans="1:9">
      <c r="A4577" t="s">
        <v>5151</v>
      </c>
    </row>
    <row r="4578" spans="1:9" s="354" customFormat="1" ht="31.5">
      <c r="A4578" s="1935" t="s">
        <v>3989</v>
      </c>
      <c r="B4578" s="1935" t="s">
        <v>3990</v>
      </c>
      <c r="C4578" s="1936" t="s">
        <v>5147</v>
      </c>
      <c r="D4578" s="1937" t="s">
        <v>5152</v>
      </c>
      <c r="E4578" s="1938" t="s">
        <v>5148</v>
      </c>
      <c r="F4578" s="1939" t="s">
        <v>5149</v>
      </c>
      <c r="G4578" s="1940" t="s">
        <v>5150</v>
      </c>
    </row>
    <row r="4579" spans="1:9" s="354" customFormat="1" ht="15.75">
      <c r="A4579" s="1221" t="s">
        <v>236</v>
      </c>
      <c r="B4579" s="1222">
        <v>3</v>
      </c>
      <c r="C4579" s="1941">
        <v>40</v>
      </c>
      <c r="D4579" s="1942">
        <f t="shared" ref="D4579:D4586" si="154">ROUNDUP(E4579/0.5/140,2)</f>
        <v>1.2</v>
      </c>
      <c r="E4579" s="1943">
        <v>83.8</v>
      </c>
      <c r="F4579" s="1944">
        <f t="shared" ref="F4579:F4586" si="155">(((D4579*G4579)-E4579)/(D4579*G4579))</f>
        <v>0.50119047619047619</v>
      </c>
      <c r="G4579" s="1945">
        <v>140</v>
      </c>
      <c r="H4579" s="1225" t="s">
        <v>237</v>
      </c>
      <c r="I4579" s="1940"/>
    </row>
    <row r="4580" spans="1:9" s="354" customFormat="1" ht="15.75">
      <c r="A4580" s="1221" t="s">
        <v>236</v>
      </c>
      <c r="B4580" s="1222">
        <v>6</v>
      </c>
      <c r="C4580" s="1941">
        <v>10</v>
      </c>
      <c r="D4580" s="1942">
        <f t="shared" si="154"/>
        <v>1.26</v>
      </c>
      <c r="E4580" s="1943">
        <v>87.9</v>
      </c>
      <c r="F4580" s="1944">
        <f t="shared" si="155"/>
        <v>0.50170068027210879</v>
      </c>
      <c r="G4580" s="1945">
        <v>140</v>
      </c>
      <c r="H4580" s="1225" t="s">
        <v>237</v>
      </c>
      <c r="I4580" s="1940"/>
    </row>
    <row r="4581" spans="1:9" s="354" customFormat="1" ht="15.75">
      <c r="A4581" s="1221" t="s">
        <v>236</v>
      </c>
      <c r="B4581" s="1222">
        <v>9</v>
      </c>
      <c r="C4581" s="1941">
        <v>10</v>
      </c>
      <c r="D4581" s="1942">
        <f t="shared" si="154"/>
        <v>1.39</v>
      </c>
      <c r="E4581" s="1943">
        <v>97.1</v>
      </c>
      <c r="F4581" s="1944">
        <f t="shared" si="155"/>
        <v>0.50102774922918814</v>
      </c>
      <c r="G4581" s="1945">
        <v>140</v>
      </c>
      <c r="H4581" s="1225" t="s">
        <v>237</v>
      </c>
      <c r="I4581" s="1940"/>
    </row>
    <row r="4582" spans="1:9" s="354" customFormat="1" ht="15.75">
      <c r="A4582" s="1221" t="s">
        <v>236</v>
      </c>
      <c r="B4582" s="1222">
        <v>12</v>
      </c>
      <c r="C4582" s="1941">
        <v>10</v>
      </c>
      <c r="D4582" s="1942">
        <f t="shared" si="154"/>
        <v>1.51</v>
      </c>
      <c r="E4582" s="1943">
        <v>105.1</v>
      </c>
      <c r="F4582" s="1944">
        <f t="shared" si="155"/>
        <v>0.50283822138126777</v>
      </c>
      <c r="G4582" s="1945">
        <v>140</v>
      </c>
      <c r="H4582" s="1225" t="s">
        <v>237</v>
      </c>
      <c r="I4582" s="1940"/>
    </row>
    <row r="4583" spans="1:9" s="354" customFormat="1" ht="15.75">
      <c r="A4583" s="1221" t="s">
        <v>236</v>
      </c>
      <c r="B4583" s="1222">
        <v>18</v>
      </c>
      <c r="C4583" s="1941">
        <v>10</v>
      </c>
      <c r="D4583" s="1942">
        <f t="shared" si="154"/>
        <v>1.95</v>
      </c>
      <c r="E4583" s="1943">
        <v>136</v>
      </c>
      <c r="F4583" s="1944">
        <f t="shared" si="155"/>
        <v>0.50183150183150182</v>
      </c>
      <c r="G4583" s="1945">
        <v>140</v>
      </c>
      <c r="H4583" s="1225" t="s">
        <v>237</v>
      </c>
      <c r="I4583" s="1940"/>
    </row>
    <row r="4584" spans="1:9" s="354" customFormat="1" ht="15.75">
      <c r="A4584" s="1221" t="s">
        <v>236</v>
      </c>
      <c r="B4584" s="1222">
        <v>24</v>
      </c>
      <c r="C4584" s="1941">
        <v>10</v>
      </c>
      <c r="D4584" s="1942">
        <f t="shared" si="154"/>
        <v>2.4099999999999997</v>
      </c>
      <c r="E4584" s="1943">
        <v>168.6</v>
      </c>
      <c r="F4584" s="1944">
        <f t="shared" si="155"/>
        <v>0.5002963841138115</v>
      </c>
      <c r="G4584" s="1945">
        <v>140</v>
      </c>
      <c r="H4584" s="1225" t="s">
        <v>237</v>
      </c>
      <c r="I4584" s="1940"/>
    </row>
    <row r="4585" spans="1:9" s="354" customFormat="1" ht="15.75">
      <c r="A4585" s="1221" t="s">
        <v>236</v>
      </c>
      <c r="B4585" s="1222">
        <v>36</v>
      </c>
      <c r="C4585" s="1941">
        <v>10</v>
      </c>
      <c r="D4585" s="1942">
        <f t="shared" si="154"/>
        <v>4.01</v>
      </c>
      <c r="E4585" s="1943">
        <v>280.60000000000002</v>
      </c>
      <c r="F4585" s="1944">
        <f t="shared" si="155"/>
        <v>0.50017812611328816</v>
      </c>
      <c r="G4585" s="1945">
        <v>140</v>
      </c>
      <c r="H4585" s="1225" t="s">
        <v>237</v>
      </c>
      <c r="I4585" s="1940"/>
    </row>
    <row r="4586" spans="1:9" s="354" customFormat="1" ht="15.75">
      <c r="A4586" s="1221" t="s">
        <v>236</v>
      </c>
      <c r="B4586" s="1222">
        <v>48</v>
      </c>
      <c r="C4586" s="1941">
        <v>10</v>
      </c>
      <c r="D4586" s="1942">
        <f t="shared" si="154"/>
        <v>5.91</v>
      </c>
      <c r="E4586" s="1943">
        <v>413.6</v>
      </c>
      <c r="F4586" s="1944">
        <f t="shared" si="155"/>
        <v>0.50012086052695182</v>
      </c>
      <c r="G4586" s="1945">
        <v>140</v>
      </c>
      <c r="H4586" s="1225" t="s">
        <v>237</v>
      </c>
      <c r="I4586" s="1940"/>
    </row>
    <row r="4590" spans="1:9">
      <c r="A4590" s="289" t="s">
        <v>99</v>
      </c>
      <c r="B4590" s="289" t="s">
        <v>45</v>
      </c>
      <c r="C4590" s="289" t="s">
        <v>163</v>
      </c>
      <c r="D4590" s="289" t="s">
        <v>197</v>
      </c>
      <c r="E4590" s="289" t="s">
        <v>198</v>
      </c>
      <c r="F4590" s="1606" t="s">
        <v>5097</v>
      </c>
    </row>
    <row r="4591" spans="1:9">
      <c r="A4591" s="1182" t="s">
        <v>2722</v>
      </c>
      <c r="B4591" s="41" t="s">
        <v>25</v>
      </c>
      <c r="C4591" s="296">
        <v>13.7</v>
      </c>
      <c r="D4591" s="297">
        <v>3</v>
      </c>
      <c r="E4591" s="1186">
        <f>C4591*D4591</f>
        <v>41.099999999999994</v>
      </c>
      <c r="F4591" s="1184">
        <v>3.87</v>
      </c>
    </row>
    <row r="4592" spans="1:9">
      <c r="A4592" s="41"/>
      <c r="B4592" s="136" t="s">
        <v>218</v>
      </c>
      <c r="C4592" s="292"/>
      <c r="D4592" s="297"/>
      <c r="E4592" s="292">
        <v>1</v>
      </c>
      <c r="F4592" s="1181">
        <v>12</v>
      </c>
    </row>
    <row r="4595" spans="1:9">
      <c r="A4595" t="s">
        <v>5156</v>
      </c>
    </row>
    <row r="4596" spans="1:9" s="354" customFormat="1" ht="31.5">
      <c r="A4596" s="1935" t="s">
        <v>3989</v>
      </c>
      <c r="B4596" s="1935" t="s">
        <v>3990</v>
      </c>
      <c r="C4596" s="1936" t="s">
        <v>5147</v>
      </c>
      <c r="D4596" s="1937" t="s">
        <v>5152</v>
      </c>
      <c r="E4596" s="1938" t="s">
        <v>5148</v>
      </c>
      <c r="F4596" s="1939" t="s">
        <v>5149</v>
      </c>
      <c r="G4596" s="1940" t="s">
        <v>5150</v>
      </c>
    </row>
    <row r="4597" spans="1:9" s="354" customFormat="1" ht="15.75">
      <c r="A4597" s="1221" t="s">
        <v>5157</v>
      </c>
      <c r="B4597" s="1222" t="s">
        <v>5159</v>
      </c>
      <c r="C4597" s="1941">
        <v>20</v>
      </c>
      <c r="D4597" s="1942">
        <f t="shared" ref="D4597" si="156">ROUNDUP(E4597/0.5/140,2)</f>
        <v>2.2599999999999998</v>
      </c>
      <c r="E4597" s="1943">
        <v>158</v>
      </c>
      <c r="F4597" s="1944">
        <f>(((D4597*G4597)-E4597)/(D4597*G4597))</f>
        <v>0.50063211125158025</v>
      </c>
      <c r="G4597" s="1945">
        <v>140</v>
      </c>
      <c r="H4597" s="1225" t="s">
        <v>237</v>
      </c>
      <c r="I4597" s="1940"/>
    </row>
    <row r="4598" spans="1:9" s="354" customFormat="1" ht="15.75">
      <c r="A4598" s="1221" t="s">
        <v>5158</v>
      </c>
      <c r="B4598" s="1222">
        <v>12</v>
      </c>
      <c r="C4598" s="1941">
        <v>30</v>
      </c>
      <c r="D4598" s="1942">
        <f t="shared" ref="D4598" si="157">ROUNDUP(E4598/0.5/140,2)</f>
        <v>0.38</v>
      </c>
      <c r="E4598" s="1943">
        <v>26.066659999999999</v>
      </c>
      <c r="F4598" s="1944">
        <f>(((D4598*G4598)-E4598)/(D4598*G4598))</f>
        <v>0.51002518796992491</v>
      </c>
      <c r="G4598" s="1945">
        <v>140</v>
      </c>
      <c r="H4598" s="1225" t="s">
        <v>237</v>
      </c>
      <c r="I4598" s="1940"/>
    </row>
    <row r="4601" spans="1:9">
      <c r="A4601" s="178" t="s">
        <v>5163</v>
      </c>
      <c r="C4601" s="161" t="s">
        <v>4762</v>
      </c>
      <c r="D4601" s="1547" t="s">
        <v>3909</v>
      </c>
      <c r="E4601" s="1547" t="s">
        <v>1843</v>
      </c>
    </row>
    <row r="4602" spans="1:9" ht="27">
      <c r="A4602" s="289" t="s">
        <v>4763</v>
      </c>
      <c r="B4602" s="289" t="s">
        <v>16</v>
      </c>
      <c r="C4602" s="1606" t="s">
        <v>3604</v>
      </c>
      <c r="D4602" s="1827" t="s">
        <v>4764</v>
      </c>
      <c r="E4602" s="1644"/>
      <c r="F4602" s="1644"/>
    </row>
    <row r="4603" spans="1:9" s="362" customFormat="1" ht="26.1" customHeight="1">
      <c r="A4603" s="1950" t="s">
        <v>5166</v>
      </c>
      <c r="B4603" s="1828" t="s">
        <v>5160</v>
      </c>
      <c r="C4603" s="1531">
        <f>ROUNDUP(D4603/0.7/140,2)</f>
        <v>7.96</v>
      </c>
      <c r="D4603" s="131">
        <f>580+100+100</f>
        <v>780</v>
      </c>
      <c r="E4603" s="1831">
        <f>(((C4603*F4603)-D4603)/(C4603*F4603))</f>
        <v>0.30007178750897351</v>
      </c>
      <c r="F4603" s="1949">
        <v>140</v>
      </c>
    </row>
    <row r="4604" spans="1:9" s="1952" customFormat="1" ht="24" customHeight="1">
      <c r="A4604" s="1950" t="s">
        <v>5164</v>
      </c>
      <c r="B4604" s="1828" t="s">
        <v>5160</v>
      </c>
      <c r="C4604" s="1531">
        <f>ROUNDUP(D4604/0.7/140,2)</f>
        <v>7.25</v>
      </c>
      <c r="D4604" s="131">
        <f>580+100+30</f>
        <v>710</v>
      </c>
      <c r="E4604" s="1951">
        <f>(C4604-(D4604/F4604))/C4604</f>
        <v>0.30049261083743845</v>
      </c>
      <c r="F4604" s="1949">
        <v>140</v>
      </c>
    </row>
    <row r="4605" spans="1:9" s="362" customFormat="1" ht="26.1" customHeight="1">
      <c r="A4605" s="1950" t="s">
        <v>5167</v>
      </c>
      <c r="B4605" s="1828" t="s">
        <v>5160</v>
      </c>
      <c r="C4605" s="1531">
        <f>ROUNDUP(D4605/0.7/140,2)</f>
        <v>7.96</v>
      </c>
      <c r="D4605" s="131">
        <f>580+100+100</f>
        <v>780</v>
      </c>
      <c r="E4605" s="1831">
        <f>(((C4605*F4605)-D4605)/(C4605*F4605))</f>
        <v>0.30007178750897351</v>
      </c>
      <c r="F4605" s="1949">
        <v>140</v>
      </c>
    </row>
    <row r="4606" spans="1:9" s="1952" customFormat="1" ht="24" customHeight="1">
      <c r="A4606" s="1950" t="s">
        <v>5161</v>
      </c>
      <c r="B4606" s="1828" t="s">
        <v>5160</v>
      </c>
      <c r="C4606" s="1531">
        <f>ROUNDUP(D4606/0.7/140,2)</f>
        <v>7.25</v>
      </c>
      <c r="D4606" s="131">
        <f>580+100+30</f>
        <v>710</v>
      </c>
      <c r="E4606" s="1951">
        <f>(C4606-(D4606/F4606))/C4606</f>
        <v>0.30049261083743845</v>
      </c>
      <c r="F4606" s="1949">
        <v>140</v>
      </c>
    </row>
    <row r="4608" spans="1:9" ht="15.75">
      <c r="A4608" s="1953"/>
      <c r="B4608" s="1954"/>
      <c r="C4608" s="1955"/>
    </row>
    <row r="4609" spans="1:7" ht="14.25">
      <c r="A4609" t="s">
        <v>5165</v>
      </c>
      <c r="B4609" s="1954"/>
      <c r="C4609" s="1955"/>
    </row>
    <row r="4610" spans="1:7" ht="54">
      <c r="A4610" s="1956" t="s">
        <v>5162</v>
      </c>
    </row>
    <row r="4611" spans="1:7" ht="27">
      <c r="A4611" s="1957" t="s">
        <v>5168</v>
      </c>
    </row>
    <row r="4615" spans="1:7">
      <c r="A4615" s="1633" t="s">
        <v>5169</v>
      </c>
    </row>
    <row r="4616" spans="1:7" ht="14.25" thickBot="1"/>
    <row r="4617" spans="1:7" ht="14.25" thickBot="1">
      <c r="A4617" s="348" t="s">
        <v>40</v>
      </c>
      <c r="B4617" s="1631" t="s">
        <v>3654</v>
      </c>
      <c r="C4617" s="1631" t="s">
        <v>4135</v>
      </c>
      <c r="D4617" s="348" t="s">
        <v>4136</v>
      </c>
      <c r="E4617" s="1639" t="s">
        <v>3609</v>
      </c>
      <c r="F4617" s="1640" t="s">
        <v>3909</v>
      </c>
      <c r="G4617" s="1640" t="s">
        <v>1843</v>
      </c>
    </row>
    <row r="4618" spans="1:7" ht="15" thickBot="1">
      <c r="A4618" s="351" t="s">
        <v>4857</v>
      </c>
      <c r="B4618" s="1865" t="s">
        <v>4856</v>
      </c>
      <c r="C4618" s="1632" t="s">
        <v>4854</v>
      </c>
      <c r="D4618" s="1638">
        <f>ROUNDUP(E4618/0.75/140,2)</f>
        <v>22.48</v>
      </c>
      <c r="E4618" s="1641">
        <f>2060+300</f>
        <v>2360</v>
      </c>
      <c r="F4618" s="1642">
        <f>(D4618-(E4618/G4618))/D4618</f>
        <v>0.25012709710218606</v>
      </c>
      <c r="G4618" s="1643">
        <v>140</v>
      </c>
    </row>
    <row r="4619" spans="1:7" ht="15" thickBot="1">
      <c r="A4619" s="351" t="s">
        <v>4857</v>
      </c>
      <c r="B4619" s="1865" t="s">
        <v>4856</v>
      </c>
      <c r="C4619" s="1632" t="s">
        <v>4855</v>
      </c>
      <c r="D4619" s="1638">
        <f>ROUNDUP(E4619/0.75/140,2)</f>
        <v>19.62</v>
      </c>
      <c r="E4619" s="1641">
        <v>2060</v>
      </c>
      <c r="F4619" s="1642">
        <f>(D4619-(E4619/G4619))/D4619</f>
        <v>0.25003640599970883</v>
      </c>
      <c r="G4619" s="1643">
        <v>140</v>
      </c>
    </row>
    <row r="4620" spans="1:7" ht="15" thickBot="1">
      <c r="A4620" s="351" t="s">
        <v>4858</v>
      </c>
      <c r="B4620" s="1865" t="s">
        <v>4856</v>
      </c>
      <c r="C4620" s="1632" t="s">
        <v>4143</v>
      </c>
      <c r="D4620" s="1638">
        <f>ROUNDUP(E4620/0.75/140,2)</f>
        <v>22.48</v>
      </c>
      <c r="E4620" s="1641">
        <f>2060+300</f>
        <v>2360</v>
      </c>
      <c r="F4620" s="1642">
        <f>(D4620-(E4620/G4620))/D4620</f>
        <v>0.25012709710218606</v>
      </c>
      <c r="G4620" s="1643">
        <v>140</v>
      </c>
    </row>
    <row r="4621" spans="1:7" ht="15" thickBot="1">
      <c r="A4621" s="351" t="s">
        <v>4858</v>
      </c>
      <c r="B4621" s="1865" t="s">
        <v>4856</v>
      </c>
      <c r="C4621" s="1632" t="s">
        <v>4142</v>
      </c>
      <c r="D4621" s="1638">
        <f>ROUNDUP(E4621/0.75/140,2)</f>
        <v>19.62</v>
      </c>
      <c r="E4621" s="1641">
        <v>2060</v>
      </c>
      <c r="F4621" s="1642">
        <f>(D4621-(E4621/G4621))/D4621</f>
        <v>0.25003640599970883</v>
      </c>
      <c r="G4621" s="1643">
        <v>140</v>
      </c>
    </row>
    <row r="4624" spans="1:7">
      <c r="A4624" s="289" t="s">
        <v>99</v>
      </c>
      <c r="B4624" s="289" t="s">
        <v>5173</v>
      </c>
      <c r="C4624" s="289" t="s">
        <v>45</v>
      </c>
      <c r="D4624" s="289" t="s">
        <v>198</v>
      </c>
      <c r="E4624" s="1606" t="s">
        <v>5097</v>
      </c>
    </row>
    <row r="4625" spans="1:5">
      <c r="A4625" s="41" t="s">
        <v>5171</v>
      </c>
      <c r="B4625" s="1604" t="s">
        <v>5104</v>
      </c>
      <c r="C4625" s="41" t="s">
        <v>20</v>
      </c>
      <c r="D4625" s="1634">
        <v>1</v>
      </c>
      <c r="E4625" s="1531">
        <v>7.96</v>
      </c>
    </row>
    <row r="4626" spans="1:5">
      <c r="A4626" s="41"/>
      <c r="B4626" s="1962"/>
      <c r="C4626" s="136" t="s">
        <v>5172</v>
      </c>
      <c r="D4626" s="1635">
        <v>1</v>
      </c>
      <c r="E4626" s="1531">
        <v>10</v>
      </c>
    </row>
    <row r="4627" spans="1:5">
      <c r="A4627" s="41"/>
      <c r="B4627" s="1962"/>
      <c r="C4627" s="136" t="s">
        <v>218</v>
      </c>
      <c r="D4627" s="1635">
        <v>1</v>
      </c>
      <c r="E4627" s="1531">
        <v>12</v>
      </c>
    </row>
    <row r="4631" spans="1:5" s="290" customFormat="1" ht="12.75">
      <c r="A4631" s="289" t="s">
        <v>99</v>
      </c>
      <c r="B4631" s="289" t="s">
        <v>17</v>
      </c>
      <c r="C4631" s="289" t="s">
        <v>18</v>
      </c>
      <c r="D4631" s="289" t="s">
        <v>5174</v>
      </c>
    </row>
    <row r="4632" spans="1:5" s="290" customFormat="1" ht="12.75">
      <c r="A4632" s="41" t="s">
        <v>5014</v>
      </c>
      <c r="B4632" s="41" t="s">
        <v>5000</v>
      </c>
      <c r="C4632" s="298">
        <v>350</v>
      </c>
      <c r="D4632" s="1963" t="s">
        <v>5175</v>
      </c>
    </row>
    <row r="4633" spans="1:5" s="290" customFormat="1" ht="12.75">
      <c r="A4633" s="41" t="s">
        <v>5014</v>
      </c>
      <c r="B4633" s="41" t="s">
        <v>5053</v>
      </c>
      <c r="C4633" s="298">
        <v>350</v>
      </c>
      <c r="D4633" s="1963" t="s">
        <v>5175</v>
      </c>
    </row>
    <row r="4634" spans="1:5" s="290" customFormat="1" ht="12.75">
      <c r="A4634" s="41" t="s">
        <v>5011</v>
      </c>
      <c r="B4634" s="41" t="s">
        <v>5000</v>
      </c>
      <c r="C4634" s="298">
        <v>250</v>
      </c>
      <c r="D4634" s="1963" t="s">
        <v>5175</v>
      </c>
    </row>
    <row r="4635" spans="1:5" s="290" customFormat="1" ht="12.75">
      <c r="A4635" s="41" t="s">
        <v>5011</v>
      </c>
      <c r="B4635" s="41" t="s">
        <v>5053</v>
      </c>
      <c r="C4635" s="298">
        <v>250</v>
      </c>
      <c r="D4635" s="1963" t="s">
        <v>5175</v>
      </c>
    </row>
    <row r="4636" spans="1:5" s="290" customFormat="1" ht="12.75">
      <c r="A4636" s="1742"/>
      <c r="B4636" s="1743"/>
      <c r="C4636" s="1744"/>
      <c r="D4636" s="1744"/>
    </row>
    <row r="4637" spans="1:5" s="290" customFormat="1" ht="12.75">
      <c r="A4637" s="41" t="s">
        <v>5014</v>
      </c>
      <c r="B4637" s="41" t="s">
        <v>5000</v>
      </c>
      <c r="C4637" s="298">
        <v>50</v>
      </c>
      <c r="D4637" s="1964" t="s">
        <v>5176</v>
      </c>
    </row>
    <row r="4638" spans="1:5" s="290" customFormat="1" ht="12.75">
      <c r="A4638" s="41" t="s">
        <v>5014</v>
      </c>
      <c r="B4638" s="41" t="s">
        <v>5053</v>
      </c>
      <c r="C4638" s="298">
        <v>50</v>
      </c>
      <c r="D4638" s="1964" t="s">
        <v>5176</v>
      </c>
    </row>
    <row r="4639" spans="1:5" s="290" customFormat="1" ht="12.75">
      <c r="A4639" s="41" t="s">
        <v>5011</v>
      </c>
      <c r="B4639" s="41" t="s">
        <v>5000</v>
      </c>
      <c r="C4639" s="298">
        <v>500</v>
      </c>
      <c r="D4639" s="1964" t="s">
        <v>5176</v>
      </c>
    </row>
    <row r="4640" spans="1:5" s="290" customFormat="1" ht="12.75">
      <c r="A4640" s="41" t="s">
        <v>5011</v>
      </c>
      <c r="B4640" s="41" t="s">
        <v>5053</v>
      </c>
      <c r="C4640" s="298">
        <v>500</v>
      </c>
      <c r="D4640" s="1964" t="s">
        <v>5176</v>
      </c>
    </row>
    <row r="4641" spans="1:151" s="290" customFormat="1" ht="12"/>
    <row r="4643" spans="1:151">
      <c r="A4643" s="289" t="s">
        <v>99</v>
      </c>
      <c r="B4643" s="289" t="s">
        <v>16</v>
      </c>
      <c r="C4643" s="289" t="s">
        <v>45</v>
      </c>
      <c r="D4643" s="289" t="s">
        <v>163</v>
      </c>
      <c r="E4643" s="289" t="s">
        <v>197</v>
      </c>
      <c r="F4643" s="289" t="s">
        <v>198</v>
      </c>
      <c r="G4643" s="1606" t="s">
        <v>3604</v>
      </c>
    </row>
    <row r="4644" spans="1:151">
      <c r="A4644" s="41">
        <v>5636</v>
      </c>
      <c r="B4644" s="42" t="s">
        <v>1808</v>
      </c>
      <c r="C4644" s="41" t="s">
        <v>5178</v>
      </c>
      <c r="D4644" s="296">
        <v>50</v>
      </c>
      <c r="E4644" s="297">
        <v>4</v>
      </c>
      <c r="F4644" s="298">
        <f>D4644*E4644</f>
        <v>200</v>
      </c>
      <c r="G4644" s="1184">
        <v>0.66</v>
      </c>
    </row>
    <row r="4645" spans="1:151">
      <c r="A4645" s="41"/>
      <c r="B4645" s="136"/>
      <c r="C4645" s="136" t="s">
        <v>218</v>
      </c>
      <c r="D4645" s="292"/>
      <c r="E4645" s="297"/>
      <c r="F4645" s="292">
        <v>1</v>
      </c>
      <c r="G4645" s="1181">
        <v>12</v>
      </c>
    </row>
    <row r="4647" spans="1:151">
      <c r="A4647" t="s">
        <v>5181</v>
      </c>
    </row>
    <row r="4648" spans="1:151" s="353" customFormat="1" ht="31.5">
      <c r="A4648" s="1216" t="s">
        <v>171</v>
      </c>
      <c r="B4648" s="1217" t="s">
        <v>90</v>
      </c>
      <c r="C4648" s="1218" t="s">
        <v>2</v>
      </c>
      <c r="D4648" s="239" t="s">
        <v>204</v>
      </c>
      <c r="E4648" s="1220" t="s">
        <v>4620</v>
      </c>
      <c r="F4648" s="1938" t="s">
        <v>166</v>
      </c>
      <c r="G4648" s="1939" t="s">
        <v>5149</v>
      </c>
      <c r="H4648" s="1940" t="s">
        <v>5150</v>
      </c>
    </row>
    <row r="4649" spans="1:151" s="354" customFormat="1" ht="15" customHeight="1">
      <c r="A4649" s="1221" t="s">
        <v>5180</v>
      </c>
      <c r="B4649" s="1232" t="s">
        <v>5182</v>
      </c>
      <c r="C4649" s="1223">
        <v>150</v>
      </c>
      <c r="D4649" s="1224" t="s">
        <v>211</v>
      </c>
      <c r="E4649" s="1966">
        <v>0.23</v>
      </c>
      <c r="F4649" s="1965">
        <v>9.5</v>
      </c>
      <c r="G4649" s="1944">
        <f>(((E4649*H4649)-F4649)/(E4649*H4649))</f>
        <v>0.70496894409937894</v>
      </c>
      <c r="H4649" s="1945">
        <v>140</v>
      </c>
      <c r="I4649" s="1229"/>
      <c r="J4649" s="1229"/>
      <c r="K4649" s="1229"/>
      <c r="L4649" s="1229"/>
      <c r="M4649" s="1229"/>
      <c r="N4649" s="1229"/>
      <c r="O4649" s="1229"/>
      <c r="P4649" s="1229"/>
      <c r="Q4649" s="1229"/>
      <c r="R4649" s="1229"/>
      <c r="S4649" s="1229"/>
      <c r="T4649" s="1229"/>
      <c r="U4649" s="1229"/>
      <c r="V4649" s="1229"/>
      <c r="W4649" s="1229"/>
      <c r="X4649" s="1229"/>
      <c r="Y4649" s="1229"/>
      <c r="Z4649" s="1229"/>
      <c r="AA4649" s="1229"/>
      <c r="AB4649" s="1229"/>
      <c r="AC4649" s="1229"/>
      <c r="AD4649" s="1229"/>
      <c r="AE4649" s="1229"/>
      <c r="AF4649" s="1229"/>
      <c r="AG4649" s="1229"/>
      <c r="AH4649" s="1229"/>
      <c r="AI4649" s="1229"/>
      <c r="AJ4649" s="1229"/>
      <c r="AK4649" s="1229"/>
      <c r="AL4649" s="1229"/>
      <c r="AM4649" s="1229"/>
      <c r="AN4649" s="1229"/>
      <c r="AO4649" s="1229"/>
      <c r="AP4649" s="1229"/>
      <c r="AQ4649" s="1229"/>
      <c r="AR4649" s="1229"/>
      <c r="AS4649" s="1229"/>
      <c r="AT4649" s="1229"/>
      <c r="AU4649" s="1229"/>
      <c r="AV4649" s="1229"/>
      <c r="AW4649" s="1229"/>
      <c r="AX4649" s="1229"/>
      <c r="AY4649" s="1229"/>
      <c r="AZ4649" s="1229"/>
      <c r="BA4649" s="1229"/>
      <c r="BB4649" s="1229"/>
      <c r="BC4649" s="1229"/>
      <c r="BD4649" s="1229"/>
      <c r="BE4649" s="1229"/>
      <c r="BF4649" s="1229"/>
      <c r="BG4649" s="1229"/>
      <c r="BH4649" s="1229"/>
      <c r="BI4649" s="1229"/>
      <c r="BJ4649" s="1229"/>
      <c r="BK4649" s="1229"/>
      <c r="BL4649" s="1229"/>
      <c r="BM4649" s="1229"/>
      <c r="BN4649" s="1229"/>
      <c r="BO4649" s="1229"/>
      <c r="BP4649" s="1229"/>
      <c r="BQ4649" s="1229"/>
      <c r="BR4649" s="1229"/>
      <c r="BS4649" s="1229"/>
      <c r="BT4649" s="1229"/>
      <c r="BU4649" s="1229"/>
      <c r="BV4649" s="1229"/>
      <c r="BW4649" s="1229"/>
      <c r="BX4649" s="1229"/>
      <c r="BY4649" s="1229"/>
      <c r="BZ4649" s="1229"/>
      <c r="CA4649" s="1229"/>
      <c r="CB4649" s="1229"/>
      <c r="CC4649" s="1229"/>
      <c r="CD4649" s="1229"/>
      <c r="CE4649" s="1229"/>
      <c r="CF4649" s="1229"/>
      <c r="CG4649" s="1229"/>
      <c r="CH4649" s="1229"/>
      <c r="CI4649" s="1229"/>
      <c r="CJ4649" s="1229"/>
      <c r="CK4649" s="1229"/>
      <c r="CL4649" s="1229"/>
      <c r="CM4649" s="1229"/>
      <c r="CN4649" s="1229"/>
      <c r="CO4649" s="1229"/>
      <c r="CP4649" s="1229"/>
      <c r="CQ4649" s="1229"/>
      <c r="CR4649" s="1229"/>
      <c r="CS4649" s="1229"/>
      <c r="CT4649" s="1229"/>
      <c r="CU4649" s="1229"/>
      <c r="CV4649" s="1229"/>
      <c r="CW4649" s="1229"/>
      <c r="CX4649" s="1229"/>
      <c r="CY4649" s="1229"/>
      <c r="CZ4649" s="1229"/>
      <c r="DA4649" s="1229"/>
      <c r="DB4649" s="1229"/>
      <c r="DC4649" s="1229"/>
      <c r="DD4649" s="1229"/>
      <c r="DE4649" s="1229"/>
      <c r="DF4649" s="1229"/>
      <c r="DG4649" s="1229"/>
      <c r="DH4649" s="1229"/>
      <c r="DI4649" s="1229"/>
      <c r="DJ4649" s="1229"/>
      <c r="DK4649" s="1229"/>
      <c r="DL4649" s="1229"/>
      <c r="DM4649" s="1229"/>
      <c r="DN4649" s="1229"/>
      <c r="DO4649" s="1229"/>
      <c r="DP4649" s="1229"/>
      <c r="DQ4649" s="1229"/>
      <c r="DR4649" s="1229"/>
      <c r="DS4649" s="1229"/>
      <c r="DT4649" s="1229"/>
      <c r="DU4649" s="1229"/>
      <c r="DV4649" s="1229"/>
      <c r="DW4649" s="1229"/>
      <c r="DX4649" s="1229"/>
      <c r="DY4649" s="1229"/>
      <c r="DZ4649" s="1229"/>
      <c r="EA4649" s="1229"/>
      <c r="EB4649" s="1229"/>
      <c r="EC4649" s="1229"/>
      <c r="ED4649" s="1229"/>
      <c r="EE4649" s="1229"/>
      <c r="EF4649" s="1229"/>
      <c r="EG4649" s="1229"/>
      <c r="EH4649" s="1229"/>
      <c r="EI4649" s="1229"/>
      <c r="EJ4649" s="1229"/>
      <c r="EK4649" s="1229"/>
      <c r="EL4649" s="1229"/>
      <c r="EM4649" s="1229"/>
      <c r="EN4649" s="1229"/>
      <c r="EO4649" s="1229"/>
      <c r="EP4649" s="1229"/>
      <c r="EQ4649" s="1229"/>
      <c r="ER4649" s="1229"/>
      <c r="ES4649" s="1229"/>
      <c r="ET4649" s="1229"/>
      <c r="EU4649" s="1229"/>
    </row>
    <row r="4650" spans="1:151" s="354" customFormat="1" ht="15" customHeight="1">
      <c r="A4650" s="1221" t="s">
        <v>5180</v>
      </c>
      <c r="B4650" s="1232" t="s">
        <v>4615</v>
      </c>
      <c r="C4650" s="1223">
        <v>50</v>
      </c>
      <c r="D4650" s="1224" t="s">
        <v>211</v>
      </c>
      <c r="E4650" s="1966">
        <v>0.26</v>
      </c>
      <c r="F4650" s="1965">
        <v>12.5</v>
      </c>
      <c r="G4650" s="1944">
        <f>(((E4650*H4650)-F4650)/(E4650*H4650))</f>
        <v>0.65659340659340659</v>
      </c>
      <c r="H4650" s="1945">
        <v>140</v>
      </c>
      <c r="I4650" s="1229"/>
      <c r="J4650" s="1229"/>
      <c r="K4650" s="1229"/>
      <c r="L4650" s="1229"/>
      <c r="M4650" s="1229"/>
      <c r="N4650" s="1229"/>
      <c r="O4650" s="1229"/>
      <c r="P4650" s="1229"/>
      <c r="Q4650" s="1229"/>
      <c r="R4650" s="1229"/>
      <c r="S4650" s="1229"/>
      <c r="T4650" s="1229"/>
      <c r="U4650" s="1229"/>
      <c r="V4650" s="1229"/>
      <c r="W4650" s="1229"/>
      <c r="X4650" s="1229"/>
      <c r="Y4650" s="1229"/>
      <c r="Z4650" s="1229"/>
      <c r="AA4650" s="1229"/>
      <c r="AB4650" s="1229"/>
      <c r="AC4650" s="1229"/>
      <c r="AD4650" s="1229"/>
      <c r="AE4650" s="1229"/>
      <c r="AF4650" s="1229"/>
      <c r="AG4650" s="1229"/>
      <c r="AH4650" s="1229"/>
      <c r="AI4650" s="1229"/>
      <c r="AJ4650" s="1229"/>
      <c r="AK4650" s="1229"/>
      <c r="AL4650" s="1229"/>
      <c r="AM4650" s="1229"/>
      <c r="AN4650" s="1229"/>
      <c r="AO4650" s="1229"/>
      <c r="AP4650" s="1229"/>
      <c r="AQ4650" s="1229"/>
      <c r="AR4650" s="1229"/>
      <c r="AS4650" s="1229"/>
      <c r="AT4650" s="1229"/>
      <c r="AU4650" s="1229"/>
      <c r="AV4650" s="1229"/>
      <c r="AW4650" s="1229"/>
      <c r="AX4650" s="1229"/>
      <c r="AY4650" s="1229"/>
      <c r="AZ4650" s="1229"/>
      <c r="BA4650" s="1229"/>
      <c r="BB4650" s="1229"/>
      <c r="BC4650" s="1229"/>
      <c r="BD4650" s="1229"/>
      <c r="BE4650" s="1229"/>
      <c r="BF4650" s="1229"/>
      <c r="BG4650" s="1229"/>
      <c r="BH4650" s="1229"/>
      <c r="BI4650" s="1229"/>
      <c r="BJ4650" s="1229"/>
      <c r="BK4650" s="1229"/>
      <c r="BL4650" s="1229"/>
      <c r="BM4650" s="1229"/>
      <c r="BN4650" s="1229"/>
      <c r="BO4650" s="1229"/>
      <c r="BP4650" s="1229"/>
      <c r="BQ4650" s="1229"/>
      <c r="BR4650" s="1229"/>
      <c r="BS4650" s="1229"/>
      <c r="BT4650" s="1229"/>
      <c r="BU4650" s="1229"/>
      <c r="BV4650" s="1229"/>
      <c r="BW4650" s="1229"/>
      <c r="BX4650" s="1229"/>
      <c r="BY4650" s="1229"/>
      <c r="BZ4650" s="1229"/>
      <c r="CA4650" s="1229"/>
      <c r="CB4650" s="1229"/>
      <c r="CC4650" s="1229"/>
      <c r="CD4650" s="1229"/>
      <c r="CE4650" s="1229"/>
      <c r="CF4650" s="1229"/>
      <c r="CG4650" s="1229"/>
      <c r="CH4650" s="1229"/>
      <c r="CI4650" s="1229"/>
      <c r="CJ4650" s="1229"/>
      <c r="CK4650" s="1229"/>
      <c r="CL4650" s="1229"/>
      <c r="CM4650" s="1229"/>
      <c r="CN4650" s="1229"/>
      <c r="CO4650" s="1229"/>
      <c r="CP4650" s="1229"/>
      <c r="CQ4650" s="1229"/>
      <c r="CR4650" s="1229"/>
      <c r="CS4650" s="1229"/>
      <c r="CT4650" s="1229"/>
      <c r="CU4650" s="1229"/>
      <c r="CV4650" s="1229"/>
      <c r="CW4650" s="1229"/>
      <c r="CX4650" s="1229"/>
      <c r="CY4650" s="1229"/>
      <c r="CZ4650" s="1229"/>
      <c r="DA4650" s="1229"/>
      <c r="DB4650" s="1229"/>
      <c r="DC4650" s="1229"/>
      <c r="DD4650" s="1229"/>
      <c r="DE4650" s="1229"/>
      <c r="DF4650" s="1229"/>
      <c r="DG4650" s="1229"/>
      <c r="DH4650" s="1229"/>
      <c r="DI4650" s="1229"/>
      <c r="DJ4650" s="1229"/>
      <c r="DK4650" s="1229"/>
      <c r="DL4650" s="1229"/>
      <c r="DM4650" s="1229"/>
      <c r="DN4650" s="1229"/>
      <c r="DO4650" s="1229"/>
      <c r="DP4650" s="1229"/>
      <c r="DQ4650" s="1229"/>
      <c r="DR4650" s="1229"/>
      <c r="DS4650" s="1229"/>
      <c r="DT4650" s="1229"/>
      <c r="DU4650" s="1229"/>
      <c r="DV4650" s="1229"/>
      <c r="DW4650" s="1229"/>
      <c r="DX4650" s="1229"/>
      <c r="DY4650" s="1229"/>
      <c r="DZ4650" s="1229"/>
      <c r="EA4650" s="1229"/>
      <c r="EB4650" s="1229"/>
      <c r="EC4650" s="1229"/>
      <c r="ED4650" s="1229"/>
      <c r="EE4650" s="1229"/>
      <c r="EF4650" s="1229"/>
      <c r="EG4650" s="1229"/>
      <c r="EH4650" s="1229"/>
      <c r="EI4650" s="1229"/>
      <c r="EJ4650" s="1229"/>
      <c r="EK4650" s="1229"/>
      <c r="EL4650" s="1229"/>
      <c r="EM4650" s="1229"/>
      <c r="EN4650" s="1229"/>
      <c r="EO4650" s="1229"/>
      <c r="EP4650" s="1229"/>
      <c r="EQ4650" s="1229"/>
      <c r="ER4650" s="1229"/>
      <c r="ES4650" s="1229"/>
      <c r="ET4650" s="1229"/>
      <c r="EU4650" s="1229"/>
    </row>
    <row r="4651" spans="1:151" s="354" customFormat="1" ht="15" customHeight="1">
      <c r="A4651" s="1221" t="s">
        <v>5180</v>
      </c>
      <c r="B4651" s="1232" t="s">
        <v>4616</v>
      </c>
      <c r="C4651" s="1223">
        <v>50</v>
      </c>
      <c r="D4651" s="1224" t="s">
        <v>211</v>
      </c>
      <c r="E4651" s="1966">
        <v>0.31</v>
      </c>
      <c r="F4651" s="1965">
        <v>14.8</v>
      </c>
      <c r="G4651" s="1944">
        <f>(((E4651*H4651)-F4651)/(E4651*H4651))</f>
        <v>0.6589861751152073</v>
      </c>
      <c r="H4651" s="1945">
        <v>140</v>
      </c>
      <c r="I4651" s="1229"/>
      <c r="J4651" s="1229"/>
      <c r="K4651" s="1229"/>
      <c r="L4651" s="1229"/>
      <c r="M4651" s="1229"/>
      <c r="N4651" s="1229"/>
      <c r="O4651" s="1229"/>
      <c r="P4651" s="1229"/>
      <c r="Q4651" s="1229"/>
      <c r="R4651" s="1229"/>
      <c r="S4651" s="1229"/>
      <c r="T4651" s="1229"/>
      <c r="U4651" s="1229"/>
      <c r="V4651" s="1229"/>
      <c r="W4651" s="1229"/>
      <c r="X4651" s="1229"/>
      <c r="Y4651" s="1229"/>
      <c r="Z4651" s="1229"/>
      <c r="AA4651" s="1229"/>
      <c r="AB4651" s="1229"/>
      <c r="AC4651" s="1229"/>
      <c r="AD4651" s="1229"/>
      <c r="AE4651" s="1229"/>
      <c r="AF4651" s="1229"/>
      <c r="AG4651" s="1229"/>
      <c r="AH4651" s="1229"/>
      <c r="AI4651" s="1229"/>
      <c r="AJ4651" s="1229"/>
      <c r="AK4651" s="1229"/>
      <c r="AL4651" s="1229"/>
      <c r="AM4651" s="1229"/>
      <c r="AN4651" s="1229"/>
      <c r="AO4651" s="1229"/>
      <c r="AP4651" s="1229"/>
      <c r="AQ4651" s="1229"/>
      <c r="AR4651" s="1229"/>
      <c r="AS4651" s="1229"/>
      <c r="AT4651" s="1229"/>
      <c r="AU4651" s="1229"/>
      <c r="AV4651" s="1229"/>
      <c r="AW4651" s="1229"/>
      <c r="AX4651" s="1229"/>
      <c r="AY4651" s="1229"/>
      <c r="AZ4651" s="1229"/>
      <c r="BA4651" s="1229"/>
      <c r="BB4651" s="1229"/>
      <c r="BC4651" s="1229"/>
      <c r="BD4651" s="1229"/>
      <c r="BE4651" s="1229"/>
      <c r="BF4651" s="1229"/>
      <c r="BG4651" s="1229"/>
      <c r="BH4651" s="1229"/>
      <c r="BI4651" s="1229"/>
      <c r="BJ4651" s="1229"/>
      <c r="BK4651" s="1229"/>
      <c r="BL4651" s="1229"/>
      <c r="BM4651" s="1229"/>
      <c r="BN4651" s="1229"/>
      <c r="BO4651" s="1229"/>
      <c r="BP4651" s="1229"/>
      <c r="BQ4651" s="1229"/>
      <c r="BR4651" s="1229"/>
      <c r="BS4651" s="1229"/>
      <c r="BT4651" s="1229"/>
      <c r="BU4651" s="1229"/>
      <c r="BV4651" s="1229"/>
      <c r="BW4651" s="1229"/>
      <c r="BX4651" s="1229"/>
      <c r="BY4651" s="1229"/>
      <c r="BZ4651" s="1229"/>
      <c r="CA4651" s="1229"/>
      <c r="CB4651" s="1229"/>
      <c r="CC4651" s="1229"/>
      <c r="CD4651" s="1229"/>
      <c r="CE4651" s="1229"/>
      <c r="CF4651" s="1229"/>
      <c r="CG4651" s="1229"/>
      <c r="CH4651" s="1229"/>
      <c r="CI4651" s="1229"/>
      <c r="CJ4651" s="1229"/>
      <c r="CK4651" s="1229"/>
      <c r="CL4651" s="1229"/>
      <c r="CM4651" s="1229"/>
      <c r="CN4651" s="1229"/>
      <c r="CO4651" s="1229"/>
      <c r="CP4651" s="1229"/>
      <c r="CQ4651" s="1229"/>
      <c r="CR4651" s="1229"/>
      <c r="CS4651" s="1229"/>
      <c r="CT4651" s="1229"/>
      <c r="CU4651" s="1229"/>
      <c r="CV4651" s="1229"/>
      <c r="CW4651" s="1229"/>
      <c r="CX4651" s="1229"/>
      <c r="CY4651" s="1229"/>
      <c r="CZ4651" s="1229"/>
      <c r="DA4651" s="1229"/>
      <c r="DB4651" s="1229"/>
      <c r="DC4651" s="1229"/>
      <c r="DD4651" s="1229"/>
      <c r="DE4651" s="1229"/>
      <c r="DF4651" s="1229"/>
      <c r="DG4651" s="1229"/>
      <c r="DH4651" s="1229"/>
      <c r="DI4651" s="1229"/>
      <c r="DJ4651" s="1229"/>
      <c r="DK4651" s="1229"/>
      <c r="DL4651" s="1229"/>
      <c r="DM4651" s="1229"/>
      <c r="DN4651" s="1229"/>
      <c r="DO4651" s="1229"/>
      <c r="DP4651" s="1229"/>
      <c r="DQ4651" s="1229"/>
      <c r="DR4651" s="1229"/>
      <c r="DS4651" s="1229"/>
      <c r="DT4651" s="1229"/>
      <c r="DU4651" s="1229"/>
      <c r="DV4651" s="1229"/>
      <c r="DW4651" s="1229"/>
      <c r="DX4651" s="1229"/>
      <c r="DY4651" s="1229"/>
      <c r="DZ4651" s="1229"/>
      <c r="EA4651" s="1229"/>
      <c r="EB4651" s="1229"/>
      <c r="EC4651" s="1229"/>
      <c r="ED4651" s="1229"/>
      <c r="EE4651" s="1229"/>
      <c r="EF4651" s="1229"/>
      <c r="EG4651" s="1229"/>
      <c r="EH4651" s="1229"/>
      <c r="EI4651" s="1229"/>
      <c r="EJ4651" s="1229"/>
      <c r="EK4651" s="1229"/>
      <c r="EL4651" s="1229"/>
      <c r="EM4651" s="1229"/>
      <c r="EN4651" s="1229"/>
      <c r="EO4651" s="1229"/>
      <c r="EP4651" s="1229"/>
      <c r="EQ4651" s="1229"/>
      <c r="ER4651" s="1229"/>
      <c r="ES4651" s="1229"/>
      <c r="ET4651" s="1229"/>
      <c r="EU4651" s="1229"/>
    </row>
    <row r="4654" spans="1:151">
      <c r="A4654" s="289" t="s">
        <v>99</v>
      </c>
      <c r="B4654" s="289" t="s">
        <v>16</v>
      </c>
      <c r="C4654" s="289" t="s">
        <v>45</v>
      </c>
      <c r="D4654" s="289" t="s">
        <v>163</v>
      </c>
      <c r="E4654" s="289" t="s">
        <v>197</v>
      </c>
      <c r="F4654" s="289" t="s">
        <v>198</v>
      </c>
      <c r="G4654" s="1606" t="s">
        <v>3604</v>
      </c>
    </row>
    <row r="4655" spans="1:151">
      <c r="A4655" s="1182" t="s">
        <v>5046</v>
      </c>
      <c r="B4655" s="42" t="s">
        <v>2491</v>
      </c>
      <c r="C4655" s="41" t="s">
        <v>5048</v>
      </c>
      <c r="D4655" s="328">
        <v>44</v>
      </c>
      <c r="E4655" s="297">
        <v>7</v>
      </c>
      <c r="F4655" s="328">
        <f t="shared" ref="F4655" si="158">D4655*E4655</f>
        <v>308</v>
      </c>
      <c r="G4655" s="1184">
        <v>19.62</v>
      </c>
    </row>
    <row r="4658" spans="1:7">
      <c r="A4658" s="1633" t="s">
        <v>5219</v>
      </c>
    </row>
    <row r="4659" spans="1:7" ht="14.25" thickBot="1">
      <c r="E4659" t="s">
        <v>5226</v>
      </c>
    </row>
    <row r="4660" spans="1:7" ht="14.25" thickBot="1">
      <c r="A4660" s="289" t="s">
        <v>40</v>
      </c>
      <c r="B4660" s="1647" t="s">
        <v>3654</v>
      </c>
      <c r="C4660" s="1647" t="s">
        <v>4135</v>
      </c>
      <c r="D4660" s="289" t="s">
        <v>4136</v>
      </c>
      <c r="E4660" s="1985" t="s">
        <v>3609</v>
      </c>
      <c r="F4660" s="1640" t="s">
        <v>3909</v>
      </c>
      <c r="G4660" s="1640" t="s">
        <v>1843</v>
      </c>
    </row>
    <row r="4661" spans="1:7" ht="26.25" thickBot="1">
      <c r="A4661" s="41" t="s">
        <v>5197</v>
      </c>
      <c r="B4661" s="302" t="s">
        <v>5196</v>
      </c>
      <c r="C4661" s="1463" t="s">
        <v>5222</v>
      </c>
      <c r="D4661" s="1648">
        <f>ROUNDUP(E4661/0.8/160,2)</f>
        <v>105.08</v>
      </c>
      <c r="E4661" s="1986">
        <f>13300+150</f>
        <v>13450</v>
      </c>
      <c r="F4661" s="1642">
        <f>(D4661-(E4661/G4661))/D4661</f>
        <v>0.20001427483821849</v>
      </c>
      <c r="G4661" s="1643">
        <v>160</v>
      </c>
    </row>
    <row r="4662" spans="1:7" ht="15" thickBot="1">
      <c r="A4662" s="41" t="s">
        <v>5197</v>
      </c>
      <c r="B4662" s="302" t="s">
        <v>5196</v>
      </c>
      <c r="C4662" s="1463" t="s">
        <v>5220</v>
      </c>
      <c r="D4662" s="1648">
        <f>ROUNDUP(E4662/0.8/160,2)</f>
        <v>98.050000000000011</v>
      </c>
      <c r="E4662" s="1986">
        <f>12400+150</f>
        <v>12550</v>
      </c>
      <c r="F4662" s="1642">
        <f>(D4662-(E4662/G4662))/D4662</f>
        <v>0.2000254971953086</v>
      </c>
      <c r="G4662" s="1643">
        <v>160</v>
      </c>
    </row>
    <row r="4663" spans="1:7" ht="15" thickBot="1">
      <c r="A4663" s="41" t="s">
        <v>5197</v>
      </c>
      <c r="B4663" s="302" t="s">
        <v>5196</v>
      </c>
      <c r="C4663" s="1463" t="s">
        <v>5221</v>
      </c>
      <c r="D4663" s="1648">
        <f>ROUNDUP(E4663/0.8/160,2)</f>
        <v>87.11</v>
      </c>
      <c r="E4663" s="1986">
        <f>11000+150</f>
        <v>11150</v>
      </c>
      <c r="F4663" s="1642">
        <f>(D4663-(E4663/G4663))/D4663</f>
        <v>0.20000573986913098</v>
      </c>
      <c r="G4663" s="1643">
        <v>160</v>
      </c>
    </row>
    <row r="4664" spans="1:7" ht="15" thickBot="1">
      <c r="A4664" s="41"/>
      <c r="B4664" s="302"/>
      <c r="C4664" s="1463"/>
      <c r="D4664" s="1648"/>
      <c r="E4664" s="1986"/>
      <c r="F4664" s="1642"/>
      <c r="G4664" s="1643"/>
    </row>
    <row r="4665" spans="1:7" ht="26.25" thickBot="1">
      <c r="A4665" s="41" t="s">
        <v>5223</v>
      </c>
      <c r="B4665" s="302" t="s">
        <v>5196</v>
      </c>
      <c r="C4665" s="1463" t="s">
        <v>5222</v>
      </c>
      <c r="D4665" s="1648">
        <f>ROUNDUP(E4665/0.8/160,2)</f>
        <v>101.18</v>
      </c>
      <c r="E4665" s="1986">
        <f>12800+150</f>
        <v>12950</v>
      </c>
      <c r="F4665" s="1642">
        <f>(D4665-(E4665/G4665))/D4665</f>
        <v>0.20006424194504849</v>
      </c>
      <c r="G4665" s="1643">
        <v>160</v>
      </c>
    </row>
    <row r="4666" spans="1:7" ht="15" thickBot="1">
      <c r="A4666" s="41" t="s">
        <v>5223</v>
      </c>
      <c r="B4666" s="302" t="s">
        <v>5196</v>
      </c>
      <c r="C4666" s="1463" t="s">
        <v>5220</v>
      </c>
      <c r="D4666" s="1648">
        <f>ROUNDUP(E4666/0.8/160,2)</f>
        <v>94.15</v>
      </c>
      <c r="E4666" s="1986">
        <f>11900+150</f>
        <v>12050</v>
      </c>
      <c r="F4666" s="1642">
        <f>(D4666-(E4666/G4666))/D4666</f>
        <v>0.2000796601168349</v>
      </c>
      <c r="G4666" s="1643">
        <v>160</v>
      </c>
    </row>
    <row r="4667" spans="1:7" ht="15" thickBot="1">
      <c r="A4667" s="41" t="s">
        <v>5223</v>
      </c>
      <c r="B4667" s="302" t="s">
        <v>5196</v>
      </c>
      <c r="C4667" s="1463" t="s">
        <v>5221</v>
      </c>
      <c r="D4667" s="1648">
        <f>ROUNDUP(E4667/0.8/160,2)</f>
        <v>83.210000000000008</v>
      </c>
      <c r="E4667" s="1986">
        <f>10500+150</f>
        <v>10650</v>
      </c>
      <c r="F4667" s="1642">
        <f>(D4667-(E4667/G4667))/D4667</f>
        <v>0.20006609782478074</v>
      </c>
      <c r="G4667" s="1643">
        <v>160</v>
      </c>
    </row>
    <row r="4668" spans="1:7" ht="15" thickBot="1">
      <c r="A4668" s="41"/>
      <c r="B4668" s="302"/>
      <c r="C4668" s="1463"/>
      <c r="D4668" s="1648"/>
      <c r="E4668" s="1986"/>
      <c r="F4668" s="1642"/>
      <c r="G4668" s="1643"/>
    </row>
    <row r="4669" spans="1:7" ht="26.25" thickBot="1">
      <c r="A4669" s="41" t="s">
        <v>5224</v>
      </c>
      <c r="B4669" s="302" t="s">
        <v>5225</v>
      </c>
      <c r="C4669" s="1463" t="s">
        <v>5222</v>
      </c>
      <c r="D4669" s="1648">
        <f>ROUNDUP(E4669/0.8/160,2)</f>
        <v>124.61</v>
      </c>
      <c r="E4669" s="1986">
        <f>15800+150</f>
        <v>15950</v>
      </c>
      <c r="F4669" s="1642">
        <f>(D4669-(E4669/G4669))/D4669</f>
        <v>0.20000401251905947</v>
      </c>
      <c r="G4669" s="1643">
        <v>160</v>
      </c>
    </row>
    <row r="4670" spans="1:7" ht="15" thickBot="1">
      <c r="A4670" s="41" t="s">
        <v>5224</v>
      </c>
      <c r="B4670" s="302" t="s">
        <v>5225</v>
      </c>
      <c r="C4670" s="1463" t="s">
        <v>5220</v>
      </c>
      <c r="D4670" s="1648">
        <f>ROUNDUP(E4670/0.8/160,2)</f>
        <v>117.58</v>
      </c>
      <c r="E4670" s="1986">
        <f>14900+150</f>
        <v>15050</v>
      </c>
      <c r="F4670" s="1642">
        <f>(D4670-(E4670/G4670))/D4670</f>
        <v>0.20001275727164483</v>
      </c>
      <c r="G4670" s="1643">
        <v>160</v>
      </c>
    </row>
    <row r="4671" spans="1:7" ht="15" thickBot="1">
      <c r="A4671" s="41" t="s">
        <v>5224</v>
      </c>
      <c r="B4671" s="302" t="s">
        <v>5225</v>
      </c>
      <c r="C4671" s="1463" t="s">
        <v>5221</v>
      </c>
      <c r="D4671" s="1648">
        <f>ROUNDUP(E4671/0.8/160,2)</f>
        <v>106.65</v>
      </c>
      <c r="E4671" s="1986">
        <f>13500+150</f>
        <v>13650</v>
      </c>
      <c r="F4671" s="1642">
        <f>(D4671-(E4671/G4671))/D4671</f>
        <v>0.20007032348804504</v>
      </c>
      <c r="G4671" s="1643">
        <v>160</v>
      </c>
    </row>
    <row r="4674" spans="1:10">
      <c r="A4674" s="1809"/>
    </row>
    <row r="4675" spans="1:10">
      <c r="A4675" s="1975" t="s">
        <v>5198</v>
      </c>
      <c r="B4675" s="1975" t="s">
        <v>5199</v>
      </c>
      <c r="C4675" s="1975" t="s">
        <v>5200</v>
      </c>
      <c r="D4675" s="1975" t="s">
        <v>5201</v>
      </c>
      <c r="E4675" s="1975" t="s">
        <v>5202</v>
      </c>
      <c r="F4675" s="1976" t="s">
        <v>5203</v>
      </c>
      <c r="G4675" s="1975" t="s">
        <v>5204</v>
      </c>
      <c r="H4675" s="1984" t="s">
        <v>5217</v>
      </c>
      <c r="I4675" s="1984" t="s">
        <v>5218</v>
      </c>
      <c r="J4675" s="1977"/>
    </row>
    <row r="4676" spans="1:10" ht="14.25" customHeight="1">
      <c r="A4676" s="1858" t="s">
        <v>5215</v>
      </c>
      <c r="B4676" s="1858" t="s">
        <v>5205</v>
      </c>
      <c r="C4676" s="1858" t="s">
        <v>5216</v>
      </c>
      <c r="D4676" s="1983">
        <v>24.22</v>
      </c>
      <c r="E4676" s="1979">
        <v>20.32</v>
      </c>
      <c r="F4676" s="1980" t="s">
        <v>5206</v>
      </c>
      <c r="G4676" s="1978" t="s">
        <v>5207</v>
      </c>
      <c r="H4676" s="1981">
        <f>2100+1000</f>
        <v>3100</v>
      </c>
      <c r="I4676" s="1981">
        <f>1600+1000</f>
        <v>2600</v>
      </c>
      <c r="J4676" s="1982"/>
    </row>
    <row r="4677" spans="1:10">
      <c r="A4677" s="1973" t="s">
        <v>5208</v>
      </c>
    </row>
    <row r="4678" spans="1:10" ht="25.5">
      <c r="A4678" s="1974" t="s">
        <v>5209</v>
      </c>
    </row>
    <row r="4679" spans="1:10" ht="38.25">
      <c r="A4679" s="1974" t="s">
        <v>5210</v>
      </c>
    </row>
    <row r="4680" spans="1:10" ht="25.5">
      <c r="A4680" s="1974" t="s">
        <v>5211</v>
      </c>
    </row>
    <row r="4681" spans="1:10" ht="25.5">
      <c r="A4681" s="1974" t="s">
        <v>5212</v>
      </c>
    </row>
    <row r="4682" spans="1:10" ht="38.25">
      <c r="A4682" s="1520" t="s">
        <v>5213</v>
      </c>
    </row>
    <row r="4683" spans="1:10" ht="38.25">
      <c r="A4683" s="1974" t="s">
        <v>5214</v>
      </c>
    </row>
  </sheetData>
  <autoFilter ref="A1069:D1098" xr:uid="{FC2A1A2C-792F-42DD-AB83-31579687FBC2}"/>
  <mergeCells count="55">
    <mergeCell ref="A4344:C4344"/>
    <mergeCell ref="A4143:C4143"/>
    <mergeCell ref="A4018:D4018"/>
    <mergeCell ref="D4024:D4025"/>
    <mergeCell ref="A4006:A4007"/>
    <mergeCell ref="B4006:B4007"/>
    <mergeCell ref="G4006:I4006"/>
    <mergeCell ref="J4006:J4007"/>
    <mergeCell ref="C4006:C4007"/>
    <mergeCell ref="D4006:D4007"/>
    <mergeCell ref="E4006:E4007"/>
    <mergeCell ref="F4006:F4007"/>
    <mergeCell ref="C1388:C1389"/>
    <mergeCell ref="D1388:D1389"/>
    <mergeCell ref="E1388:E1389"/>
    <mergeCell ref="B1422:B1423"/>
    <mergeCell ref="C1422:C1423"/>
    <mergeCell ref="H140:H148"/>
    <mergeCell ref="G150:G151"/>
    <mergeCell ref="G159:G162"/>
    <mergeCell ref="F750:F758"/>
    <mergeCell ref="A807:C807"/>
    <mergeCell ref="G140:G148"/>
    <mergeCell ref="A3164:C3164"/>
    <mergeCell ref="H945:H946"/>
    <mergeCell ref="G760:G763"/>
    <mergeCell ref="F1388:F1389"/>
    <mergeCell ref="G1388:G1389"/>
    <mergeCell ref="H1388:H1389"/>
    <mergeCell ref="F1422:F1423"/>
    <mergeCell ref="A1422:A1423"/>
    <mergeCell ref="F816:F817"/>
    <mergeCell ref="A1417:A1418"/>
    <mergeCell ref="B1417:B1418"/>
    <mergeCell ref="C1417:C1418"/>
    <mergeCell ref="D1417:D1418"/>
    <mergeCell ref="E1417:E1418"/>
    <mergeCell ref="A1388:A1389"/>
    <mergeCell ref="B1388:B1389"/>
    <mergeCell ref="D811:D813"/>
    <mergeCell ref="D1422:D1423"/>
    <mergeCell ref="E1422:E1423"/>
    <mergeCell ref="A3112:C3112"/>
    <mergeCell ref="A3688:C3688"/>
    <mergeCell ref="A3113:C3113"/>
    <mergeCell ref="B1709:B1714"/>
    <mergeCell ref="A2369:F2369"/>
    <mergeCell ref="A2414:B2414"/>
    <mergeCell ref="A3048:B3048"/>
    <mergeCell ref="F3048:G3048"/>
    <mergeCell ref="A2735:B2735"/>
    <mergeCell ref="D2735:E2735"/>
    <mergeCell ref="A2731:B2731"/>
    <mergeCell ref="D2731:E2731"/>
    <mergeCell ref="A3163:C3163"/>
  </mergeCells>
  <phoneticPr fontId="4"/>
  <conditionalFormatting sqref="G4073:G4074 G4060:G4067 F4085:F4089">
    <cfRule type="cellIs" dxfId="42" priority="46" operator="equal">
      <formula>0</formula>
    </cfRule>
  </conditionalFormatting>
  <conditionalFormatting sqref="G4068">
    <cfRule type="cellIs" dxfId="41" priority="39" operator="equal">
      <formula>0</formula>
    </cfRule>
  </conditionalFormatting>
  <conditionalFormatting sqref="G4069">
    <cfRule type="cellIs" dxfId="40" priority="38" operator="equal">
      <formula>0</formula>
    </cfRule>
  </conditionalFormatting>
  <conditionalFormatting sqref="G4070">
    <cfRule type="cellIs" dxfId="39" priority="37" operator="equal">
      <formula>0</formula>
    </cfRule>
  </conditionalFormatting>
  <conditionalFormatting sqref="G4071">
    <cfRule type="cellIs" dxfId="38" priority="36" operator="equal">
      <formula>0</formula>
    </cfRule>
  </conditionalFormatting>
  <conditionalFormatting sqref="G4072">
    <cfRule type="cellIs" dxfId="37" priority="35" operator="equal">
      <formula>0</formula>
    </cfRule>
  </conditionalFormatting>
  <conditionalFormatting sqref="F4090:F4091 F4077:F4084">
    <cfRule type="cellIs" dxfId="36" priority="33" operator="equal">
      <formula>0</formula>
    </cfRule>
  </conditionalFormatting>
  <conditionalFormatting sqref="G4077:H4077">
    <cfRule type="cellIs" dxfId="35" priority="26" operator="equal">
      <formula>0</formula>
    </cfRule>
  </conditionalFormatting>
  <conditionalFormatting sqref="G4085:G4089">
    <cfRule type="cellIs" dxfId="34" priority="25" operator="equal">
      <formula>0</formula>
    </cfRule>
  </conditionalFormatting>
  <conditionalFormatting sqref="G4090:G4091 G4078:G4084">
    <cfRule type="cellIs" dxfId="33" priority="24" operator="equal">
      <formula>0</formula>
    </cfRule>
  </conditionalFormatting>
  <conditionalFormatting sqref="H4078">
    <cfRule type="cellIs" dxfId="32" priority="23" operator="equal">
      <formula>0</formula>
    </cfRule>
  </conditionalFormatting>
  <conditionalFormatting sqref="H4079">
    <cfRule type="cellIs" dxfId="31" priority="22" operator="equal">
      <formula>0</formula>
    </cfRule>
  </conditionalFormatting>
  <conditionalFormatting sqref="H4080">
    <cfRule type="cellIs" dxfId="30" priority="21" operator="equal">
      <formula>0</formula>
    </cfRule>
  </conditionalFormatting>
  <conditionalFormatting sqref="H4081">
    <cfRule type="cellIs" dxfId="29" priority="20" operator="equal">
      <formula>0</formula>
    </cfRule>
  </conditionalFormatting>
  <conditionalFormatting sqref="H4082">
    <cfRule type="cellIs" dxfId="28" priority="19" operator="equal">
      <formula>0</formula>
    </cfRule>
  </conditionalFormatting>
  <conditionalFormatting sqref="H4083">
    <cfRule type="cellIs" dxfId="27" priority="18" operator="equal">
      <formula>0</formula>
    </cfRule>
  </conditionalFormatting>
  <conditionalFormatting sqref="H4084">
    <cfRule type="cellIs" dxfId="26" priority="17" operator="equal">
      <formula>0</formula>
    </cfRule>
  </conditionalFormatting>
  <conditionalFormatting sqref="H4085">
    <cfRule type="cellIs" dxfId="25" priority="16" operator="equal">
      <formula>0</formula>
    </cfRule>
  </conditionalFormatting>
  <conditionalFormatting sqref="H4086">
    <cfRule type="cellIs" dxfId="24" priority="15" operator="equal">
      <formula>0</formula>
    </cfRule>
  </conditionalFormatting>
  <conditionalFormatting sqref="H4087">
    <cfRule type="cellIs" dxfId="23" priority="14" operator="equal">
      <formula>0</formula>
    </cfRule>
  </conditionalFormatting>
  <conditionalFormatting sqref="H4088">
    <cfRule type="cellIs" dxfId="22" priority="13" operator="equal">
      <formula>0</formula>
    </cfRule>
  </conditionalFormatting>
  <conditionalFormatting sqref="H4089">
    <cfRule type="cellIs" dxfId="21" priority="12" operator="equal">
      <formula>0</formula>
    </cfRule>
  </conditionalFormatting>
  <conditionalFormatting sqref="H4090">
    <cfRule type="cellIs" dxfId="20" priority="11" operator="equal">
      <formula>0</formula>
    </cfRule>
  </conditionalFormatting>
  <conditionalFormatting sqref="H4091">
    <cfRule type="cellIs" dxfId="19" priority="8" operator="equal">
      <formula>0</formula>
    </cfRule>
  </conditionalFormatting>
  <conditionalFormatting sqref="E4090:E4091 E4078:E4084">
    <cfRule type="cellIs" dxfId="18" priority="7" operator="equal">
      <formula>0</formula>
    </cfRule>
  </conditionalFormatting>
  <conditionalFormatting sqref="E4085">
    <cfRule type="cellIs" dxfId="17" priority="6" operator="equal">
      <formula>0</formula>
    </cfRule>
  </conditionalFormatting>
  <conditionalFormatting sqref="E4086">
    <cfRule type="cellIs" dxfId="16" priority="5" operator="equal">
      <formula>0</formula>
    </cfRule>
  </conditionalFormatting>
  <conditionalFormatting sqref="E4087">
    <cfRule type="cellIs" dxfId="15" priority="4" operator="equal">
      <formula>0</formula>
    </cfRule>
  </conditionalFormatting>
  <conditionalFormatting sqref="E4088">
    <cfRule type="cellIs" dxfId="14" priority="3" operator="equal">
      <formula>0</formula>
    </cfRule>
  </conditionalFormatting>
  <conditionalFormatting sqref="E4089">
    <cfRule type="cellIs" dxfId="13" priority="2" operator="equal">
      <formula>0</formula>
    </cfRule>
  </conditionalFormatting>
  <hyperlinks>
    <hyperlink ref="A4610" r:id="rId1" xr:uid="{FD18A09E-6227-46F4-8846-811110620E02}"/>
  </hyperlinks>
  <pageMargins left="0.7" right="0.7" top="0.75" bottom="0.75" header="0.3" footer="0.3"/>
  <pageSetup paperSize="9" orientation="portrait" r:id="rId2"/>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B1:AH63"/>
  <sheetViews>
    <sheetView showGridLines="0" view="pageBreakPreview" zoomScaleNormal="100" zoomScaleSheetLayoutView="100" workbookViewId="0">
      <selection activeCell="W30" sqref="W30:X31"/>
    </sheetView>
  </sheetViews>
  <sheetFormatPr defaultColWidth="3.25" defaultRowHeight="12"/>
  <cols>
    <col min="1" max="1" width="3.25" style="384"/>
    <col min="2" max="2" width="6.25" style="391" customWidth="1"/>
    <col min="3" max="20" width="3.25" style="384"/>
    <col min="21" max="22" width="6.375" style="384" customWidth="1"/>
    <col min="23" max="28" width="4.875" style="384" customWidth="1"/>
    <col min="29" max="32" width="3.25" style="384"/>
    <col min="33" max="34" width="4.875" style="384" customWidth="1"/>
    <col min="35" max="37" width="3.25" style="384"/>
    <col min="38" max="38" width="3.75" style="384" bestFit="1" customWidth="1"/>
    <col min="39" max="16384" width="3.25" style="384"/>
  </cols>
  <sheetData>
    <row r="1" spans="3:34">
      <c r="C1" s="2165" t="s">
        <v>349</v>
      </c>
      <c r="D1" s="2166"/>
      <c r="E1" s="2166"/>
      <c r="F1" s="2167"/>
      <c r="G1" s="2164"/>
      <c r="H1" s="2164"/>
      <c r="I1" s="2164"/>
      <c r="J1" s="2164"/>
      <c r="K1" s="2164"/>
      <c r="L1" s="2164"/>
      <c r="M1" s="2164"/>
    </row>
    <row r="2" spans="3:34">
      <c r="C2" s="2165" t="s">
        <v>350</v>
      </c>
      <c r="D2" s="2166"/>
      <c r="E2" s="2166"/>
      <c r="F2" s="2167"/>
      <c r="G2" s="2164"/>
      <c r="H2" s="2164"/>
      <c r="I2" s="2164"/>
      <c r="J2" s="2164"/>
      <c r="K2" s="2164"/>
      <c r="L2" s="2164"/>
      <c r="M2" s="2164"/>
    </row>
    <row r="4" spans="3:34" ht="18.75" customHeight="1">
      <c r="C4" s="2246" t="s">
        <v>335</v>
      </c>
      <c r="D4" s="2247"/>
      <c r="E4" s="2247"/>
      <c r="F4" s="2247"/>
      <c r="G4" s="2247"/>
      <c r="H4" s="2247"/>
      <c r="I4" s="2247"/>
      <c r="J4" s="2247"/>
      <c r="K4" s="2247"/>
      <c r="L4" s="2247"/>
      <c r="M4" s="2247"/>
      <c r="N4" s="2247"/>
      <c r="O4" s="2247"/>
      <c r="P4" s="2247"/>
      <c r="Q4" s="2247"/>
      <c r="R4" s="2247"/>
      <c r="S4" s="2247"/>
      <c r="T4" s="2247"/>
      <c r="U4" s="2249" t="s">
        <v>303</v>
      </c>
      <c r="V4" s="2249"/>
      <c r="W4" s="2249"/>
      <c r="X4" s="2249"/>
      <c r="Y4" s="2249"/>
      <c r="Z4" s="2249"/>
      <c r="AA4" s="2249"/>
      <c r="AB4" s="2249"/>
      <c r="AC4" s="2249"/>
      <c r="AD4" s="2249"/>
      <c r="AE4" s="2249"/>
      <c r="AF4" s="2249"/>
      <c r="AG4" s="2249"/>
      <c r="AH4" s="2249"/>
    </row>
    <row r="5" spans="3:34" ht="18.75" customHeight="1">
      <c r="C5" s="2247"/>
      <c r="D5" s="2247"/>
      <c r="E5" s="2247"/>
      <c r="F5" s="2247"/>
      <c r="G5" s="2247"/>
      <c r="H5" s="2247"/>
      <c r="I5" s="2247"/>
      <c r="J5" s="2247"/>
      <c r="K5" s="2247"/>
      <c r="L5" s="2247"/>
      <c r="M5" s="2247"/>
      <c r="N5" s="2247"/>
      <c r="O5" s="2247"/>
      <c r="P5" s="2247"/>
      <c r="Q5" s="2247"/>
      <c r="R5" s="2247"/>
      <c r="S5" s="2247"/>
      <c r="T5" s="2247"/>
      <c r="U5" s="2249"/>
      <c r="V5" s="2249"/>
      <c r="W5" s="2249"/>
      <c r="X5" s="2249"/>
      <c r="Y5" s="2249"/>
      <c r="Z5" s="2249"/>
      <c r="AA5" s="2249"/>
      <c r="AB5" s="2249"/>
      <c r="AC5" s="2249"/>
      <c r="AD5" s="2249"/>
      <c r="AE5" s="2249"/>
      <c r="AF5" s="2249"/>
      <c r="AG5" s="2249"/>
      <c r="AH5" s="2249"/>
    </row>
    <row r="6" spans="3:34" ht="18.75">
      <c r="C6" s="2247"/>
      <c r="D6" s="2247"/>
      <c r="E6" s="2247"/>
      <c r="F6" s="2247"/>
      <c r="G6" s="2247"/>
      <c r="H6" s="2247"/>
      <c r="I6" s="2247"/>
      <c r="J6" s="2247"/>
      <c r="K6" s="2247"/>
      <c r="L6" s="2247"/>
      <c r="M6" s="2247"/>
      <c r="N6" s="2247"/>
      <c r="O6" s="2247"/>
      <c r="P6" s="2247"/>
      <c r="Q6" s="2247"/>
      <c r="R6" s="2247"/>
      <c r="S6" s="2247"/>
      <c r="T6" s="2247"/>
      <c r="U6" s="2250" t="s">
        <v>304</v>
      </c>
      <c r="V6" s="2250"/>
      <c r="W6" s="2250">
        <v>12345</v>
      </c>
      <c r="X6" s="2250"/>
      <c r="Y6" s="2250"/>
      <c r="Z6" s="2250"/>
      <c r="AA6" s="2250"/>
      <c r="AB6" s="2250"/>
      <c r="AC6" s="2250"/>
      <c r="AD6" s="2250"/>
      <c r="AE6" s="2250"/>
      <c r="AF6" s="2250"/>
      <c r="AG6" s="2250"/>
      <c r="AH6" s="2250"/>
    </row>
    <row r="7" spans="3:34" ht="18.75" customHeight="1">
      <c r="C7" s="2248"/>
      <c r="D7" s="2248"/>
      <c r="E7" s="2248"/>
      <c r="F7" s="2248"/>
      <c r="G7" s="2248"/>
      <c r="H7" s="2248"/>
      <c r="I7" s="2248"/>
      <c r="J7" s="2248"/>
      <c r="K7" s="2248"/>
      <c r="L7" s="2248"/>
      <c r="M7" s="2248"/>
      <c r="N7" s="2248"/>
      <c r="O7" s="2248"/>
      <c r="P7" s="2248"/>
      <c r="Q7" s="2248"/>
      <c r="R7" s="2248"/>
      <c r="S7" s="2248"/>
      <c r="T7" s="2248"/>
      <c r="U7" s="2251" t="s">
        <v>305</v>
      </c>
      <c r="V7" s="2251"/>
      <c r="W7" s="397"/>
      <c r="X7" s="2251" t="s">
        <v>336</v>
      </c>
      <c r="Y7" s="2251"/>
      <c r="Z7" s="397"/>
      <c r="AA7" s="397" t="s">
        <v>337</v>
      </c>
      <c r="AB7" s="393"/>
      <c r="AC7" s="393"/>
      <c r="AD7" s="2252" t="s">
        <v>306</v>
      </c>
      <c r="AE7" s="2252"/>
      <c r="AF7" s="2252"/>
      <c r="AG7" s="2252"/>
      <c r="AH7" s="2252"/>
    </row>
    <row r="8" spans="3:34" ht="18.75" customHeight="1">
      <c r="C8" s="2228" t="s">
        <v>307</v>
      </c>
      <c r="D8" s="2229"/>
      <c r="E8" s="2229"/>
      <c r="F8" s="2229"/>
      <c r="G8" s="2260"/>
      <c r="H8" s="2261"/>
      <c r="I8" s="2261"/>
      <c r="J8" s="2261"/>
      <c r="K8" s="2261"/>
      <c r="L8" s="2261"/>
      <c r="M8" s="2261"/>
      <c r="N8" s="2261"/>
      <c r="O8" s="2261"/>
      <c r="P8" s="2261"/>
      <c r="Q8" s="2261"/>
      <c r="R8" s="2261"/>
      <c r="S8" s="2261"/>
      <c r="T8" s="2262"/>
      <c r="U8" s="2207" t="s">
        <v>308</v>
      </c>
      <c r="V8" s="2208"/>
      <c r="W8" s="2208"/>
      <c r="X8" s="2208"/>
      <c r="Y8" s="2208"/>
      <c r="Z8" s="2208"/>
      <c r="AA8" s="2263" t="s">
        <v>309</v>
      </c>
      <c r="AB8" s="2208"/>
      <c r="AC8" s="2208"/>
      <c r="AD8" s="2208"/>
      <c r="AE8" s="2208"/>
      <c r="AF8" s="2208"/>
      <c r="AG8" s="2208"/>
      <c r="AH8" s="2209"/>
    </row>
    <row r="9" spans="3:34" ht="18.75" customHeight="1">
      <c r="C9" s="2230"/>
      <c r="D9" s="2231"/>
      <c r="E9" s="2231"/>
      <c r="F9" s="2231"/>
      <c r="G9" s="2210"/>
      <c r="H9" s="2211"/>
      <c r="I9" s="2211"/>
      <c r="J9" s="2211"/>
      <c r="K9" s="2211"/>
      <c r="L9" s="2211"/>
      <c r="M9" s="2211"/>
      <c r="N9" s="2211"/>
      <c r="O9" s="2211"/>
      <c r="P9" s="2211"/>
      <c r="Q9" s="2211"/>
      <c r="R9" s="2211"/>
      <c r="S9" s="2211"/>
      <c r="T9" s="2212"/>
      <c r="U9" s="2264" t="s">
        <v>339</v>
      </c>
      <c r="V9" s="2256"/>
      <c r="W9" s="2256"/>
      <c r="X9" s="2256"/>
      <c r="Y9" s="2256"/>
      <c r="Z9" s="2256"/>
      <c r="AA9" s="2255" t="s">
        <v>338</v>
      </c>
      <c r="AB9" s="2256"/>
      <c r="AC9" s="2256"/>
      <c r="AD9" s="2256"/>
      <c r="AE9" s="2256"/>
      <c r="AF9" s="2256"/>
      <c r="AG9" s="2256"/>
      <c r="AH9" s="2257"/>
    </row>
    <row r="10" spans="3:34" ht="18.75" customHeight="1">
      <c r="C10" s="2230"/>
      <c r="D10" s="2231"/>
      <c r="E10" s="2231"/>
      <c r="F10" s="2231"/>
      <c r="G10" s="2210"/>
      <c r="H10" s="2211"/>
      <c r="I10" s="2211"/>
      <c r="J10" s="2211"/>
      <c r="K10" s="2211"/>
      <c r="L10" s="2211"/>
      <c r="M10" s="2211"/>
      <c r="N10" s="2211"/>
      <c r="O10" s="2211"/>
      <c r="P10" s="2211"/>
      <c r="Q10" s="2211"/>
      <c r="R10" s="2211"/>
      <c r="S10" s="2211"/>
      <c r="T10" s="2212"/>
      <c r="U10" s="2253" t="s">
        <v>310</v>
      </c>
      <c r="V10" s="2254"/>
      <c r="W10" s="2254"/>
      <c r="X10" s="2254"/>
      <c r="Y10" s="2254"/>
      <c r="Z10" s="2254"/>
      <c r="AA10" s="2269" t="s">
        <v>311</v>
      </c>
      <c r="AB10" s="2254"/>
      <c r="AC10" s="2254"/>
      <c r="AD10" s="2254"/>
      <c r="AE10" s="2254"/>
      <c r="AF10" s="2254"/>
      <c r="AG10" s="2254"/>
      <c r="AH10" s="2270"/>
    </row>
    <row r="11" spans="3:34" ht="18.75" customHeight="1">
      <c r="C11" s="2230"/>
      <c r="D11" s="2231"/>
      <c r="E11" s="2231"/>
      <c r="F11" s="2231"/>
      <c r="G11" s="2210"/>
      <c r="H11" s="2211"/>
      <c r="I11" s="2211"/>
      <c r="J11" s="2211"/>
      <c r="K11" s="2211"/>
      <c r="L11" s="2211"/>
      <c r="M11" s="2211"/>
      <c r="N11" s="2211"/>
      <c r="O11" s="2211"/>
      <c r="P11" s="2211"/>
      <c r="Q11" s="2211"/>
      <c r="R11" s="2211"/>
      <c r="S11" s="2211"/>
      <c r="T11" s="2212"/>
      <c r="U11" s="2265" t="s">
        <v>339</v>
      </c>
      <c r="V11" s="2266"/>
      <c r="W11" s="2266"/>
      <c r="X11" s="2266"/>
      <c r="Y11" s="2266"/>
      <c r="Z11" s="2266"/>
      <c r="AA11" s="2267" t="s">
        <v>338</v>
      </c>
      <c r="AB11" s="2266"/>
      <c r="AC11" s="2266"/>
      <c r="AD11" s="2266"/>
      <c r="AE11" s="2266"/>
      <c r="AF11" s="2266"/>
      <c r="AG11" s="2266"/>
      <c r="AH11" s="2268"/>
    </row>
    <row r="12" spans="3:34" ht="18.75" customHeight="1">
      <c r="C12" s="2230"/>
      <c r="D12" s="2231"/>
      <c r="E12" s="2231"/>
      <c r="F12" s="2231"/>
      <c r="G12" s="2210"/>
      <c r="H12" s="2211"/>
      <c r="I12" s="2211"/>
      <c r="J12" s="2211"/>
      <c r="K12" s="2211"/>
      <c r="L12" s="2211"/>
      <c r="M12" s="2211"/>
      <c r="N12" s="2211"/>
      <c r="O12" s="2211"/>
      <c r="P12" s="2211"/>
      <c r="Q12" s="2211"/>
      <c r="R12" s="2211"/>
      <c r="S12" s="2211"/>
      <c r="T12" s="2212"/>
      <c r="U12" s="2207" t="s">
        <v>312</v>
      </c>
      <c r="V12" s="2208"/>
      <c r="W12" s="2208"/>
      <c r="X12" s="2208"/>
      <c r="Y12" s="2208"/>
      <c r="Z12" s="2208"/>
      <c r="AA12" s="2208"/>
      <c r="AB12" s="2208"/>
      <c r="AC12" s="2208"/>
      <c r="AD12" s="2208"/>
      <c r="AE12" s="2208"/>
      <c r="AF12" s="2208"/>
      <c r="AG12" s="2208"/>
      <c r="AH12" s="2209"/>
    </row>
    <row r="13" spans="3:34" ht="18.75" customHeight="1">
      <c r="C13" s="2258"/>
      <c r="D13" s="2259"/>
      <c r="E13" s="2259"/>
      <c r="F13" s="2259"/>
      <c r="G13" s="2215"/>
      <c r="H13" s="2216"/>
      <c r="I13" s="2216"/>
      <c r="J13" s="2216"/>
      <c r="K13" s="2216"/>
      <c r="L13" s="2216"/>
      <c r="M13" s="2216"/>
      <c r="N13" s="2216"/>
      <c r="O13" s="2216"/>
      <c r="P13" s="2216"/>
      <c r="Q13" s="2216"/>
      <c r="R13" s="2216"/>
      <c r="S13" s="2216"/>
      <c r="T13" s="2224"/>
      <c r="U13" s="2253" t="s">
        <v>313</v>
      </c>
      <c r="V13" s="2254"/>
      <c r="W13" s="2255" t="s">
        <v>347</v>
      </c>
      <c r="X13" s="2256"/>
      <c r="Y13" s="2256"/>
      <c r="Z13" s="2256"/>
      <c r="AA13" s="2256"/>
      <c r="AB13" s="2256"/>
      <c r="AC13" s="2256"/>
      <c r="AD13" s="2256"/>
      <c r="AE13" s="2256"/>
      <c r="AF13" s="2256"/>
      <c r="AG13" s="2256"/>
      <c r="AH13" s="2257"/>
    </row>
    <row r="14" spans="3:34" ht="18.75" customHeight="1">
      <c r="C14" s="2228" t="s">
        <v>314</v>
      </c>
      <c r="D14" s="2229"/>
      <c r="E14" s="2229"/>
      <c r="F14" s="2229"/>
      <c r="G14" s="2260"/>
      <c r="H14" s="2261"/>
      <c r="I14" s="2261"/>
      <c r="J14" s="2261"/>
      <c r="K14" s="2261"/>
      <c r="L14" s="2261"/>
      <c r="M14" s="2261"/>
      <c r="N14" s="2261"/>
      <c r="O14" s="2261"/>
      <c r="P14" s="2261"/>
      <c r="Q14" s="2261"/>
      <c r="R14" s="2261"/>
      <c r="S14" s="2261"/>
      <c r="T14" s="2262"/>
      <c r="U14" s="2253" t="s">
        <v>315</v>
      </c>
      <c r="V14" s="2254"/>
      <c r="W14" s="2255" t="s">
        <v>340</v>
      </c>
      <c r="X14" s="2256"/>
      <c r="Y14" s="2256"/>
      <c r="Z14" s="2256"/>
      <c r="AA14" s="2256"/>
      <c r="AB14" s="2256"/>
      <c r="AC14" s="2256"/>
      <c r="AD14" s="2256"/>
      <c r="AE14" s="2256"/>
      <c r="AF14" s="2256"/>
      <c r="AG14" s="2256"/>
      <c r="AH14" s="2257"/>
    </row>
    <row r="15" spans="3:34" ht="18.75" customHeight="1">
      <c r="C15" s="2230"/>
      <c r="D15" s="2231"/>
      <c r="E15" s="2231"/>
      <c r="F15" s="2231"/>
      <c r="G15" s="2210"/>
      <c r="H15" s="2211"/>
      <c r="I15" s="2211"/>
      <c r="J15" s="2211"/>
      <c r="K15" s="2211"/>
      <c r="L15" s="2211"/>
      <c r="M15" s="2211"/>
      <c r="N15" s="2211"/>
      <c r="O15" s="2211"/>
      <c r="P15" s="2211"/>
      <c r="Q15" s="2211"/>
      <c r="R15" s="2211"/>
      <c r="S15" s="2211"/>
      <c r="T15" s="2212"/>
      <c r="U15" s="2276" t="s">
        <v>345</v>
      </c>
      <c r="V15" s="2277"/>
      <c r="W15" s="2271" t="s">
        <v>346</v>
      </c>
      <c r="X15" s="2272"/>
      <c r="Y15" s="2272"/>
      <c r="Z15" s="2272"/>
      <c r="AA15" s="2272"/>
      <c r="AB15" s="2272"/>
      <c r="AC15" s="2272"/>
      <c r="AD15" s="2272"/>
      <c r="AE15" s="2272"/>
      <c r="AF15" s="2272"/>
      <c r="AG15" s="2272"/>
      <c r="AH15" s="2273"/>
    </row>
    <row r="16" spans="3:34" ht="18.75" customHeight="1">
      <c r="C16" s="2230"/>
      <c r="D16" s="2231"/>
      <c r="E16" s="2231"/>
      <c r="F16" s="2231"/>
      <c r="G16" s="2210"/>
      <c r="H16" s="2211"/>
      <c r="I16" s="2211"/>
      <c r="J16" s="2211"/>
      <c r="K16" s="2211"/>
      <c r="L16" s="2211"/>
      <c r="M16" s="2211"/>
      <c r="N16" s="2211"/>
      <c r="O16" s="2211"/>
      <c r="P16" s="2211"/>
      <c r="Q16" s="2211"/>
      <c r="R16" s="2211"/>
      <c r="S16" s="2211"/>
      <c r="T16" s="2212"/>
      <c r="U16" s="2253" t="s">
        <v>316</v>
      </c>
      <c r="V16" s="2254"/>
      <c r="W16" s="2255" t="s">
        <v>341</v>
      </c>
      <c r="X16" s="2256"/>
      <c r="Y16" s="2256"/>
      <c r="Z16" s="2256"/>
      <c r="AA16" s="2256"/>
      <c r="AB16" s="2256"/>
      <c r="AC16" s="2256"/>
      <c r="AD16" s="2256"/>
      <c r="AE16" s="2256"/>
      <c r="AF16" s="2256"/>
      <c r="AG16" s="2256"/>
      <c r="AH16" s="2257"/>
    </row>
    <row r="17" spans="2:34" ht="18.75" customHeight="1">
      <c r="C17" s="2230"/>
      <c r="D17" s="2231"/>
      <c r="E17" s="2231"/>
      <c r="F17" s="2231"/>
      <c r="G17" s="2210"/>
      <c r="H17" s="2211"/>
      <c r="I17" s="2211"/>
      <c r="J17" s="2211"/>
      <c r="K17" s="2211"/>
      <c r="L17" s="2211"/>
      <c r="M17" s="2211"/>
      <c r="N17" s="2211"/>
      <c r="O17" s="2211"/>
      <c r="P17" s="2211"/>
      <c r="Q17" s="2211"/>
      <c r="R17" s="2211"/>
      <c r="S17" s="2211"/>
      <c r="T17" s="2212"/>
      <c r="U17" s="2213" t="s">
        <v>317</v>
      </c>
      <c r="V17" s="2214"/>
      <c r="W17" s="2215" t="s">
        <v>342</v>
      </c>
      <c r="X17" s="2216"/>
      <c r="Y17" s="2216"/>
      <c r="Z17" s="2216"/>
      <c r="AA17" s="2274" t="s">
        <v>343</v>
      </c>
      <c r="AB17" s="2275"/>
      <c r="AC17" s="2275"/>
      <c r="AD17" s="2215" t="s">
        <v>344</v>
      </c>
      <c r="AE17" s="2216"/>
      <c r="AF17" s="2216"/>
      <c r="AG17" s="2216"/>
      <c r="AH17" s="2224"/>
    </row>
    <row r="18" spans="2:34" ht="18.75" customHeight="1">
      <c r="C18" s="2230"/>
      <c r="D18" s="2231"/>
      <c r="E18" s="2231"/>
      <c r="F18" s="2231"/>
      <c r="G18" s="2210"/>
      <c r="H18" s="2211"/>
      <c r="I18" s="2211"/>
      <c r="J18" s="2211"/>
      <c r="K18" s="2211"/>
      <c r="L18" s="2211"/>
      <c r="M18" s="2211"/>
      <c r="N18" s="2211"/>
      <c r="O18" s="2211"/>
      <c r="P18" s="2211"/>
      <c r="Q18" s="2211"/>
      <c r="R18" s="2211"/>
      <c r="S18" s="2211"/>
      <c r="T18" s="2212"/>
      <c r="U18" s="2207" t="s">
        <v>318</v>
      </c>
      <c r="V18" s="2208"/>
      <c r="W18" s="2208"/>
      <c r="X18" s="2208"/>
      <c r="Y18" s="2208"/>
      <c r="Z18" s="2208"/>
      <c r="AA18" s="2208"/>
      <c r="AB18" s="2208"/>
      <c r="AC18" s="2208"/>
      <c r="AD18" s="2208"/>
      <c r="AE18" s="2208"/>
      <c r="AF18" s="2208"/>
      <c r="AG18" s="2208"/>
      <c r="AH18" s="2209"/>
    </row>
    <row r="19" spans="2:34" ht="18.75" customHeight="1">
      <c r="C19" s="2230"/>
      <c r="D19" s="2231"/>
      <c r="E19" s="2231"/>
      <c r="F19" s="2231"/>
      <c r="G19" s="2232"/>
      <c r="H19" s="2233"/>
      <c r="I19" s="2233"/>
      <c r="J19" s="2233"/>
      <c r="K19" s="2233"/>
      <c r="L19" s="2216"/>
      <c r="M19" s="2216"/>
      <c r="N19" s="2216"/>
      <c r="O19" s="2216"/>
      <c r="P19" s="2216"/>
      <c r="Q19" s="2216"/>
      <c r="R19" s="2216"/>
      <c r="S19" s="2216"/>
      <c r="T19" s="2224"/>
      <c r="U19" s="413" t="s">
        <v>355</v>
      </c>
      <c r="V19" s="394"/>
      <c r="W19" s="396" t="s">
        <v>348</v>
      </c>
      <c r="X19" s="396"/>
      <c r="Y19" s="396"/>
      <c r="Z19" s="396"/>
      <c r="AA19" s="394"/>
      <c r="AB19" s="394"/>
      <c r="AC19" s="394"/>
      <c r="AD19" s="394"/>
      <c r="AE19" s="394"/>
      <c r="AF19" s="394"/>
      <c r="AG19" s="394"/>
      <c r="AH19" s="395"/>
    </row>
    <row r="20" spans="2:34" ht="18.75" customHeight="1">
      <c r="C20" s="2207" t="s">
        <v>319</v>
      </c>
      <c r="D20" s="2208"/>
      <c r="E20" s="2208"/>
      <c r="F20" s="2208"/>
      <c r="G20" s="2208"/>
      <c r="H20" s="2208"/>
      <c r="I20" s="2208"/>
      <c r="J20" s="2208"/>
      <c r="K20" s="2209"/>
      <c r="L20" s="385" t="s">
        <v>320</v>
      </c>
      <c r="M20" s="385"/>
      <c r="N20" s="385"/>
      <c r="O20" s="385"/>
      <c r="P20" s="385"/>
      <c r="Q20" s="385"/>
      <c r="R20" s="385"/>
      <c r="S20" s="385"/>
      <c r="T20" s="386"/>
      <c r="U20" s="2207" t="s">
        <v>321</v>
      </c>
      <c r="V20" s="2208"/>
      <c r="W20" s="2208"/>
      <c r="X20" s="2208"/>
      <c r="Y20" s="2208"/>
      <c r="Z20" s="387"/>
      <c r="AA20" s="388" t="s">
        <v>354</v>
      </c>
      <c r="AB20" s="385"/>
      <c r="AC20" s="385"/>
      <c r="AD20" s="385"/>
      <c r="AE20" s="385"/>
      <c r="AF20" s="385"/>
      <c r="AG20" s="385"/>
      <c r="AH20" s="386"/>
    </row>
    <row r="21" spans="2:34" ht="18.75" customHeight="1">
      <c r="C21" s="413" t="s">
        <v>355</v>
      </c>
      <c r="D21" s="394"/>
      <c r="E21" s="394"/>
      <c r="F21" s="394"/>
      <c r="G21" s="394"/>
      <c r="H21" s="394"/>
      <c r="I21" s="394"/>
      <c r="J21" s="394"/>
      <c r="K21" s="395"/>
      <c r="L21" s="2223"/>
      <c r="M21" s="2216"/>
      <c r="N21" s="2216"/>
      <c r="O21" s="2216"/>
      <c r="P21" s="2216"/>
      <c r="Q21" s="2216"/>
      <c r="R21" s="2216"/>
      <c r="S21" s="2216"/>
      <c r="T21" s="2224"/>
      <c r="U21" s="2225"/>
      <c r="V21" s="2226"/>
      <c r="W21" s="2226"/>
      <c r="X21" s="2226"/>
      <c r="Y21" s="2226"/>
      <c r="Z21" s="2227"/>
      <c r="AA21" s="400" t="s">
        <v>356</v>
      </c>
      <c r="AB21" s="396"/>
      <c r="AH21" s="401"/>
    </row>
    <row r="22" spans="2:34" ht="18.75" customHeight="1">
      <c r="C22" s="2207" t="s">
        <v>322</v>
      </c>
      <c r="D22" s="2208"/>
      <c r="E22" s="2208"/>
      <c r="F22" s="2208"/>
      <c r="G22" s="2208"/>
      <c r="H22" s="2208"/>
      <c r="I22" s="2208"/>
      <c r="J22" s="2208"/>
      <c r="K22" s="2209"/>
      <c r="L22" s="389" t="s">
        <v>323</v>
      </c>
      <c r="M22" s="389"/>
      <c r="N22" s="389"/>
      <c r="O22" s="389"/>
      <c r="P22" s="389"/>
      <c r="Q22" s="389"/>
      <c r="R22" s="389"/>
      <c r="S22" s="389"/>
      <c r="T22" s="390"/>
      <c r="U22" s="2207" t="s">
        <v>324</v>
      </c>
      <c r="V22" s="2208"/>
      <c r="W22" s="2208"/>
      <c r="X22" s="2208"/>
      <c r="Y22" s="2208"/>
      <c r="Z22" s="387"/>
      <c r="AA22" s="402"/>
      <c r="AB22" s="397"/>
      <c r="AC22" s="397"/>
      <c r="AD22" s="397"/>
      <c r="AE22" s="397"/>
      <c r="AF22" s="397"/>
      <c r="AG22" s="397"/>
      <c r="AH22" s="403"/>
    </row>
    <row r="23" spans="2:34" ht="18.75" customHeight="1" thickBot="1">
      <c r="C23" s="2217"/>
      <c r="D23" s="2218"/>
      <c r="E23" s="2218"/>
      <c r="F23" s="2218"/>
      <c r="G23" s="2218"/>
      <c r="H23" s="2218"/>
      <c r="I23" s="2218"/>
      <c r="J23" s="2218"/>
      <c r="K23" s="2219"/>
      <c r="L23" s="2217"/>
      <c r="M23" s="2218"/>
      <c r="N23" s="2218"/>
      <c r="O23" s="2218"/>
      <c r="P23" s="2218"/>
      <c r="Q23" s="2218"/>
      <c r="R23" s="2218"/>
      <c r="S23" s="2218"/>
      <c r="T23" s="2219"/>
      <c r="U23" s="2217"/>
      <c r="V23" s="2218"/>
      <c r="W23" s="2218"/>
      <c r="X23" s="2218"/>
      <c r="Y23" s="2218"/>
      <c r="Z23" s="2219"/>
      <c r="AA23" s="399" t="s">
        <v>325</v>
      </c>
      <c r="AB23" s="399"/>
      <c r="AC23" s="2177"/>
      <c r="AD23" s="2178"/>
      <c r="AE23" s="2178"/>
      <c r="AF23" s="2178"/>
      <c r="AG23" s="2178"/>
      <c r="AH23" s="2179"/>
    </row>
    <row r="24" spans="2:34" ht="18.75" customHeight="1" thickTop="1">
      <c r="C24" s="2237" t="s">
        <v>358</v>
      </c>
      <c r="D24" s="2168" t="s">
        <v>329</v>
      </c>
      <c r="E24" s="2169"/>
      <c r="F24" s="2169"/>
      <c r="G24" s="2170"/>
      <c r="H24" s="2243" t="s">
        <v>352</v>
      </c>
      <c r="I24" s="2244"/>
      <c r="J24" s="2244"/>
      <c r="K24" s="2244"/>
      <c r="L24" s="2244"/>
      <c r="M24" s="2244"/>
      <c r="N24" s="2244"/>
      <c r="O24" s="2244"/>
      <c r="P24" s="2244"/>
      <c r="Q24" s="2244"/>
      <c r="R24" s="2244"/>
      <c r="S24" s="2244"/>
      <c r="T24" s="2244"/>
      <c r="U24" s="2244"/>
      <c r="V24" s="2245"/>
      <c r="W24" s="2240" t="s">
        <v>326</v>
      </c>
      <c r="X24" s="2241"/>
      <c r="Y24" s="2241"/>
      <c r="Z24" s="2241"/>
      <c r="AA24" s="2241"/>
      <c r="AB24" s="2242"/>
      <c r="AC24" s="2168" t="s">
        <v>327</v>
      </c>
      <c r="AD24" s="2169"/>
      <c r="AE24" s="2170"/>
      <c r="AF24" s="2168" t="s">
        <v>328</v>
      </c>
      <c r="AG24" s="2169"/>
      <c r="AH24" s="2170"/>
    </row>
    <row r="25" spans="2:34" ht="18.75" customHeight="1" thickBot="1">
      <c r="C25" s="2238"/>
      <c r="D25" s="2171"/>
      <c r="E25" s="2172"/>
      <c r="F25" s="2172"/>
      <c r="G25" s="2173"/>
      <c r="H25" s="410" t="s">
        <v>16</v>
      </c>
      <c r="I25" s="398"/>
      <c r="J25" s="398"/>
      <c r="K25" s="411"/>
      <c r="L25" s="404" t="s">
        <v>17</v>
      </c>
      <c r="M25" s="398"/>
      <c r="N25" s="398"/>
      <c r="O25" s="398"/>
      <c r="P25" s="398"/>
      <c r="Q25" s="398"/>
      <c r="R25" s="398"/>
      <c r="S25" s="398"/>
      <c r="T25" s="398"/>
      <c r="U25" s="2182" t="s">
        <v>222</v>
      </c>
      <c r="V25" s="2183"/>
      <c r="W25" s="2192" t="s">
        <v>330</v>
      </c>
      <c r="X25" s="2191"/>
      <c r="Y25" s="2189" t="s">
        <v>331</v>
      </c>
      <c r="Z25" s="2191"/>
      <c r="AA25" s="2189" t="s">
        <v>332</v>
      </c>
      <c r="AB25" s="2190"/>
      <c r="AC25" s="2171"/>
      <c r="AD25" s="2172"/>
      <c r="AE25" s="2173"/>
      <c r="AF25" s="2171"/>
      <c r="AG25" s="2172"/>
      <c r="AH25" s="2173"/>
    </row>
    <row r="26" spans="2:34" ht="18.75" customHeight="1" thickTop="1">
      <c r="B26" s="2123">
        <v>2065</v>
      </c>
      <c r="C26" s="2239">
        <v>1</v>
      </c>
      <c r="D26" s="2234" t="str">
        <f>IFERROR(IF(VLOOKUP(B26,'EU BackOrder'!A:C,3,FALSE)="","",VLOOKUP(B26,'EU BackOrder'!A:C,3,FALSE)),"")</f>
        <v/>
      </c>
      <c r="E26" s="2235"/>
      <c r="F26" s="2235"/>
      <c r="G26" s="2236"/>
      <c r="H26" s="2220" t="str">
        <f>IF(IFERROR(IF(VLOOKUP(B26,'EU BackOrder'!A:E,5,FALSE)="",VLOOKUP(B26,'EU BackOrder'!A:G,7,FALSE),IF(VLOOKUP(B26,'EU BackOrder'!A:E,5,FALSE)=0,"",VLOOKUP(B26,'EU BackOrder'!A:E,5,FALSE))),"")=0,"",IFERROR(IF(VLOOKUP(B26,'EU BackOrder'!A:E,5,FALSE)="",VLOOKUP(B26,'EU BackOrder'!A:G,7,FALSE),IF(VLOOKUP(B26,'EU BackOrder'!A:E,5,FALSE)=0,"",VLOOKUP(B26,'EU BackOrder'!A:E,5,FALSE))),""))</f>
        <v/>
      </c>
      <c r="I26" s="2221"/>
      <c r="J26" s="2221"/>
      <c r="K26" s="2221"/>
      <c r="L26" s="2221"/>
      <c r="M26" s="2221"/>
      <c r="N26" s="2221"/>
      <c r="O26" s="2221"/>
      <c r="P26" s="2221"/>
      <c r="Q26" s="2221"/>
      <c r="R26" s="2221"/>
      <c r="S26" s="2221"/>
      <c r="T26" s="2221"/>
      <c r="U26" s="2221"/>
      <c r="V26" s="2222"/>
      <c r="W26" s="2161" t="str">
        <f>IFERROR(IF(VLOOKUP(B26,'EU BackOrder'!A:H,8,FALSE)=0,"",VLOOKUP(B26,'EU BackOrder'!A:H,8,FALSE)),"")</f>
        <v/>
      </c>
      <c r="X26" s="2162"/>
      <c r="Y26" s="2159" t="str">
        <f>IFERROR(IF(VLOOKUP(B26,'EU BackOrder'!A:I,9,FALSE)=0,"",VLOOKUP(B26,'EU BackOrder'!A:I,9,FALSE)),"")</f>
        <v/>
      </c>
      <c r="Z26" s="2160"/>
      <c r="AA26" s="2157" t="str">
        <f>IFERROR(IF(AND(H27="",ISNUMBER(VLOOKUP(B26,'EU BackOrder'!A:J,10,FALSE))),VLOOKUP(B26,'EU BackOrder'!A:J,10,FALSE)&amp;" set",IF(VLOOKUP(B26,'EU BackOrder'!A:J,10,FALSE)=0,"",VLOOKUP(B26,'EU BackOrder'!A:J,10,FALSE))),"")</f>
        <v/>
      </c>
      <c r="AB26" s="2158"/>
      <c r="AC26" s="2154" t="str">
        <f>IFERROR(IF(VLOOKUP(B26,'EU BackOrder'!A:K,11,FALSE)=0,"",VLOOKUP(B26,'EU BackOrder'!A:K,11,FALSE)),"")</f>
        <v/>
      </c>
      <c r="AD26" s="2155"/>
      <c r="AE26" s="2156"/>
      <c r="AF26" s="2154" t="str">
        <f t="array" ref="AF26">IFERROR(IF(AA26="","",_xlfn.CONCAT(IFERROR(MID(AA26,_xlfn.SEQUENCE(LEN(AA26)),1)*1,""))*AC26),"")</f>
        <v/>
      </c>
      <c r="AG26" s="2155"/>
      <c r="AH26" s="2156"/>
    </row>
    <row r="27" spans="2:34" ht="18.75" customHeight="1">
      <c r="B27" s="2123"/>
      <c r="C27" s="2139"/>
      <c r="D27" s="2150"/>
      <c r="E27" s="2151"/>
      <c r="F27" s="2151"/>
      <c r="G27" s="2152"/>
      <c r="H27" s="2135" t="str">
        <f>IFERROR(IF(VLOOKUP(B26,'EU BackOrder'!A:F,6,FALSE)="","",IF(VLOOKUP(B26,'EU BackOrder'!A:F,6,FALSE)=0,"",VLOOKUP(B26,'EU BackOrder'!A:F,6,FALSE))),"")</f>
        <v/>
      </c>
      <c r="I27" s="2136"/>
      <c r="J27" s="2136"/>
      <c r="K27" s="405" t="s">
        <v>351</v>
      </c>
      <c r="L27" s="2137" t="str">
        <f>IFERROR(IF(VLOOKUP(B26,'EU BackOrder'!A:E,5,FALSE)="","",IF(VLOOKUP(B26,'EU BackOrder'!A:G,7,FALSE)=0,"",VLOOKUP(B26,'EU BackOrder'!A:G,7,FALSE))),"")</f>
        <v/>
      </c>
      <c r="M27" s="2136"/>
      <c r="N27" s="2136"/>
      <c r="O27" s="2136"/>
      <c r="P27" s="2136"/>
      <c r="Q27" s="2136"/>
      <c r="R27" s="2136"/>
      <c r="S27" s="2136"/>
      <c r="T27" s="2138"/>
      <c r="U27" s="409" t="str">
        <f>IFERROR(IF(VLOOKUP(B26,'EU BackOrder'!A:M,13,FALSE)=0,"",(VLOOKUP(B26,'EU BackOrder'!A:M,13,FALSE))),"")</f>
        <v/>
      </c>
      <c r="V27" s="408"/>
      <c r="W27" s="2124"/>
      <c r="X27" s="2125"/>
      <c r="Y27" s="2133"/>
      <c r="Z27" s="2134"/>
      <c r="AA27" s="2146"/>
      <c r="AB27" s="2147"/>
      <c r="AC27" s="2130"/>
      <c r="AD27" s="2131"/>
      <c r="AE27" s="2132"/>
      <c r="AF27" s="2130"/>
      <c r="AG27" s="2131"/>
      <c r="AH27" s="2132"/>
    </row>
    <row r="28" spans="2:34" ht="18.75" customHeight="1">
      <c r="B28" s="2123">
        <v>2066</v>
      </c>
      <c r="C28" s="2139">
        <f>IF(B28="","",C26+1)</f>
        <v>2</v>
      </c>
      <c r="D28" s="2150" t="str">
        <f>IFERROR(IF(VLOOKUP(B28,'EU BackOrder'!A:C,3,FALSE)="","",VLOOKUP(B28,'EU BackOrder'!A:C,3,FALSE)),"")</f>
        <v/>
      </c>
      <c r="E28" s="2151"/>
      <c r="F28" s="2151"/>
      <c r="G28" s="2152"/>
      <c r="H28" s="2135" t="str">
        <f>IF(IFERROR(IF(VLOOKUP(B28,'EU BackOrder'!A:E,5,FALSE)="",VLOOKUP(B28,'EU BackOrder'!A:G,7,FALSE),IF(VLOOKUP(B28,'EU BackOrder'!A:E,5,FALSE)=0,"",VLOOKUP(B28,'EU BackOrder'!A:E,5,FALSE))),"")=0,"",IFERROR(IF(VLOOKUP(B28,'EU BackOrder'!A:E,5,FALSE)="",VLOOKUP(B28,'EU BackOrder'!A:G,7,FALSE),IF(VLOOKUP(B28,'EU BackOrder'!A:E,5,FALSE)=0,"",VLOOKUP(B28,'EU BackOrder'!A:E,5,FALSE))),""))</f>
        <v/>
      </c>
      <c r="I28" s="2136"/>
      <c r="J28" s="2136"/>
      <c r="K28" s="2136"/>
      <c r="L28" s="2136"/>
      <c r="M28" s="2136"/>
      <c r="N28" s="2136"/>
      <c r="O28" s="2136"/>
      <c r="P28" s="2136"/>
      <c r="Q28" s="2136"/>
      <c r="R28" s="2136"/>
      <c r="S28" s="2136"/>
      <c r="T28" s="2136"/>
      <c r="U28" s="2136"/>
      <c r="V28" s="2141"/>
      <c r="W28" s="2124" t="str">
        <f>IFERROR(IF(VLOOKUP(B28,'EU BackOrder'!A:H,8,FALSE)=0,"",VLOOKUP(B28,'EU BackOrder'!A:H,8,FALSE)),"")</f>
        <v/>
      </c>
      <c r="X28" s="2125"/>
      <c r="Y28" s="2133" t="str">
        <f>IFERROR(IF(VLOOKUP(B28,'EU BackOrder'!A:I,9,FALSE)=0,"",VLOOKUP(B28,'EU BackOrder'!A:I,9,FALSE)),"")</f>
        <v/>
      </c>
      <c r="Z28" s="2134"/>
      <c r="AA28" s="2146" t="str">
        <f>IFERROR(IF(AND(H29="",ISNUMBER(VLOOKUP(B28,'EU BackOrder'!A:J,10,FALSE))),VLOOKUP(B28,'EU BackOrder'!A:J,10,FALSE)&amp;" set",IF(VLOOKUP(B28,'EU BackOrder'!A:J,10,FALSE)=0,"",VLOOKUP(B28,'EU BackOrder'!A:J,10,FALSE))),"")</f>
        <v/>
      </c>
      <c r="AB28" s="2147"/>
      <c r="AC28" s="2130" t="str">
        <f>IFERROR(IF(VLOOKUP(B28,'EU BackOrder'!A:K,11,FALSE)=0,"",VLOOKUP(B28,'EU BackOrder'!A:K,11,FALSE)),"")</f>
        <v/>
      </c>
      <c r="AD28" s="2131"/>
      <c r="AE28" s="2132"/>
      <c r="AF28" s="2130" t="str">
        <f t="array" ref="AF28">IFERROR(IF(AA28="","",_xlfn.CONCAT(IFERROR(MID(AA28,_xlfn.SEQUENCE(LEN(AA28)),1)*1,""))*AC28),"")</f>
        <v/>
      </c>
      <c r="AG28" s="2131"/>
      <c r="AH28" s="2132"/>
    </row>
    <row r="29" spans="2:34" ht="18.75" customHeight="1">
      <c r="B29" s="2123"/>
      <c r="C29" s="2139"/>
      <c r="D29" s="2150"/>
      <c r="E29" s="2151"/>
      <c r="F29" s="2151"/>
      <c r="G29" s="2152"/>
      <c r="H29" s="2135" t="str">
        <f>IFERROR(IF(VLOOKUP(B28,'EU BackOrder'!A:F,6,FALSE)="","",IF(VLOOKUP(B28,'EU BackOrder'!A:F,6,FALSE)=0,"",VLOOKUP(B28,'EU BackOrder'!A:F,6,FALSE))),"")</f>
        <v/>
      </c>
      <c r="I29" s="2136"/>
      <c r="J29" s="2136"/>
      <c r="K29" s="405" t="s">
        <v>351</v>
      </c>
      <c r="L29" s="2137" t="str">
        <f>IFERROR(IF(VLOOKUP(B28,'EU BackOrder'!A:E,5,FALSE)="","",IF(VLOOKUP(B28,'EU BackOrder'!A:G,7,FALSE)=0,"",VLOOKUP(B28,'EU BackOrder'!A:G,7,FALSE))),"")</f>
        <v/>
      </c>
      <c r="M29" s="2136"/>
      <c r="N29" s="2136"/>
      <c r="O29" s="2136"/>
      <c r="P29" s="2136"/>
      <c r="Q29" s="2136"/>
      <c r="R29" s="2136"/>
      <c r="S29" s="2136"/>
      <c r="T29" s="2138"/>
      <c r="U29" s="409" t="str">
        <f>IFERROR(IF(VLOOKUP(B28,'EU BackOrder'!A:M,13,FALSE)=0,"",(VLOOKUP(B28,'EU BackOrder'!A:M,13,FALSE))),"")</f>
        <v/>
      </c>
      <c r="V29" s="408"/>
      <c r="W29" s="2124"/>
      <c r="X29" s="2125"/>
      <c r="Y29" s="2133"/>
      <c r="Z29" s="2134"/>
      <c r="AA29" s="2146"/>
      <c r="AB29" s="2147"/>
      <c r="AC29" s="2130"/>
      <c r="AD29" s="2131"/>
      <c r="AE29" s="2132"/>
      <c r="AF29" s="2130"/>
      <c r="AG29" s="2131"/>
      <c r="AH29" s="2132"/>
    </row>
    <row r="30" spans="2:34" ht="18.75" customHeight="1">
      <c r="B30" s="2123">
        <v>2067</v>
      </c>
      <c r="C30" s="2139">
        <f>IF(B30="","",C28+1)</f>
        <v>3</v>
      </c>
      <c r="D30" s="2150" t="str">
        <f>IFERROR(IF(VLOOKUP(B30,'EU BackOrder'!A:C,3,FALSE)="","",VLOOKUP(B30,'EU BackOrder'!A:C,3,FALSE)),"")</f>
        <v/>
      </c>
      <c r="E30" s="2151"/>
      <c r="F30" s="2151"/>
      <c r="G30" s="2152"/>
      <c r="H30" s="2135" t="str">
        <f>IF(IFERROR(IF(VLOOKUP(B30,'EU BackOrder'!A:E,5,FALSE)="",VLOOKUP(B30,'EU BackOrder'!A:G,7,FALSE),IF(VLOOKUP(B30,'EU BackOrder'!A:E,5,FALSE)=0,"",VLOOKUP(B30,'EU BackOrder'!A:E,5,FALSE))),"")=0,"",IFERROR(IF(VLOOKUP(B30,'EU BackOrder'!A:E,5,FALSE)="",VLOOKUP(B30,'EU BackOrder'!A:G,7,FALSE),IF(VLOOKUP(B30,'EU BackOrder'!A:E,5,FALSE)=0,"",VLOOKUP(B30,'EU BackOrder'!A:E,5,FALSE))),""))</f>
        <v/>
      </c>
      <c r="I30" s="2136"/>
      <c r="J30" s="2136"/>
      <c r="K30" s="2136"/>
      <c r="L30" s="2136"/>
      <c r="M30" s="2136"/>
      <c r="N30" s="2136"/>
      <c r="O30" s="2136"/>
      <c r="P30" s="2136"/>
      <c r="Q30" s="2136"/>
      <c r="R30" s="2136"/>
      <c r="S30" s="2136"/>
      <c r="T30" s="2136"/>
      <c r="U30" s="2136"/>
      <c r="V30" s="2141"/>
      <c r="W30" s="2124" t="str">
        <f>IFERROR(IF(VLOOKUP(B30,'EU BackOrder'!A:H,8,FALSE)=0,"",VLOOKUP(B30,'EU BackOrder'!A:H,8,FALSE)),"")</f>
        <v/>
      </c>
      <c r="X30" s="2125"/>
      <c r="Y30" s="2133" t="str">
        <f>IFERROR(IF(VLOOKUP(B30,'EU BackOrder'!A:I,9,FALSE)=0,"",VLOOKUP(B30,'EU BackOrder'!A:I,9,FALSE)),"")</f>
        <v/>
      </c>
      <c r="Z30" s="2134"/>
      <c r="AA30" s="2146" t="str">
        <f>IFERROR(IF(AND(H31="",ISNUMBER(VLOOKUP(B30,'EU BackOrder'!A:J,10,FALSE))),VLOOKUP(B30,'EU BackOrder'!A:J,10,FALSE)&amp;" set",IF(VLOOKUP(B30,'EU BackOrder'!A:J,10,FALSE)=0,"",VLOOKUP(B30,'EU BackOrder'!A:J,10,FALSE))),"")</f>
        <v/>
      </c>
      <c r="AB30" s="2147"/>
      <c r="AC30" s="2130" t="str">
        <f>IFERROR(IF(VLOOKUP(B30,'EU BackOrder'!A:K,11,FALSE)=0,"",VLOOKUP(B30,'EU BackOrder'!A:K,11,FALSE)),"")</f>
        <v/>
      </c>
      <c r="AD30" s="2131"/>
      <c r="AE30" s="2132"/>
      <c r="AF30" s="2130" t="str">
        <f t="array" ref="AF30">IFERROR(IF(AA30="","",_xlfn.CONCAT(IFERROR(MID(AA30,_xlfn.SEQUENCE(LEN(AA30)),1)*1,""))*AC30),"")</f>
        <v/>
      </c>
      <c r="AG30" s="2131"/>
      <c r="AH30" s="2132"/>
    </row>
    <row r="31" spans="2:34" ht="18.75" customHeight="1">
      <c r="B31" s="2123"/>
      <c r="C31" s="2139"/>
      <c r="D31" s="2150"/>
      <c r="E31" s="2151"/>
      <c r="F31" s="2151"/>
      <c r="G31" s="2152"/>
      <c r="H31" s="2135" t="str">
        <f>IFERROR(IF(VLOOKUP(B30,'EU BackOrder'!A:F,6,FALSE)="","",IF(VLOOKUP(B30,'EU BackOrder'!A:F,6,FALSE)=0,"",VLOOKUP(B30,'EU BackOrder'!A:F,6,FALSE))),"")</f>
        <v/>
      </c>
      <c r="I31" s="2136"/>
      <c r="J31" s="2136"/>
      <c r="K31" s="405" t="s">
        <v>351</v>
      </c>
      <c r="L31" s="2137" t="str">
        <f>IFERROR(IF(VLOOKUP(B30,'EU BackOrder'!A:E,5,FALSE)="","",IF(VLOOKUP(B30,'EU BackOrder'!A:G,7,FALSE)=0,"",VLOOKUP(B30,'EU BackOrder'!A:G,7,FALSE))),"")</f>
        <v/>
      </c>
      <c r="M31" s="2136"/>
      <c r="N31" s="2136"/>
      <c r="O31" s="2136"/>
      <c r="P31" s="2136"/>
      <c r="Q31" s="2136"/>
      <c r="R31" s="2136"/>
      <c r="S31" s="2136"/>
      <c r="T31" s="2138"/>
      <c r="U31" s="409" t="str">
        <f>IFERROR(IF(VLOOKUP(B30,'EU BackOrder'!A:M,13,FALSE)=0,"",(VLOOKUP(B30,'EU BackOrder'!A:M,13,FALSE))),"")</f>
        <v/>
      </c>
      <c r="V31" s="408"/>
      <c r="W31" s="2124"/>
      <c r="X31" s="2125"/>
      <c r="Y31" s="2133"/>
      <c r="Z31" s="2134"/>
      <c r="AA31" s="2146"/>
      <c r="AB31" s="2147"/>
      <c r="AC31" s="2130"/>
      <c r="AD31" s="2131"/>
      <c r="AE31" s="2132"/>
      <c r="AF31" s="2130"/>
      <c r="AG31" s="2131"/>
      <c r="AH31" s="2132"/>
    </row>
    <row r="32" spans="2:34" ht="18.75" customHeight="1">
      <c r="B32" s="2123"/>
      <c r="C32" s="2139" t="str">
        <f>IF(B32="","",C30+1)</f>
        <v/>
      </c>
      <c r="D32" s="2150" t="str">
        <f>IFERROR(IF(VLOOKUP(B32,'EU BackOrder'!A:C,3,FALSE)="","",VLOOKUP(B32,'EU BackOrder'!A:C,3,FALSE)),"")</f>
        <v/>
      </c>
      <c r="E32" s="2151"/>
      <c r="F32" s="2151"/>
      <c r="G32" s="2152"/>
      <c r="H32" s="2135" t="str">
        <f>IF(IFERROR(IF(VLOOKUP(B32,'EU BackOrder'!A:E,5,FALSE)="",VLOOKUP(B32,'EU BackOrder'!A:G,7,FALSE),IF(VLOOKUP(B32,'EU BackOrder'!A:E,5,FALSE)=0,"",VLOOKUP(B32,'EU BackOrder'!A:E,5,FALSE))),"")=0,"",IFERROR(IF(VLOOKUP(B32,'EU BackOrder'!A:E,5,FALSE)="",VLOOKUP(B32,'EU BackOrder'!A:G,7,FALSE),IF(VLOOKUP(B32,'EU BackOrder'!A:E,5,FALSE)=0,"",VLOOKUP(B32,'EU BackOrder'!A:E,5,FALSE))),""))</f>
        <v/>
      </c>
      <c r="I32" s="2136"/>
      <c r="J32" s="2136"/>
      <c r="K32" s="2136"/>
      <c r="L32" s="2136"/>
      <c r="M32" s="2136"/>
      <c r="N32" s="2136"/>
      <c r="O32" s="2136"/>
      <c r="P32" s="2136"/>
      <c r="Q32" s="2136"/>
      <c r="R32" s="2136"/>
      <c r="S32" s="2136"/>
      <c r="T32" s="2136"/>
      <c r="U32" s="2136"/>
      <c r="V32" s="2141"/>
      <c r="W32" s="2124" t="str">
        <f>IFERROR(IF(VLOOKUP(B32,'EU BackOrder'!A:H,8,FALSE)=0,"",VLOOKUP(B32,'EU BackOrder'!A:H,8,FALSE)),"")</f>
        <v/>
      </c>
      <c r="X32" s="2125"/>
      <c r="Y32" s="2133" t="str">
        <f>IFERROR(IF(VLOOKUP(B32,'EU BackOrder'!A:I,9,FALSE)=0,"",VLOOKUP(B32,'EU BackOrder'!A:I,9,FALSE)),"")</f>
        <v/>
      </c>
      <c r="Z32" s="2134"/>
      <c r="AA32" s="2146" t="str">
        <f>IFERROR(IF(AND(H33="",ISNUMBER(VLOOKUP(B32,'EU BackOrder'!A:J,10,FALSE))),VLOOKUP(B32,'EU BackOrder'!A:J,10,FALSE)&amp;" set",IF(VLOOKUP(B32,'EU BackOrder'!A:J,10,FALSE)=0,"",VLOOKUP(B32,'EU BackOrder'!A:J,10,FALSE))),"")</f>
        <v/>
      </c>
      <c r="AB32" s="2147"/>
      <c r="AC32" s="2130" t="str">
        <f>IFERROR(IF(VLOOKUP(B32,'EU BackOrder'!A:K,11,FALSE)=0,"",VLOOKUP(B32,'EU BackOrder'!A:K,11,FALSE)),"")</f>
        <v/>
      </c>
      <c r="AD32" s="2131"/>
      <c r="AE32" s="2132"/>
      <c r="AF32" s="2130" t="str">
        <f t="array" ref="AF32">IFERROR(IF(AA32="","",_xlfn.CONCAT(IFERROR(MID(AA32,_xlfn.SEQUENCE(LEN(AA32)),1)*1,""))*AC32),"")</f>
        <v/>
      </c>
      <c r="AG32" s="2131"/>
      <c r="AH32" s="2132"/>
    </row>
    <row r="33" spans="2:34" ht="18.75" customHeight="1">
      <c r="B33" s="2123"/>
      <c r="C33" s="2139"/>
      <c r="D33" s="2150"/>
      <c r="E33" s="2151"/>
      <c r="F33" s="2151"/>
      <c r="G33" s="2152"/>
      <c r="H33" s="2135" t="str">
        <f>IFERROR(IF(VLOOKUP(B32,'EU BackOrder'!A:F,6,FALSE)="","",IF(VLOOKUP(B32,'EU BackOrder'!A:F,6,FALSE)=0,"",VLOOKUP(B32,'EU BackOrder'!A:F,6,FALSE))),"")</f>
        <v/>
      </c>
      <c r="I33" s="2136"/>
      <c r="J33" s="2136"/>
      <c r="K33" s="405" t="s">
        <v>351</v>
      </c>
      <c r="L33" s="2137" t="str">
        <f>IFERROR(IF(VLOOKUP(B32,'EU BackOrder'!A:E,5,FALSE)="","",IF(VLOOKUP(B32,'EU BackOrder'!A:G,7,FALSE)=0,"",VLOOKUP(B32,'EU BackOrder'!A:G,7,FALSE))),"")</f>
        <v/>
      </c>
      <c r="M33" s="2136"/>
      <c r="N33" s="2136"/>
      <c r="O33" s="2136"/>
      <c r="P33" s="2136"/>
      <c r="Q33" s="2136"/>
      <c r="R33" s="2136"/>
      <c r="S33" s="2136"/>
      <c r="T33" s="2138"/>
      <c r="U33" s="409" t="str">
        <f>IFERROR(IF(VLOOKUP(B32,'EU BackOrder'!A:M,13,FALSE)=0,"",(VLOOKUP(B32,'EU BackOrder'!A:M,13,FALSE))),"")</f>
        <v/>
      </c>
      <c r="V33" s="408"/>
      <c r="W33" s="2124"/>
      <c r="X33" s="2125"/>
      <c r="Y33" s="2133"/>
      <c r="Z33" s="2134"/>
      <c r="AA33" s="2146"/>
      <c r="AB33" s="2147"/>
      <c r="AC33" s="2130"/>
      <c r="AD33" s="2131"/>
      <c r="AE33" s="2132"/>
      <c r="AF33" s="2130"/>
      <c r="AG33" s="2131"/>
      <c r="AH33" s="2132"/>
    </row>
    <row r="34" spans="2:34" ht="18.75" customHeight="1">
      <c r="B34" s="2123"/>
      <c r="C34" s="2139" t="str">
        <f>IF(B34="","",C32+1)</f>
        <v/>
      </c>
      <c r="D34" s="2150" t="str">
        <f>IFERROR(IF(VLOOKUP(B34,'EU BackOrder'!A:C,3,FALSE)="","",VLOOKUP(B34,'EU BackOrder'!A:C,3,FALSE)),"")</f>
        <v/>
      </c>
      <c r="E34" s="2151"/>
      <c r="F34" s="2151"/>
      <c r="G34" s="2152"/>
      <c r="H34" s="2135" t="str">
        <f>IF(IFERROR(IF(VLOOKUP(B34,'EU BackOrder'!A:E,5,FALSE)="",VLOOKUP(B34,'EU BackOrder'!A:G,7,FALSE),IF(VLOOKUP(B34,'EU BackOrder'!A:E,5,FALSE)=0,"",VLOOKUP(B34,'EU BackOrder'!A:E,5,FALSE))),"")=0,"",IFERROR(IF(VLOOKUP(B34,'EU BackOrder'!A:E,5,FALSE)="",VLOOKUP(B34,'EU BackOrder'!A:G,7,FALSE),IF(VLOOKUP(B34,'EU BackOrder'!A:E,5,FALSE)=0,"",VLOOKUP(B34,'EU BackOrder'!A:E,5,FALSE))),""))</f>
        <v/>
      </c>
      <c r="I34" s="2136"/>
      <c r="J34" s="2136"/>
      <c r="K34" s="2136"/>
      <c r="L34" s="2136"/>
      <c r="M34" s="2136"/>
      <c r="N34" s="2136"/>
      <c r="O34" s="2136"/>
      <c r="P34" s="2136"/>
      <c r="Q34" s="2136"/>
      <c r="R34" s="2136"/>
      <c r="S34" s="2136"/>
      <c r="T34" s="2136"/>
      <c r="U34" s="2136"/>
      <c r="V34" s="2141"/>
      <c r="W34" s="2124" t="str">
        <f>IFERROR(IF(VLOOKUP(B34,'EU BackOrder'!A:H,8,FALSE)=0,"",VLOOKUP(B34,'EU BackOrder'!A:H,8,FALSE)),"")</f>
        <v/>
      </c>
      <c r="X34" s="2125"/>
      <c r="Y34" s="2133" t="str">
        <f>IFERROR(IF(VLOOKUP(B34,'EU BackOrder'!A:I,9,FALSE)=0,"",VLOOKUP(B34,'EU BackOrder'!A:I,9,FALSE)),"")</f>
        <v/>
      </c>
      <c r="Z34" s="2134"/>
      <c r="AA34" s="2146" t="str">
        <f>IFERROR(IF(AND(H35="",ISNUMBER(VLOOKUP(B34,'EU BackOrder'!A:J,10,FALSE))),VLOOKUP(B34,'EU BackOrder'!A:J,10,FALSE)&amp;" set",IF(VLOOKUP(B34,'EU BackOrder'!A:J,10,FALSE)=0,"",VLOOKUP(B34,'EU BackOrder'!A:J,10,FALSE))),"")</f>
        <v/>
      </c>
      <c r="AB34" s="2147"/>
      <c r="AC34" s="2130" t="str">
        <f>IFERROR(IF(VLOOKUP(B34,'EU BackOrder'!A:K,11,FALSE)=0,"",VLOOKUP(B34,'EU BackOrder'!A:K,11,FALSE)),"")</f>
        <v/>
      </c>
      <c r="AD34" s="2131"/>
      <c r="AE34" s="2132"/>
      <c r="AF34" s="2130" t="str">
        <f t="array" ref="AF34">IFERROR(IF(AA34="","",_xlfn.CONCAT(IFERROR(MID(AA34,_xlfn.SEQUENCE(LEN(AA34)),1)*1,""))*AC34),"")</f>
        <v/>
      </c>
      <c r="AG34" s="2131"/>
      <c r="AH34" s="2132"/>
    </row>
    <row r="35" spans="2:34" ht="18.75" customHeight="1">
      <c r="B35" s="2123"/>
      <c r="C35" s="2139"/>
      <c r="D35" s="2150"/>
      <c r="E35" s="2151"/>
      <c r="F35" s="2151"/>
      <c r="G35" s="2152"/>
      <c r="H35" s="2135" t="str">
        <f>IFERROR(IF(VLOOKUP(B34,'EU BackOrder'!A:F,6,FALSE)="","",IF(VLOOKUP(B34,'EU BackOrder'!A:F,6,FALSE)=0,"",VLOOKUP(B34,'EU BackOrder'!A:F,6,FALSE))),"")</f>
        <v/>
      </c>
      <c r="I35" s="2136"/>
      <c r="J35" s="2136"/>
      <c r="K35" s="405" t="s">
        <v>351</v>
      </c>
      <c r="L35" s="2137" t="str">
        <f>IFERROR(IF(VLOOKUP(B34,'EU BackOrder'!A:E,5,FALSE)="","",IF(VLOOKUP(B34,'EU BackOrder'!A:G,7,FALSE)=0,"",VLOOKUP(B34,'EU BackOrder'!A:G,7,FALSE))),"")</f>
        <v/>
      </c>
      <c r="M35" s="2136"/>
      <c r="N35" s="2136"/>
      <c r="O35" s="2136"/>
      <c r="P35" s="2136"/>
      <c r="Q35" s="2136"/>
      <c r="R35" s="2136"/>
      <c r="S35" s="2136"/>
      <c r="T35" s="2138"/>
      <c r="U35" s="409" t="str">
        <f>IFERROR(IF(VLOOKUP(B34,'EU BackOrder'!A:M,13,FALSE)=0,"",(VLOOKUP(B34,'EU BackOrder'!A:M,13,FALSE))),"")</f>
        <v/>
      </c>
      <c r="V35" s="408"/>
      <c r="W35" s="2124"/>
      <c r="X35" s="2125"/>
      <c r="Y35" s="2133"/>
      <c r="Z35" s="2134"/>
      <c r="AA35" s="2146"/>
      <c r="AB35" s="2147"/>
      <c r="AC35" s="2130"/>
      <c r="AD35" s="2131"/>
      <c r="AE35" s="2132"/>
      <c r="AF35" s="2130"/>
      <c r="AG35" s="2131"/>
      <c r="AH35" s="2132"/>
    </row>
    <row r="36" spans="2:34" ht="18.75" customHeight="1">
      <c r="B36" s="2123"/>
      <c r="C36" s="2139" t="str">
        <f>IF(B36="","",C34+1)</f>
        <v/>
      </c>
      <c r="D36" s="2150" t="str">
        <f>IFERROR(IF(VLOOKUP(B36,'EU BackOrder'!A:C,3,FALSE)="","",VLOOKUP(B36,'EU BackOrder'!A:C,3,FALSE)),"")</f>
        <v/>
      </c>
      <c r="E36" s="2151"/>
      <c r="F36" s="2151"/>
      <c r="G36" s="2152"/>
      <c r="H36" s="2135" t="str">
        <f>IF(IFERROR(IF(VLOOKUP(B36,'EU BackOrder'!A:E,5,FALSE)="",VLOOKUP(B36,'EU BackOrder'!A:G,7,FALSE),IF(VLOOKUP(B36,'EU BackOrder'!A:E,5,FALSE)=0,"",VLOOKUP(B36,'EU BackOrder'!A:E,5,FALSE))),"")=0,"",IFERROR(IF(VLOOKUP(B36,'EU BackOrder'!A:E,5,FALSE)="",VLOOKUP(B36,'EU BackOrder'!A:G,7,FALSE),IF(VLOOKUP(B36,'EU BackOrder'!A:E,5,FALSE)=0,"",VLOOKUP(B36,'EU BackOrder'!A:E,5,FALSE))),""))</f>
        <v/>
      </c>
      <c r="I36" s="2136"/>
      <c r="J36" s="2136"/>
      <c r="K36" s="2136"/>
      <c r="L36" s="2136"/>
      <c r="M36" s="2136"/>
      <c r="N36" s="2136"/>
      <c r="O36" s="2136"/>
      <c r="P36" s="2136"/>
      <c r="Q36" s="2136"/>
      <c r="R36" s="2136"/>
      <c r="S36" s="2136"/>
      <c r="T36" s="2136"/>
      <c r="U36" s="2136"/>
      <c r="V36" s="2141"/>
      <c r="W36" s="2124" t="str">
        <f>IFERROR(IF(VLOOKUP(B36,'EU BackOrder'!A:H,8,FALSE)=0,"",VLOOKUP(B36,'EU BackOrder'!A:H,8,FALSE)),"")</f>
        <v/>
      </c>
      <c r="X36" s="2125"/>
      <c r="Y36" s="2133" t="str">
        <f>IFERROR(IF(VLOOKUP(B36,'EU BackOrder'!A:I,9,FALSE)=0,"",VLOOKUP(B36,'EU BackOrder'!A:I,9,FALSE)),"")</f>
        <v/>
      </c>
      <c r="Z36" s="2134"/>
      <c r="AA36" s="2146" t="str">
        <f>IFERROR(IF(AND(H37="",ISNUMBER(VLOOKUP(B36,'EU BackOrder'!A:J,10,FALSE))),VLOOKUP(B36,'EU BackOrder'!A:J,10,FALSE)&amp;" set",IF(VLOOKUP(B36,'EU BackOrder'!A:J,10,FALSE)=0,"",VLOOKUP(B36,'EU BackOrder'!A:J,10,FALSE))),"")</f>
        <v/>
      </c>
      <c r="AB36" s="2147"/>
      <c r="AC36" s="2130" t="str">
        <f>IFERROR(IF(VLOOKUP(B36,'EU BackOrder'!A:K,11,FALSE)=0,"",VLOOKUP(B36,'EU BackOrder'!A:K,11,FALSE)),"")</f>
        <v/>
      </c>
      <c r="AD36" s="2131"/>
      <c r="AE36" s="2132"/>
      <c r="AF36" s="2130" t="str">
        <f t="array" ref="AF36">IFERROR(IF(AA36="","",_xlfn.CONCAT(IFERROR(MID(AA36,_xlfn.SEQUENCE(LEN(AA36)),1)*1,""))*AC36),"")</f>
        <v/>
      </c>
      <c r="AG36" s="2131"/>
      <c r="AH36" s="2132"/>
    </row>
    <row r="37" spans="2:34" ht="18.75" customHeight="1">
      <c r="B37" s="2123"/>
      <c r="C37" s="2139"/>
      <c r="D37" s="2150"/>
      <c r="E37" s="2151"/>
      <c r="F37" s="2151"/>
      <c r="G37" s="2152"/>
      <c r="H37" s="2135" t="str">
        <f>IFERROR(IF(VLOOKUP(B36,'EU BackOrder'!A:F,6,FALSE)="","",IF(VLOOKUP(B36,'EU BackOrder'!A:F,6,FALSE)=0,"",VLOOKUP(B36,'EU BackOrder'!A:F,6,FALSE))),"")</f>
        <v/>
      </c>
      <c r="I37" s="2136"/>
      <c r="J37" s="2136"/>
      <c r="K37" s="405" t="s">
        <v>351</v>
      </c>
      <c r="L37" s="2137" t="str">
        <f>IFERROR(IF(VLOOKUP(B36,'EU BackOrder'!A:E,5,FALSE)="","",IF(VLOOKUP(B36,'EU BackOrder'!A:G,7,FALSE)=0,"",VLOOKUP(B36,'EU BackOrder'!A:G,7,FALSE))),"")</f>
        <v/>
      </c>
      <c r="M37" s="2136"/>
      <c r="N37" s="2136"/>
      <c r="O37" s="2136"/>
      <c r="P37" s="2136"/>
      <c r="Q37" s="2136"/>
      <c r="R37" s="2136"/>
      <c r="S37" s="2136"/>
      <c r="T37" s="2138"/>
      <c r="U37" s="409" t="str">
        <f>IFERROR(IF(VLOOKUP(B36,'EU BackOrder'!A:M,13,FALSE)=0,"",(VLOOKUP(B36,'EU BackOrder'!A:M,13,FALSE))),"")</f>
        <v/>
      </c>
      <c r="V37" s="408"/>
      <c r="W37" s="2124"/>
      <c r="X37" s="2125"/>
      <c r="Y37" s="2133"/>
      <c r="Z37" s="2134"/>
      <c r="AA37" s="2146"/>
      <c r="AB37" s="2147"/>
      <c r="AC37" s="2130"/>
      <c r="AD37" s="2131"/>
      <c r="AE37" s="2132"/>
      <c r="AF37" s="2130"/>
      <c r="AG37" s="2131"/>
      <c r="AH37" s="2132"/>
    </row>
    <row r="38" spans="2:34" ht="18.75" customHeight="1">
      <c r="B38" s="2123"/>
      <c r="C38" s="2139" t="str">
        <f>IF(B38="","",C36+1)</f>
        <v/>
      </c>
      <c r="D38" s="2150" t="str">
        <f>IFERROR(IF(VLOOKUP(B38,'EU BackOrder'!A:C,3,FALSE)="","",VLOOKUP(B38,'EU BackOrder'!A:C,3,FALSE)),"")</f>
        <v/>
      </c>
      <c r="E38" s="2151"/>
      <c r="F38" s="2151"/>
      <c r="G38" s="2152"/>
      <c r="H38" s="2135" t="str">
        <f>IF(IFERROR(IF(VLOOKUP(B38,'EU BackOrder'!A:E,5,FALSE)="",VLOOKUP(B38,'EU BackOrder'!A:G,7,FALSE),IF(VLOOKUP(B38,'EU BackOrder'!A:E,5,FALSE)=0,"",VLOOKUP(B38,'EU BackOrder'!A:E,5,FALSE))),"")=0,"",IFERROR(IF(VLOOKUP(B38,'EU BackOrder'!A:E,5,FALSE)="",VLOOKUP(B38,'EU BackOrder'!A:G,7,FALSE),IF(VLOOKUP(B38,'EU BackOrder'!A:E,5,FALSE)=0,"",VLOOKUP(B38,'EU BackOrder'!A:E,5,FALSE))),""))</f>
        <v/>
      </c>
      <c r="I38" s="2136"/>
      <c r="J38" s="2136"/>
      <c r="K38" s="2136"/>
      <c r="L38" s="2136"/>
      <c r="M38" s="2136"/>
      <c r="N38" s="2136"/>
      <c r="O38" s="2136"/>
      <c r="P38" s="2136"/>
      <c r="Q38" s="2136"/>
      <c r="R38" s="2136"/>
      <c r="S38" s="2136"/>
      <c r="T38" s="2136"/>
      <c r="U38" s="2136"/>
      <c r="V38" s="2141"/>
      <c r="W38" s="2124" t="str">
        <f>IFERROR(IF(VLOOKUP(B38,'EU BackOrder'!A:H,8,FALSE)=0,"",VLOOKUP(B38,'EU BackOrder'!A:H,8,FALSE)),"")</f>
        <v/>
      </c>
      <c r="X38" s="2125"/>
      <c r="Y38" s="2133" t="str">
        <f>IFERROR(IF(VLOOKUP(B38,'EU BackOrder'!A:I,9,FALSE)=0,"",VLOOKUP(B38,'EU BackOrder'!A:I,9,FALSE)),"")</f>
        <v/>
      </c>
      <c r="Z38" s="2134"/>
      <c r="AA38" s="2146" t="str">
        <f>IFERROR(IF(AND(H39="",ISNUMBER(VLOOKUP(B38,'EU BackOrder'!A:J,10,FALSE))),VLOOKUP(B38,'EU BackOrder'!A:J,10,FALSE)&amp;" set",IF(VLOOKUP(B38,'EU BackOrder'!A:J,10,FALSE)=0,"",VLOOKUP(B38,'EU BackOrder'!A:J,10,FALSE))),"")</f>
        <v/>
      </c>
      <c r="AB38" s="2147"/>
      <c r="AC38" s="2130" t="str">
        <f>IFERROR(IF(VLOOKUP(B38,'EU BackOrder'!A:K,11,FALSE)=0,"",VLOOKUP(B38,'EU BackOrder'!A:K,11,FALSE)),"")</f>
        <v/>
      </c>
      <c r="AD38" s="2131"/>
      <c r="AE38" s="2132"/>
      <c r="AF38" s="2130" t="str">
        <f t="array" ref="AF38">IFERROR(IF(AA38="","",_xlfn.CONCAT(IFERROR(MID(AA38,_xlfn.SEQUENCE(LEN(AA38)),1)*1,""))*AC38),"")</f>
        <v/>
      </c>
      <c r="AG38" s="2131"/>
      <c r="AH38" s="2132"/>
    </row>
    <row r="39" spans="2:34" ht="18.75" customHeight="1">
      <c r="B39" s="2123"/>
      <c r="C39" s="2139"/>
      <c r="D39" s="2150"/>
      <c r="E39" s="2151"/>
      <c r="F39" s="2151"/>
      <c r="G39" s="2152"/>
      <c r="H39" s="2135" t="str">
        <f>IFERROR(IF(VLOOKUP(B38,'EU BackOrder'!A:F,6,FALSE)="","",IF(VLOOKUP(B38,'EU BackOrder'!A:F,6,FALSE)=0,"",VLOOKUP(B38,'EU BackOrder'!A:F,6,FALSE))),"")</f>
        <v/>
      </c>
      <c r="I39" s="2136"/>
      <c r="J39" s="2136"/>
      <c r="K39" s="405" t="s">
        <v>351</v>
      </c>
      <c r="L39" s="2137" t="str">
        <f>IFERROR(IF(VLOOKUP(B38,'EU BackOrder'!A:E,5,FALSE)="","",IF(VLOOKUP(B38,'EU BackOrder'!A:G,7,FALSE)=0,"",VLOOKUP(B38,'EU BackOrder'!A:G,7,FALSE))),"")</f>
        <v/>
      </c>
      <c r="M39" s="2136"/>
      <c r="N39" s="2136"/>
      <c r="O39" s="2136"/>
      <c r="P39" s="2136"/>
      <c r="Q39" s="2136"/>
      <c r="R39" s="2136"/>
      <c r="S39" s="2136"/>
      <c r="T39" s="2138"/>
      <c r="U39" s="409" t="str">
        <f>IFERROR(IF(VLOOKUP(B38,'EU BackOrder'!A:M,13,FALSE)=0,"",(VLOOKUP(B38,'EU BackOrder'!A:M,13,FALSE))),"")</f>
        <v/>
      </c>
      <c r="V39" s="408"/>
      <c r="W39" s="2124"/>
      <c r="X39" s="2125"/>
      <c r="Y39" s="2133"/>
      <c r="Z39" s="2134"/>
      <c r="AA39" s="2146"/>
      <c r="AB39" s="2147"/>
      <c r="AC39" s="2130"/>
      <c r="AD39" s="2131"/>
      <c r="AE39" s="2132"/>
      <c r="AF39" s="2130"/>
      <c r="AG39" s="2131"/>
      <c r="AH39" s="2132"/>
    </row>
    <row r="40" spans="2:34" ht="18.75" customHeight="1">
      <c r="B40" s="2123"/>
      <c r="C40" s="2139" t="str">
        <f>IF(B40="","",C38+1)</f>
        <v/>
      </c>
      <c r="D40" s="2150" t="str">
        <f>IFERROR(IF(VLOOKUP(B40,'EU BackOrder'!A:C,3,FALSE)="","",VLOOKUP(B40,'EU BackOrder'!A:C,3,FALSE)),"")</f>
        <v/>
      </c>
      <c r="E40" s="2151"/>
      <c r="F40" s="2151"/>
      <c r="G40" s="2152"/>
      <c r="H40" s="2135" t="str">
        <f>IF(IFERROR(IF(VLOOKUP(B40,'EU BackOrder'!A:E,5,FALSE)="",VLOOKUP(B40,'EU BackOrder'!A:G,7,FALSE),IF(VLOOKUP(B40,'EU BackOrder'!A:E,5,FALSE)=0,"",VLOOKUP(B40,'EU BackOrder'!A:E,5,FALSE))),"")=0,"",IFERROR(IF(VLOOKUP(B40,'EU BackOrder'!A:E,5,FALSE)="",VLOOKUP(B40,'EU BackOrder'!A:G,7,FALSE),IF(VLOOKUP(B40,'EU BackOrder'!A:E,5,FALSE)=0,"",VLOOKUP(B40,'EU BackOrder'!A:E,5,FALSE))),""))</f>
        <v/>
      </c>
      <c r="I40" s="2136"/>
      <c r="J40" s="2136"/>
      <c r="K40" s="2136"/>
      <c r="L40" s="2136"/>
      <c r="M40" s="2136"/>
      <c r="N40" s="2136"/>
      <c r="O40" s="2136"/>
      <c r="P40" s="2136"/>
      <c r="Q40" s="2136"/>
      <c r="R40" s="2136"/>
      <c r="S40" s="2136"/>
      <c r="T40" s="2136"/>
      <c r="U40" s="2136"/>
      <c r="V40" s="2141"/>
      <c r="W40" s="2124" t="str">
        <f>IFERROR(IF(VLOOKUP(B40,'EU BackOrder'!A:H,8,FALSE)=0,"",VLOOKUP(B40,'EU BackOrder'!A:H,8,FALSE)),"")</f>
        <v/>
      </c>
      <c r="X40" s="2125"/>
      <c r="Y40" s="2133" t="str">
        <f>IFERROR(IF(VLOOKUP(B40,'EU BackOrder'!A:I,9,FALSE)=0,"",VLOOKUP(B40,'EU BackOrder'!A:I,9,FALSE)),"")</f>
        <v/>
      </c>
      <c r="Z40" s="2134"/>
      <c r="AA40" s="2146" t="str">
        <f>IFERROR(IF(AND(H41="",ISNUMBER(VLOOKUP(B40,'EU BackOrder'!A:J,10,FALSE))),VLOOKUP(B40,'EU BackOrder'!A:J,10,FALSE)&amp;" set",IF(VLOOKUP(B40,'EU BackOrder'!A:J,10,FALSE)=0,"",VLOOKUP(B40,'EU BackOrder'!A:J,10,FALSE))),"")</f>
        <v/>
      </c>
      <c r="AB40" s="2147"/>
      <c r="AC40" s="2130" t="str">
        <f>IFERROR(IF(VLOOKUP(B40,'EU BackOrder'!A:K,11,FALSE)=0,"",VLOOKUP(B40,'EU BackOrder'!A:K,11,FALSE)),"")</f>
        <v/>
      </c>
      <c r="AD40" s="2131"/>
      <c r="AE40" s="2132"/>
      <c r="AF40" s="2130" t="str">
        <f t="array" ref="AF40">IFERROR(IF(AA40="","",_xlfn.CONCAT(IFERROR(MID(AA40,_xlfn.SEQUENCE(LEN(AA40)),1)*1,""))*AC40),"")</f>
        <v/>
      </c>
      <c r="AG40" s="2131"/>
      <c r="AH40" s="2132"/>
    </row>
    <row r="41" spans="2:34" ht="18.75" customHeight="1">
      <c r="B41" s="2123"/>
      <c r="C41" s="2139"/>
      <c r="D41" s="2150"/>
      <c r="E41" s="2151"/>
      <c r="F41" s="2151"/>
      <c r="G41" s="2152"/>
      <c r="H41" s="2135" t="str">
        <f>IFERROR(IF(VLOOKUP(B40,'EU BackOrder'!A:F,6,FALSE)="","",IF(VLOOKUP(B40,'EU BackOrder'!A:F,6,FALSE)=0,"",VLOOKUP(B40,'EU BackOrder'!A:F,6,FALSE))),"")</f>
        <v/>
      </c>
      <c r="I41" s="2136"/>
      <c r="J41" s="2136"/>
      <c r="K41" s="405" t="s">
        <v>351</v>
      </c>
      <c r="L41" s="2137" t="str">
        <f>IFERROR(IF(VLOOKUP(B40,'EU BackOrder'!A:E,5,FALSE)="","",IF(VLOOKUP(B40,'EU BackOrder'!A:G,7,FALSE)=0,"",VLOOKUP(B40,'EU BackOrder'!A:G,7,FALSE))),"")</f>
        <v/>
      </c>
      <c r="M41" s="2136"/>
      <c r="N41" s="2136"/>
      <c r="O41" s="2136"/>
      <c r="P41" s="2136"/>
      <c r="Q41" s="2136"/>
      <c r="R41" s="2136"/>
      <c r="S41" s="2136"/>
      <c r="T41" s="2138"/>
      <c r="U41" s="409" t="str">
        <f>IFERROR(IF(VLOOKUP(B40,'EU BackOrder'!A:M,13,FALSE)=0,"",(VLOOKUP(B40,'EU BackOrder'!A:M,13,FALSE))),"")</f>
        <v/>
      </c>
      <c r="V41" s="408"/>
      <c r="W41" s="2124"/>
      <c r="X41" s="2125"/>
      <c r="Y41" s="2133"/>
      <c r="Z41" s="2134"/>
      <c r="AA41" s="2146"/>
      <c r="AB41" s="2147"/>
      <c r="AC41" s="2130"/>
      <c r="AD41" s="2131"/>
      <c r="AE41" s="2132"/>
      <c r="AF41" s="2130"/>
      <c r="AG41" s="2131"/>
      <c r="AH41" s="2132"/>
    </row>
    <row r="42" spans="2:34" ht="18.75" customHeight="1">
      <c r="B42" s="2123"/>
      <c r="C42" s="2139" t="str">
        <f>IF(B42="","",C40+1)</f>
        <v/>
      </c>
      <c r="D42" s="2150" t="str">
        <f>IFERROR(IF(VLOOKUP(B42,'EU BackOrder'!A:C,3,FALSE)="","",VLOOKUP(B42,'EU BackOrder'!A:C,3,FALSE)),"")</f>
        <v/>
      </c>
      <c r="E42" s="2151"/>
      <c r="F42" s="2151"/>
      <c r="G42" s="2152"/>
      <c r="H42" s="2135" t="str">
        <f>IF(IFERROR(IF(VLOOKUP(B42,'EU BackOrder'!A:E,5,FALSE)="",VLOOKUP(B42,'EU BackOrder'!A:G,7,FALSE),IF(VLOOKUP(B42,'EU BackOrder'!A:E,5,FALSE)=0,"",VLOOKUP(B42,'EU BackOrder'!A:E,5,FALSE))),"")=0,"",IFERROR(IF(VLOOKUP(B42,'EU BackOrder'!A:E,5,FALSE)="",VLOOKUP(B42,'EU BackOrder'!A:G,7,FALSE),IF(VLOOKUP(B42,'EU BackOrder'!A:E,5,FALSE)=0,"",VLOOKUP(B42,'EU BackOrder'!A:E,5,FALSE))),""))</f>
        <v/>
      </c>
      <c r="I42" s="2136"/>
      <c r="J42" s="2136"/>
      <c r="K42" s="2136"/>
      <c r="L42" s="2136"/>
      <c r="M42" s="2136"/>
      <c r="N42" s="2136"/>
      <c r="O42" s="2136"/>
      <c r="P42" s="2136"/>
      <c r="Q42" s="2136"/>
      <c r="R42" s="2136"/>
      <c r="S42" s="2136"/>
      <c r="T42" s="2136"/>
      <c r="U42" s="2136"/>
      <c r="V42" s="2141"/>
      <c r="W42" s="2124" t="str">
        <f>IFERROR(IF(VLOOKUP(B42,'EU BackOrder'!A:H,8,FALSE)=0,"",VLOOKUP(B42,'EU BackOrder'!A:H,8,FALSE)),"")</f>
        <v/>
      </c>
      <c r="X42" s="2125"/>
      <c r="Y42" s="2133" t="str">
        <f>IFERROR(IF(VLOOKUP(B42,'EU BackOrder'!A:I,9,FALSE)=0,"",VLOOKUP(B42,'EU BackOrder'!A:I,9,FALSE)),"")</f>
        <v/>
      </c>
      <c r="Z42" s="2134"/>
      <c r="AA42" s="2146" t="str">
        <f>IFERROR(IF(AND(H43="",ISNUMBER(VLOOKUP(B42,'EU BackOrder'!A:J,10,FALSE))),VLOOKUP(B42,'EU BackOrder'!A:J,10,FALSE)&amp;" set",IF(VLOOKUP(B42,'EU BackOrder'!A:J,10,FALSE)=0,"",VLOOKUP(B42,'EU BackOrder'!A:J,10,FALSE))),"")</f>
        <v/>
      </c>
      <c r="AB42" s="2147"/>
      <c r="AC42" s="2130" t="str">
        <f>IFERROR(IF(VLOOKUP(B42,'EU BackOrder'!A:K,11,FALSE)=0,"",VLOOKUP(B42,'EU BackOrder'!A:K,11,FALSE)),"")</f>
        <v/>
      </c>
      <c r="AD42" s="2131"/>
      <c r="AE42" s="2132"/>
      <c r="AF42" s="2130" t="str">
        <f t="array" ref="AF42">IFERROR(IF(AA42="","",_xlfn.CONCAT(IFERROR(MID(AA42,_xlfn.SEQUENCE(LEN(AA42)),1)*1,""))*AC42),"")</f>
        <v/>
      </c>
      <c r="AG42" s="2131"/>
      <c r="AH42" s="2132"/>
    </row>
    <row r="43" spans="2:34" ht="18.75" customHeight="1">
      <c r="B43" s="2123"/>
      <c r="C43" s="2139"/>
      <c r="D43" s="2150"/>
      <c r="E43" s="2151"/>
      <c r="F43" s="2151"/>
      <c r="G43" s="2152"/>
      <c r="H43" s="2135" t="str">
        <f>IFERROR(IF(VLOOKUP(B42,'EU BackOrder'!A:F,6,FALSE)="","",IF(VLOOKUP(B42,'EU BackOrder'!A:F,6,FALSE)=0,"",VLOOKUP(B42,'EU BackOrder'!A:F,6,FALSE))),"")</f>
        <v/>
      </c>
      <c r="I43" s="2136"/>
      <c r="J43" s="2136"/>
      <c r="K43" s="405" t="s">
        <v>351</v>
      </c>
      <c r="L43" s="2137" t="str">
        <f>IFERROR(IF(VLOOKUP(B42,'EU BackOrder'!A:E,5,FALSE)="","",IF(VLOOKUP(B42,'EU BackOrder'!A:G,7,FALSE)=0,"",VLOOKUP(B42,'EU BackOrder'!A:G,7,FALSE))),"")</f>
        <v/>
      </c>
      <c r="M43" s="2136"/>
      <c r="N43" s="2136"/>
      <c r="O43" s="2136"/>
      <c r="P43" s="2136"/>
      <c r="Q43" s="2136"/>
      <c r="R43" s="2136"/>
      <c r="S43" s="2136"/>
      <c r="T43" s="2138"/>
      <c r="U43" s="409" t="str">
        <f>IFERROR(IF(VLOOKUP(B42,'EU BackOrder'!A:M,13,FALSE)=0,"",(VLOOKUP(B42,'EU BackOrder'!A:M,13,FALSE))),"")</f>
        <v/>
      </c>
      <c r="V43" s="408"/>
      <c r="W43" s="2124"/>
      <c r="X43" s="2125"/>
      <c r="Y43" s="2133"/>
      <c r="Z43" s="2134"/>
      <c r="AA43" s="2146"/>
      <c r="AB43" s="2147"/>
      <c r="AC43" s="2130"/>
      <c r="AD43" s="2131"/>
      <c r="AE43" s="2132"/>
      <c r="AF43" s="2130"/>
      <c r="AG43" s="2131"/>
      <c r="AH43" s="2132"/>
    </row>
    <row r="44" spans="2:34" ht="18.75" customHeight="1">
      <c r="B44" s="2123"/>
      <c r="C44" s="2139" t="str">
        <f>IF(B44="","",C42+1)</f>
        <v/>
      </c>
      <c r="D44" s="2150" t="str">
        <f>IFERROR(IF(VLOOKUP(B44,'EU BackOrder'!A:C,3,FALSE)="","",VLOOKUP(B44,'EU BackOrder'!A:C,3,FALSE)),"")</f>
        <v/>
      </c>
      <c r="E44" s="2151"/>
      <c r="F44" s="2151"/>
      <c r="G44" s="2152"/>
      <c r="H44" s="2135" t="str">
        <f>IF(IFERROR(IF(VLOOKUP(B44,'EU BackOrder'!A:E,5,FALSE)="",VLOOKUP(B44,'EU BackOrder'!A:G,7,FALSE),IF(VLOOKUP(B44,'EU BackOrder'!A:E,5,FALSE)=0,"",VLOOKUP(B44,'EU BackOrder'!A:E,5,FALSE))),"")=0,"",IFERROR(IF(VLOOKUP(B44,'EU BackOrder'!A:E,5,FALSE)="",VLOOKUP(B44,'EU BackOrder'!A:G,7,FALSE),IF(VLOOKUP(B44,'EU BackOrder'!A:E,5,FALSE)=0,"",VLOOKUP(B44,'EU BackOrder'!A:E,5,FALSE))),""))</f>
        <v/>
      </c>
      <c r="I44" s="2136"/>
      <c r="J44" s="2136"/>
      <c r="K44" s="2136"/>
      <c r="L44" s="2136"/>
      <c r="M44" s="2136"/>
      <c r="N44" s="2136"/>
      <c r="O44" s="2136"/>
      <c r="P44" s="2136"/>
      <c r="Q44" s="2136"/>
      <c r="R44" s="2136"/>
      <c r="S44" s="2136"/>
      <c r="T44" s="2136"/>
      <c r="U44" s="2136"/>
      <c r="V44" s="2141"/>
      <c r="W44" s="2124" t="str">
        <f>IFERROR(IF(VLOOKUP(B44,'EU BackOrder'!A:H,8,FALSE)=0,"",VLOOKUP(B44,'EU BackOrder'!A:H,8,FALSE)),"")</f>
        <v/>
      </c>
      <c r="X44" s="2125"/>
      <c r="Y44" s="2133" t="str">
        <f>IFERROR(IF(VLOOKUP(B44,'EU BackOrder'!A:I,9,FALSE)=0,"",VLOOKUP(B44,'EU BackOrder'!A:I,9,FALSE)),"")</f>
        <v/>
      </c>
      <c r="Z44" s="2134"/>
      <c r="AA44" s="2146" t="str">
        <f>IFERROR(IF(AND(H45="",ISNUMBER(VLOOKUP(B44,'EU BackOrder'!A:J,10,FALSE))),VLOOKUP(B44,'EU BackOrder'!A:J,10,FALSE)&amp;" set",IF(VLOOKUP(B44,'EU BackOrder'!A:J,10,FALSE)=0,"",VLOOKUP(B44,'EU BackOrder'!A:J,10,FALSE))),"")</f>
        <v/>
      </c>
      <c r="AB44" s="2147"/>
      <c r="AC44" s="2130" t="str">
        <f>IFERROR(IF(VLOOKUP(B44,'EU BackOrder'!A:K,11,FALSE)=0,"",VLOOKUP(B44,'EU BackOrder'!A:K,11,FALSE)),"")</f>
        <v/>
      </c>
      <c r="AD44" s="2131"/>
      <c r="AE44" s="2132"/>
      <c r="AF44" s="2130" t="str">
        <f t="array" ref="AF44">IFERROR(IF(AA44="","",_xlfn.CONCAT(IFERROR(MID(AA44,_xlfn.SEQUENCE(LEN(AA44)),1)*1,""))*AC44),"")</f>
        <v/>
      </c>
      <c r="AG44" s="2131"/>
      <c r="AH44" s="2132"/>
    </row>
    <row r="45" spans="2:34" ht="18.75" customHeight="1">
      <c r="B45" s="2123"/>
      <c r="C45" s="2139"/>
      <c r="D45" s="2150"/>
      <c r="E45" s="2151"/>
      <c r="F45" s="2151"/>
      <c r="G45" s="2152"/>
      <c r="H45" s="2135" t="str">
        <f>IFERROR(IF(VLOOKUP(B44,'EU BackOrder'!A:F,6,FALSE)="","",IF(VLOOKUP(B44,'EU BackOrder'!A:F,6,FALSE)=0,"",VLOOKUP(B44,'EU BackOrder'!A:F,6,FALSE))),"")</f>
        <v/>
      </c>
      <c r="I45" s="2136"/>
      <c r="J45" s="2136"/>
      <c r="K45" s="405" t="s">
        <v>351</v>
      </c>
      <c r="L45" s="2137" t="str">
        <f>IFERROR(IF(VLOOKUP(B44,'EU BackOrder'!A:E,5,FALSE)="","",IF(VLOOKUP(B44,'EU BackOrder'!A:G,7,FALSE)=0,"",VLOOKUP(B44,'EU BackOrder'!A:G,7,FALSE))),"")</f>
        <v/>
      </c>
      <c r="M45" s="2136"/>
      <c r="N45" s="2136"/>
      <c r="O45" s="2136"/>
      <c r="P45" s="2136"/>
      <c r="Q45" s="2136"/>
      <c r="R45" s="2136"/>
      <c r="S45" s="2136"/>
      <c r="T45" s="2138"/>
      <c r="U45" s="409" t="str">
        <f>IFERROR(IF(VLOOKUP(B44,'EU BackOrder'!A:M,13,FALSE)=0,"",(VLOOKUP(B44,'EU BackOrder'!A:M,13,FALSE))),"")</f>
        <v/>
      </c>
      <c r="V45" s="408"/>
      <c r="W45" s="2124"/>
      <c r="X45" s="2125"/>
      <c r="Y45" s="2133"/>
      <c r="Z45" s="2134"/>
      <c r="AA45" s="2146"/>
      <c r="AB45" s="2147"/>
      <c r="AC45" s="2130"/>
      <c r="AD45" s="2131"/>
      <c r="AE45" s="2132"/>
      <c r="AF45" s="2130"/>
      <c r="AG45" s="2131"/>
      <c r="AH45" s="2132"/>
    </row>
    <row r="46" spans="2:34" ht="18.75" customHeight="1">
      <c r="B46" s="2123"/>
      <c r="C46" s="2139" t="str">
        <f>IF(B46="","",C44+1)</f>
        <v/>
      </c>
      <c r="D46" s="2150" t="str">
        <f>IFERROR(IF(VLOOKUP(B46,'EU BackOrder'!A:C,3,FALSE)="","",VLOOKUP(B46,'EU BackOrder'!A:C,3,FALSE)),"")</f>
        <v/>
      </c>
      <c r="E46" s="2151"/>
      <c r="F46" s="2151"/>
      <c r="G46" s="2152"/>
      <c r="H46" s="2135" t="str">
        <f>IF(IFERROR(IF(VLOOKUP(B46,'EU BackOrder'!A:E,5,FALSE)="",VLOOKUP(B46,'EU BackOrder'!A:G,7,FALSE),IF(VLOOKUP(B46,'EU BackOrder'!A:E,5,FALSE)=0,"",VLOOKUP(B46,'EU BackOrder'!A:E,5,FALSE))),"")=0,"",IFERROR(IF(VLOOKUP(B46,'EU BackOrder'!A:E,5,FALSE)="",VLOOKUP(B46,'EU BackOrder'!A:G,7,FALSE),IF(VLOOKUP(B46,'EU BackOrder'!A:E,5,FALSE)=0,"",VLOOKUP(B46,'EU BackOrder'!A:E,5,FALSE))),""))</f>
        <v/>
      </c>
      <c r="I46" s="2136"/>
      <c r="J46" s="2136"/>
      <c r="K46" s="2136"/>
      <c r="L46" s="2136"/>
      <c r="M46" s="2136"/>
      <c r="N46" s="2136"/>
      <c r="O46" s="2136"/>
      <c r="P46" s="2136"/>
      <c r="Q46" s="2136"/>
      <c r="R46" s="2136"/>
      <c r="S46" s="2136"/>
      <c r="T46" s="2136"/>
      <c r="U46" s="2136"/>
      <c r="V46" s="2141"/>
      <c r="W46" s="2124" t="str">
        <f>IFERROR(IF(VLOOKUP(B46,'EU BackOrder'!A:H,8,FALSE)=0,"",VLOOKUP(B46,'EU BackOrder'!A:H,8,FALSE)),"")</f>
        <v/>
      </c>
      <c r="X46" s="2125"/>
      <c r="Y46" s="2133" t="str">
        <f>IFERROR(IF(VLOOKUP(B46,'EU BackOrder'!A:I,9,FALSE)=0,"",VLOOKUP(B46,'EU BackOrder'!A:I,9,FALSE)),"")</f>
        <v/>
      </c>
      <c r="Z46" s="2134"/>
      <c r="AA46" s="2146" t="str">
        <f>IFERROR(IF(AND(H47="",ISNUMBER(VLOOKUP(B46,'EU BackOrder'!A:J,10,FALSE))),VLOOKUP(B46,'EU BackOrder'!A:J,10,FALSE)&amp;" set",IF(VLOOKUP(B46,'EU BackOrder'!A:J,10,FALSE)=0,"",VLOOKUP(B46,'EU BackOrder'!A:J,10,FALSE))),"")</f>
        <v/>
      </c>
      <c r="AB46" s="2147"/>
      <c r="AC46" s="2130" t="str">
        <f>IFERROR(IF(VLOOKUP(B46,'EU BackOrder'!A:K,11,FALSE)=0,"",VLOOKUP(B46,'EU BackOrder'!A:K,11,FALSE)),"")</f>
        <v/>
      </c>
      <c r="AD46" s="2131"/>
      <c r="AE46" s="2132"/>
      <c r="AF46" s="2130" t="str">
        <f t="array" ref="AF46">IFERROR(IF(AA46="","",_xlfn.CONCAT(IFERROR(MID(AA46,_xlfn.SEQUENCE(LEN(AA46)),1)*1,""))*AC46),"")</f>
        <v/>
      </c>
      <c r="AG46" s="2131"/>
      <c r="AH46" s="2132"/>
    </row>
    <row r="47" spans="2:34" ht="18.75" customHeight="1">
      <c r="B47" s="2123"/>
      <c r="C47" s="2139"/>
      <c r="D47" s="2150"/>
      <c r="E47" s="2151"/>
      <c r="F47" s="2151"/>
      <c r="G47" s="2152"/>
      <c r="H47" s="2135" t="str">
        <f>IFERROR(IF(VLOOKUP(B46,'EU BackOrder'!A:F,6,FALSE)="","",IF(VLOOKUP(B46,'EU BackOrder'!A:F,6,FALSE)=0,"",VLOOKUP(B46,'EU BackOrder'!A:F,6,FALSE))),"")</f>
        <v/>
      </c>
      <c r="I47" s="2136"/>
      <c r="J47" s="2136"/>
      <c r="K47" s="405" t="s">
        <v>351</v>
      </c>
      <c r="L47" s="2137" t="str">
        <f>IFERROR(IF(VLOOKUP(B46,'EU BackOrder'!A:E,5,FALSE)="","",IF(VLOOKUP(B46,'EU BackOrder'!A:G,7,FALSE)=0,"",VLOOKUP(B46,'EU BackOrder'!A:G,7,FALSE))),"")</f>
        <v/>
      </c>
      <c r="M47" s="2136"/>
      <c r="N47" s="2136"/>
      <c r="O47" s="2136"/>
      <c r="P47" s="2136"/>
      <c r="Q47" s="2136"/>
      <c r="R47" s="2136"/>
      <c r="S47" s="2136"/>
      <c r="T47" s="2138"/>
      <c r="U47" s="409" t="str">
        <f>IFERROR(IF(VLOOKUP(B46,'EU BackOrder'!A:M,13,FALSE)=0,"",(VLOOKUP(B46,'EU BackOrder'!A:M,13,FALSE))),"")</f>
        <v/>
      </c>
      <c r="V47" s="408"/>
      <c r="W47" s="2124"/>
      <c r="X47" s="2125"/>
      <c r="Y47" s="2133"/>
      <c r="Z47" s="2134"/>
      <c r="AA47" s="2146"/>
      <c r="AB47" s="2147"/>
      <c r="AC47" s="2130"/>
      <c r="AD47" s="2131"/>
      <c r="AE47" s="2132"/>
      <c r="AF47" s="2130"/>
      <c r="AG47" s="2131"/>
      <c r="AH47" s="2132"/>
    </row>
    <row r="48" spans="2:34" ht="18.75" customHeight="1">
      <c r="B48" s="2123"/>
      <c r="C48" s="2139" t="str">
        <f>IF(B48="","",C46+1)</f>
        <v/>
      </c>
      <c r="D48" s="2150" t="str">
        <f>IFERROR(IF(VLOOKUP(B48,'EU BackOrder'!A:C,3,FALSE)="","",VLOOKUP(B48,'EU BackOrder'!A:C,3,FALSE)),"")</f>
        <v/>
      </c>
      <c r="E48" s="2151"/>
      <c r="F48" s="2151"/>
      <c r="G48" s="2152"/>
      <c r="H48" s="2135" t="str">
        <f>IF(IFERROR(IF(VLOOKUP(B48,'EU BackOrder'!A:E,5,FALSE)="",VLOOKUP(B48,'EU BackOrder'!A:G,7,FALSE),IF(VLOOKUP(B48,'EU BackOrder'!A:E,5,FALSE)=0,"",VLOOKUP(B48,'EU BackOrder'!A:E,5,FALSE))),"")=0,"",IFERROR(IF(VLOOKUP(B48,'EU BackOrder'!A:E,5,FALSE)="",VLOOKUP(B48,'EU BackOrder'!A:G,7,FALSE),IF(VLOOKUP(B48,'EU BackOrder'!A:E,5,FALSE)=0,"",VLOOKUP(B48,'EU BackOrder'!A:E,5,FALSE))),""))</f>
        <v/>
      </c>
      <c r="I48" s="2136"/>
      <c r="J48" s="2136"/>
      <c r="K48" s="2136"/>
      <c r="L48" s="2136"/>
      <c r="M48" s="2136"/>
      <c r="N48" s="2136"/>
      <c r="O48" s="2136"/>
      <c r="P48" s="2136"/>
      <c r="Q48" s="2136"/>
      <c r="R48" s="2136"/>
      <c r="S48" s="2136"/>
      <c r="T48" s="2136"/>
      <c r="U48" s="2136"/>
      <c r="V48" s="2141"/>
      <c r="W48" s="2124" t="str">
        <f>IFERROR(IF(VLOOKUP(B48,'EU BackOrder'!A:H,8,FALSE)=0,"",VLOOKUP(B48,'EU BackOrder'!A:H,8,FALSE)),"")</f>
        <v/>
      </c>
      <c r="X48" s="2125"/>
      <c r="Y48" s="2133" t="str">
        <f>IFERROR(IF(VLOOKUP(B48,'EU BackOrder'!A:I,9,FALSE)=0,"",VLOOKUP(B48,'EU BackOrder'!A:I,9,FALSE)),"")</f>
        <v/>
      </c>
      <c r="Z48" s="2134"/>
      <c r="AA48" s="2146" t="str">
        <f>IFERROR(IF(AND(H49="",ISNUMBER(VLOOKUP(B48,'EU BackOrder'!A:J,10,FALSE))),VLOOKUP(B48,'EU BackOrder'!A:J,10,FALSE)&amp;" set",IF(VLOOKUP(B48,'EU BackOrder'!A:J,10,FALSE)=0,"",VLOOKUP(B48,'EU BackOrder'!A:J,10,FALSE))),"")</f>
        <v/>
      </c>
      <c r="AB48" s="2147"/>
      <c r="AC48" s="2130" t="str">
        <f>IFERROR(IF(VLOOKUP(B48,'EU BackOrder'!A:K,11,FALSE)=0,"",VLOOKUP(B48,'EU BackOrder'!A:K,11,FALSE)),"")</f>
        <v/>
      </c>
      <c r="AD48" s="2131"/>
      <c r="AE48" s="2132"/>
      <c r="AF48" s="2130" t="str">
        <f t="array" ref="AF48">IFERROR(IF(AA48="","",_xlfn.CONCAT(IFERROR(MID(AA48,_xlfn.SEQUENCE(LEN(AA48)),1)*1,""))*AC48),"")</f>
        <v/>
      </c>
      <c r="AG48" s="2131"/>
      <c r="AH48" s="2132"/>
    </row>
    <row r="49" spans="2:34" ht="18.75" customHeight="1">
      <c r="B49" s="2123"/>
      <c r="C49" s="2139"/>
      <c r="D49" s="2150"/>
      <c r="E49" s="2151"/>
      <c r="F49" s="2151"/>
      <c r="G49" s="2152"/>
      <c r="H49" s="2135" t="str">
        <f>IFERROR(IF(VLOOKUP(B48,'EU BackOrder'!A:F,6,FALSE)="","",IF(VLOOKUP(B48,'EU BackOrder'!A:F,6,FALSE)=0,"",VLOOKUP(B48,'EU BackOrder'!A:F,6,FALSE))),"")</f>
        <v/>
      </c>
      <c r="I49" s="2136"/>
      <c r="J49" s="2136"/>
      <c r="K49" s="405" t="s">
        <v>351</v>
      </c>
      <c r="L49" s="2137" t="str">
        <f>IFERROR(IF(VLOOKUP(B48,'EU BackOrder'!A:E,5,FALSE)="","",IF(VLOOKUP(B48,'EU BackOrder'!A:G,7,FALSE)=0,"",VLOOKUP(B48,'EU BackOrder'!A:G,7,FALSE))),"")</f>
        <v/>
      </c>
      <c r="M49" s="2136"/>
      <c r="N49" s="2136"/>
      <c r="O49" s="2136"/>
      <c r="P49" s="2136"/>
      <c r="Q49" s="2136"/>
      <c r="R49" s="2136"/>
      <c r="S49" s="2136"/>
      <c r="T49" s="2138"/>
      <c r="U49" s="409" t="str">
        <f>IFERROR(IF(VLOOKUP(B48,'EU BackOrder'!A:M,13,FALSE)=0,"",(VLOOKUP(B48,'EU BackOrder'!A:M,13,FALSE))),"")</f>
        <v/>
      </c>
      <c r="V49" s="408"/>
      <c r="W49" s="2124"/>
      <c r="X49" s="2125"/>
      <c r="Y49" s="2133"/>
      <c r="Z49" s="2134"/>
      <c r="AA49" s="2146"/>
      <c r="AB49" s="2147"/>
      <c r="AC49" s="2130"/>
      <c r="AD49" s="2131"/>
      <c r="AE49" s="2132"/>
      <c r="AF49" s="2130"/>
      <c r="AG49" s="2131"/>
      <c r="AH49" s="2132"/>
    </row>
    <row r="50" spans="2:34" ht="18.75" customHeight="1">
      <c r="B50" s="2123"/>
      <c r="C50" s="2139" t="str">
        <f>IF(B50="","",C48+1)</f>
        <v/>
      </c>
      <c r="D50" s="2150" t="str">
        <f>IFERROR(IF(VLOOKUP(B50,'EU BackOrder'!A:C,3,FALSE)="","",VLOOKUP(B50,'EU BackOrder'!A:C,3,FALSE)),"")</f>
        <v/>
      </c>
      <c r="E50" s="2151"/>
      <c r="F50" s="2151"/>
      <c r="G50" s="2152"/>
      <c r="H50" s="2135" t="str">
        <f>IF(IFERROR(IF(VLOOKUP(B50,'EU BackOrder'!A:E,5,FALSE)="",VLOOKUP(B50,'EU BackOrder'!A:G,7,FALSE),IF(VLOOKUP(B50,'EU BackOrder'!A:E,5,FALSE)=0,"",VLOOKUP(B50,'EU BackOrder'!A:E,5,FALSE))),"")=0,"",IFERROR(IF(VLOOKUP(B50,'EU BackOrder'!A:E,5,FALSE)="",VLOOKUP(B50,'EU BackOrder'!A:G,7,FALSE),IF(VLOOKUP(B50,'EU BackOrder'!A:E,5,FALSE)=0,"",VLOOKUP(B50,'EU BackOrder'!A:E,5,FALSE))),""))</f>
        <v/>
      </c>
      <c r="I50" s="2136"/>
      <c r="J50" s="2136"/>
      <c r="K50" s="2136"/>
      <c r="L50" s="2136"/>
      <c r="M50" s="2136"/>
      <c r="N50" s="2136"/>
      <c r="O50" s="2136"/>
      <c r="P50" s="2136"/>
      <c r="Q50" s="2136"/>
      <c r="R50" s="2136"/>
      <c r="S50" s="2136"/>
      <c r="T50" s="2136"/>
      <c r="U50" s="2136"/>
      <c r="V50" s="2141"/>
      <c r="W50" s="2124" t="str">
        <f>IFERROR(IF(VLOOKUP(B50,'EU BackOrder'!A:H,8,FALSE)=0,"",VLOOKUP(B50,'EU BackOrder'!A:H,8,FALSE)),"")</f>
        <v/>
      </c>
      <c r="X50" s="2125"/>
      <c r="Y50" s="2133" t="str">
        <f>IFERROR(IF(VLOOKUP(B50,'EU BackOrder'!A:I,9,FALSE)=0,"",VLOOKUP(B50,'EU BackOrder'!A:I,9,FALSE)),"")</f>
        <v/>
      </c>
      <c r="Z50" s="2134"/>
      <c r="AA50" s="2146" t="str">
        <f>IFERROR(IF(AND(H51="",ISNUMBER(VLOOKUP(B50,'EU BackOrder'!A:J,10,FALSE))),VLOOKUP(B50,'EU BackOrder'!A:J,10,FALSE)&amp;" set",IF(VLOOKUP(B50,'EU BackOrder'!A:J,10,FALSE)=0,"",VLOOKUP(B50,'EU BackOrder'!A:J,10,FALSE))),"")</f>
        <v/>
      </c>
      <c r="AB50" s="2147"/>
      <c r="AC50" s="2130" t="str">
        <f>IFERROR(IF(VLOOKUP(B50,'EU BackOrder'!A:K,11,FALSE)=0,"",VLOOKUP(B50,'EU BackOrder'!A:K,11,FALSE)),"")</f>
        <v/>
      </c>
      <c r="AD50" s="2131"/>
      <c r="AE50" s="2132"/>
      <c r="AF50" s="2130" t="str">
        <f t="array" ref="AF50">IFERROR(IF(AA50="","",_xlfn.CONCAT(IFERROR(MID(AA50,_xlfn.SEQUENCE(LEN(AA50)),1)*1,""))*AC50),"")</f>
        <v/>
      </c>
      <c r="AG50" s="2131"/>
      <c r="AH50" s="2132"/>
    </row>
    <row r="51" spans="2:34" ht="18.75" customHeight="1">
      <c r="B51" s="2123"/>
      <c r="C51" s="2139"/>
      <c r="D51" s="2150"/>
      <c r="E51" s="2151"/>
      <c r="F51" s="2151"/>
      <c r="G51" s="2152"/>
      <c r="H51" s="2135" t="str">
        <f>IFERROR(IF(VLOOKUP(B50,'EU BackOrder'!A:F,6,FALSE)="","",IF(VLOOKUP(B50,'EU BackOrder'!A:F,6,FALSE)=0,"",VLOOKUP(B50,'EU BackOrder'!A:F,6,FALSE))),"")</f>
        <v/>
      </c>
      <c r="I51" s="2136"/>
      <c r="J51" s="2136"/>
      <c r="K51" s="405" t="s">
        <v>351</v>
      </c>
      <c r="L51" s="2137" t="str">
        <f>IFERROR(IF(VLOOKUP(B50,'EU BackOrder'!A:E,5,FALSE)="","",IF(VLOOKUP(B50,'EU BackOrder'!A:G,7,FALSE)=0,"",VLOOKUP(B50,'EU BackOrder'!A:G,7,FALSE))),"")</f>
        <v/>
      </c>
      <c r="M51" s="2136"/>
      <c r="N51" s="2136"/>
      <c r="O51" s="2136"/>
      <c r="P51" s="2136"/>
      <c r="Q51" s="2136"/>
      <c r="R51" s="2136"/>
      <c r="S51" s="2136"/>
      <c r="T51" s="2138"/>
      <c r="U51" s="409" t="str">
        <f>IFERROR(IF(VLOOKUP(B50,'EU BackOrder'!A:M,13,FALSE)=0,"",(VLOOKUP(B50,'EU BackOrder'!A:M,13,FALSE))),"")</f>
        <v/>
      </c>
      <c r="V51" s="408"/>
      <c r="W51" s="2124"/>
      <c r="X51" s="2125"/>
      <c r="Y51" s="2133"/>
      <c r="Z51" s="2134"/>
      <c r="AA51" s="2146"/>
      <c r="AB51" s="2147"/>
      <c r="AC51" s="2130"/>
      <c r="AD51" s="2131"/>
      <c r="AE51" s="2132"/>
      <c r="AF51" s="2130"/>
      <c r="AG51" s="2131"/>
      <c r="AH51" s="2132"/>
    </row>
    <row r="52" spans="2:34" ht="18.75" customHeight="1">
      <c r="B52" s="2123"/>
      <c r="C52" s="2139" t="str">
        <f>IF(B52="","",C50+1)</f>
        <v/>
      </c>
      <c r="D52" s="2150" t="str">
        <f>IFERROR(IF(VLOOKUP(B52,'EU BackOrder'!A:C,3,FALSE)="","",VLOOKUP(B52,'EU BackOrder'!A:C,3,FALSE)),"")</f>
        <v/>
      </c>
      <c r="E52" s="2151"/>
      <c r="F52" s="2151"/>
      <c r="G52" s="2152"/>
      <c r="H52" s="2135" t="str">
        <f>IF(IFERROR(IF(VLOOKUP(B52,'EU BackOrder'!A:E,5,FALSE)="",VLOOKUP(B52,'EU BackOrder'!A:G,7,FALSE),IF(VLOOKUP(B52,'EU BackOrder'!A:E,5,FALSE)=0,"",VLOOKUP(B52,'EU BackOrder'!A:E,5,FALSE))),"")=0,"",IFERROR(IF(VLOOKUP(B52,'EU BackOrder'!A:E,5,FALSE)="",VLOOKUP(B52,'EU BackOrder'!A:G,7,FALSE),IF(VLOOKUP(B52,'EU BackOrder'!A:E,5,FALSE)=0,"",VLOOKUP(B52,'EU BackOrder'!A:E,5,FALSE))),""))</f>
        <v/>
      </c>
      <c r="I52" s="2136"/>
      <c r="J52" s="2136"/>
      <c r="K52" s="2136"/>
      <c r="L52" s="2136"/>
      <c r="M52" s="2136"/>
      <c r="N52" s="2136"/>
      <c r="O52" s="2136"/>
      <c r="P52" s="2136"/>
      <c r="Q52" s="2136"/>
      <c r="R52" s="2136"/>
      <c r="S52" s="2136"/>
      <c r="T52" s="2136"/>
      <c r="U52" s="2136"/>
      <c r="V52" s="2141"/>
      <c r="W52" s="2124" t="str">
        <f>IFERROR(IF(VLOOKUP(B52,'EU BackOrder'!A:H,8,FALSE)=0,"",VLOOKUP(B52,'EU BackOrder'!A:H,8,FALSE)),"")</f>
        <v/>
      </c>
      <c r="X52" s="2125"/>
      <c r="Y52" s="2133" t="str">
        <f>IFERROR(IF(VLOOKUP(B52,'EU BackOrder'!A:I,9,FALSE)=0,"",VLOOKUP(B52,'EU BackOrder'!A:I,9,FALSE)),"")</f>
        <v/>
      </c>
      <c r="Z52" s="2134"/>
      <c r="AA52" s="2146" t="str">
        <f>IFERROR(IF(AND(H53="",ISNUMBER(VLOOKUP(B52,'EU BackOrder'!A:J,10,FALSE))),VLOOKUP(B52,'EU BackOrder'!A:J,10,FALSE)&amp;" set",IF(VLOOKUP(B52,'EU BackOrder'!A:J,10,FALSE)=0,"",VLOOKUP(B52,'EU BackOrder'!A:J,10,FALSE))),"")</f>
        <v/>
      </c>
      <c r="AB52" s="2147"/>
      <c r="AC52" s="2130" t="str">
        <f>IFERROR(IF(VLOOKUP(B52,'EU BackOrder'!A:K,11,FALSE)=0,"",VLOOKUP(B52,'EU BackOrder'!A:K,11,FALSE)),"")</f>
        <v/>
      </c>
      <c r="AD52" s="2131"/>
      <c r="AE52" s="2132"/>
      <c r="AF52" s="2130" t="str">
        <f t="array" ref="AF52">IFERROR(IF(AA52="","",_xlfn.CONCAT(IFERROR(MID(AA52,_xlfn.SEQUENCE(LEN(AA52)),1)*1,""))*AC52),"")</f>
        <v/>
      </c>
      <c r="AG52" s="2131"/>
      <c r="AH52" s="2132"/>
    </row>
    <row r="53" spans="2:34" ht="18.75" customHeight="1">
      <c r="B53" s="2123"/>
      <c r="C53" s="2139"/>
      <c r="D53" s="2204"/>
      <c r="E53" s="2205"/>
      <c r="F53" s="2205"/>
      <c r="G53" s="2206"/>
      <c r="H53" s="2128" t="str">
        <f>IFERROR(IF(VLOOKUP(B52,'EU BackOrder'!A:F,6,FALSE)="","",IF(VLOOKUP(B52,'EU BackOrder'!A:F,6,FALSE)=0,"",VLOOKUP(B52,'EU BackOrder'!A:F,6,FALSE))),"")</f>
        <v/>
      </c>
      <c r="I53" s="2129"/>
      <c r="J53" s="2129"/>
      <c r="K53" s="406" t="s">
        <v>351</v>
      </c>
      <c r="L53" s="2187" t="str">
        <f>IFERROR(IF(VLOOKUP(B52,'EU BackOrder'!A:E,5,FALSE)="","",IF(VLOOKUP(B52,'EU BackOrder'!A:G,7,FALSE)=0,"",VLOOKUP(B52,'EU BackOrder'!A:G,7,FALSE))),"")</f>
        <v/>
      </c>
      <c r="M53" s="2129"/>
      <c r="N53" s="2129"/>
      <c r="O53" s="2129"/>
      <c r="P53" s="2129"/>
      <c r="Q53" s="2129"/>
      <c r="R53" s="2129"/>
      <c r="S53" s="2129"/>
      <c r="T53" s="2188"/>
      <c r="U53" s="394" t="str">
        <f>IFERROR(IF(VLOOKUP(B52,'EU BackOrder'!A:M,13,FALSE)=0,"",(VLOOKUP(B52,'EU BackOrder'!A:M,13,FALSE))),"")</f>
        <v/>
      </c>
      <c r="V53" s="395"/>
      <c r="W53" s="2126"/>
      <c r="X53" s="2127"/>
      <c r="Y53" s="2200"/>
      <c r="Z53" s="2201"/>
      <c r="AA53" s="2202"/>
      <c r="AB53" s="2203"/>
      <c r="AC53" s="2143"/>
      <c r="AD53" s="2144"/>
      <c r="AE53" s="2145"/>
      <c r="AF53" s="2143"/>
      <c r="AG53" s="2144"/>
      <c r="AH53" s="2145"/>
    </row>
    <row r="54" spans="2:34" ht="18.75" customHeight="1">
      <c r="C54" s="392"/>
      <c r="D54" s="392"/>
      <c r="E54" s="392"/>
      <c r="F54" s="392"/>
      <c r="G54" s="2142"/>
      <c r="H54" s="2142"/>
      <c r="I54" s="2153"/>
      <c r="J54" s="2153"/>
      <c r="K54" s="392"/>
      <c r="L54" s="392"/>
      <c r="M54" s="392"/>
      <c r="N54" s="392"/>
      <c r="O54" s="392"/>
      <c r="P54" s="392"/>
      <c r="Q54" s="392"/>
      <c r="R54" s="392"/>
      <c r="S54" s="392"/>
      <c r="T54" s="392"/>
      <c r="U54" s="392"/>
      <c r="V54" s="392"/>
      <c r="W54" s="2142"/>
      <c r="X54" s="2142"/>
      <c r="Y54" s="2142"/>
      <c r="Z54" s="2142"/>
      <c r="AA54" s="2153"/>
      <c r="AB54" s="2197"/>
      <c r="AC54" s="2198" t="s">
        <v>333</v>
      </c>
      <c r="AD54" s="2199"/>
      <c r="AE54" s="2199"/>
      <c r="AF54" s="2184">
        <f>SUM(AF26:AH53)</f>
        <v>0</v>
      </c>
      <c r="AG54" s="2185"/>
      <c r="AH54" s="2186"/>
    </row>
    <row r="55" spans="2:34" ht="18.75" customHeight="1" thickBot="1">
      <c r="C55" s="384" t="s">
        <v>357</v>
      </c>
      <c r="AC55" s="2180" t="s">
        <v>353</v>
      </c>
      <c r="AD55" s="2181"/>
      <c r="AE55" s="2181"/>
      <c r="AF55" s="2194"/>
      <c r="AG55" s="2195"/>
      <c r="AH55" s="2196"/>
    </row>
    <row r="56" spans="2:34" ht="18.75" customHeight="1" thickBot="1">
      <c r="C56" s="384" t="s">
        <v>359</v>
      </c>
      <c r="N56" s="384" t="s">
        <v>364</v>
      </c>
      <c r="AC56" s="2148" t="s">
        <v>334</v>
      </c>
      <c r="AD56" s="2149"/>
      <c r="AE56" s="2149"/>
      <c r="AF56" s="2174">
        <f>SUM(AF54:AH55)</f>
        <v>0</v>
      </c>
      <c r="AG56" s="2175"/>
      <c r="AH56" s="2176"/>
    </row>
    <row r="57" spans="2:34" ht="18.75" customHeight="1">
      <c r="C57" s="407" t="s">
        <v>360</v>
      </c>
      <c r="N57" s="2140" t="s">
        <v>365</v>
      </c>
      <c r="O57" s="2140"/>
      <c r="P57" s="2140"/>
      <c r="Q57" s="2140"/>
      <c r="R57" s="2140"/>
      <c r="S57" s="2140"/>
      <c r="T57" s="2140"/>
      <c r="U57" s="2140"/>
      <c r="V57" s="2140"/>
    </row>
    <row r="58" spans="2:34" ht="18.75" customHeight="1">
      <c r="C58" s="384" t="s">
        <v>361</v>
      </c>
      <c r="N58" s="2140" t="s">
        <v>366</v>
      </c>
      <c r="O58" s="2140"/>
      <c r="P58" s="2140"/>
      <c r="Q58" s="2123"/>
      <c r="R58" s="2123"/>
      <c r="S58" s="2123"/>
      <c r="T58" s="2123"/>
    </row>
    <row r="59" spans="2:34" ht="18.75" customHeight="1">
      <c r="C59" s="384" t="s">
        <v>362</v>
      </c>
      <c r="Y59" s="407" t="s">
        <v>367</v>
      </c>
      <c r="Z59" s="407"/>
      <c r="AA59" s="407"/>
      <c r="AB59" s="407"/>
      <c r="AC59" s="407"/>
      <c r="AD59" s="407"/>
      <c r="AE59" s="407"/>
      <c r="AF59" s="407"/>
      <c r="AG59" s="407"/>
      <c r="AH59" s="407"/>
    </row>
    <row r="60" spans="2:34" ht="18.75" customHeight="1">
      <c r="C60" s="384" t="s">
        <v>363</v>
      </c>
      <c r="Y60" s="2123"/>
      <c r="Z60" s="2123"/>
      <c r="AA60" s="2123"/>
      <c r="AB60" s="2123"/>
      <c r="AC60" s="2123"/>
      <c r="AD60" s="2123"/>
      <c r="AE60" s="2123"/>
      <c r="AF60" s="2123"/>
      <c r="AG60" s="2123"/>
      <c r="AH60" s="2123"/>
    </row>
    <row r="61" spans="2:34" ht="18.75" customHeight="1">
      <c r="Y61" s="2123"/>
      <c r="Z61" s="2123"/>
      <c r="AA61" s="2123"/>
      <c r="AB61" s="2123"/>
      <c r="AC61" s="2123"/>
      <c r="AD61" s="2123"/>
      <c r="AE61" s="2123"/>
      <c r="AF61" s="2123"/>
      <c r="AG61" s="2123"/>
      <c r="AH61" s="2123"/>
    </row>
    <row r="62" spans="2:34" ht="18.75" customHeight="1" thickBot="1">
      <c r="Y62" s="2193"/>
      <c r="Z62" s="2193"/>
      <c r="AA62" s="2193"/>
      <c r="AB62" s="2193"/>
      <c r="AC62" s="2193"/>
      <c r="AD62" s="2193"/>
      <c r="AE62" s="2193"/>
      <c r="AF62" s="2193"/>
      <c r="AG62" s="2193"/>
      <c r="AH62" s="2193"/>
    </row>
    <row r="63" spans="2:34" ht="18.75" customHeight="1">
      <c r="Y63" s="2163" t="s">
        <v>368</v>
      </c>
      <c r="Z63" s="2163"/>
      <c r="AA63" s="2163"/>
      <c r="AB63" s="2163"/>
      <c r="AC63" s="2163"/>
      <c r="AD63" s="2163"/>
      <c r="AE63" s="2163"/>
      <c r="AF63" s="2163"/>
      <c r="AG63" s="2163"/>
      <c r="AH63" s="2163"/>
    </row>
  </sheetData>
  <mergeCells count="238">
    <mergeCell ref="C30:C31"/>
    <mergeCell ref="C32:C33"/>
    <mergeCell ref="D36:G37"/>
    <mergeCell ref="D38:G39"/>
    <mergeCell ref="D40:G41"/>
    <mergeCell ref="D42:G43"/>
    <mergeCell ref="AC42:AE43"/>
    <mergeCell ref="AF42:AH43"/>
    <mergeCell ref="H43:J43"/>
    <mergeCell ref="L43:T43"/>
    <mergeCell ref="W42:X43"/>
    <mergeCell ref="Y42:Z43"/>
    <mergeCell ref="D28:G29"/>
    <mergeCell ref="D30:G31"/>
    <mergeCell ref="D32:G33"/>
    <mergeCell ref="D34:G35"/>
    <mergeCell ref="AC44:AE45"/>
    <mergeCell ref="AF44:AH45"/>
    <mergeCell ref="H45:J45"/>
    <mergeCell ref="L45:T45"/>
    <mergeCell ref="W44:X45"/>
    <mergeCell ref="Y44:Z45"/>
    <mergeCell ref="AF32:AH33"/>
    <mergeCell ref="AF38:AH39"/>
    <mergeCell ref="W34:X35"/>
    <mergeCell ref="Y34:Z35"/>
    <mergeCell ref="W32:X33"/>
    <mergeCell ref="W38:X39"/>
    <mergeCell ref="W36:X37"/>
    <mergeCell ref="Y36:Z37"/>
    <mergeCell ref="Y38:Z39"/>
    <mergeCell ref="AA38:AB39"/>
    <mergeCell ref="U10:Z10"/>
    <mergeCell ref="AA10:AH10"/>
    <mergeCell ref="W15:AH15"/>
    <mergeCell ref="G16:T16"/>
    <mergeCell ref="U16:V16"/>
    <mergeCell ref="W16:AH16"/>
    <mergeCell ref="AA17:AC17"/>
    <mergeCell ref="AD17:AH17"/>
    <mergeCell ref="G18:T18"/>
    <mergeCell ref="U18:AH18"/>
    <mergeCell ref="G14:T14"/>
    <mergeCell ref="U14:V14"/>
    <mergeCell ref="W14:AH14"/>
    <mergeCell ref="G15:T15"/>
    <mergeCell ref="U15:V15"/>
    <mergeCell ref="C4:T7"/>
    <mergeCell ref="U4:AH5"/>
    <mergeCell ref="U6:V6"/>
    <mergeCell ref="W6:AH6"/>
    <mergeCell ref="U7:V7"/>
    <mergeCell ref="X7:Y7"/>
    <mergeCell ref="AD7:AF7"/>
    <mergeCell ref="AG7:AH7"/>
    <mergeCell ref="U13:V13"/>
    <mergeCell ref="W13:AH13"/>
    <mergeCell ref="C8:F13"/>
    <mergeCell ref="G8:T8"/>
    <mergeCell ref="U8:Z8"/>
    <mergeCell ref="AA8:AH8"/>
    <mergeCell ref="G9:T9"/>
    <mergeCell ref="U9:Z9"/>
    <mergeCell ref="AA9:AH9"/>
    <mergeCell ref="G10:T10"/>
    <mergeCell ref="G11:T11"/>
    <mergeCell ref="U11:Z11"/>
    <mergeCell ref="AA11:AH11"/>
    <mergeCell ref="G12:T12"/>
    <mergeCell ref="U12:AH12"/>
    <mergeCell ref="G13:T13"/>
    <mergeCell ref="C20:K20"/>
    <mergeCell ref="U20:Y20"/>
    <mergeCell ref="G17:T17"/>
    <mergeCell ref="U17:V17"/>
    <mergeCell ref="W17:Z17"/>
    <mergeCell ref="C22:K22"/>
    <mergeCell ref="U22:Y22"/>
    <mergeCell ref="C23:K23"/>
    <mergeCell ref="H26:V26"/>
    <mergeCell ref="U23:Z23"/>
    <mergeCell ref="L21:T21"/>
    <mergeCell ref="U21:Z21"/>
    <mergeCell ref="L23:T23"/>
    <mergeCell ref="C14:F19"/>
    <mergeCell ref="G19:T19"/>
    <mergeCell ref="D26:G27"/>
    <mergeCell ref="D24:G25"/>
    <mergeCell ref="C24:C25"/>
    <mergeCell ref="C26:C27"/>
    <mergeCell ref="W24:AB24"/>
    <mergeCell ref="H24:V24"/>
    <mergeCell ref="C28:C29"/>
    <mergeCell ref="D52:G53"/>
    <mergeCell ref="H52:V52"/>
    <mergeCell ref="AC32:AE33"/>
    <mergeCell ref="AA36:AB37"/>
    <mergeCell ref="AC36:AE37"/>
    <mergeCell ref="W46:X47"/>
    <mergeCell ref="Y46:Z47"/>
    <mergeCell ref="AA46:AB47"/>
    <mergeCell ref="H47:J47"/>
    <mergeCell ref="L47:T47"/>
    <mergeCell ref="C46:C47"/>
    <mergeCell ref="D46:G47"/>
    <mergeCell ref="H49:J49"/>
    <mergeCell ref="L49:T49"/>
    <mergeCell ref="C34:C35"/>
    <mergeCell ref="C36:C37"/>
    <mergeCell ref="C38:C39"/>
    <mergeCell ref="C40:C41"/>
    <mergeCell ref="C42:C43"/>
    <mergeCell ref="H34:V34"/>
    <mergeCell ref="Y28:Z29"/>
    <mergeCell ref="AA42:AB43"/>
    <mergeCell ref="H42:V42"/>
    <mergeCell ref="Y60:AH62"/>
    <mergeCell ref="AC46:AE47"/>
    <mergeCell ref="AF46:AH47"/>
    <mergeCell ref="AC48:AE49"/>
    <mergeCell ref="AF48:AH49"/>
    <mergeCell ref="AF55:AH55"/>
    <mergeCell ref="AC52:AE53"/>
    <mergeCell ref="Y48:Z49"/>
    <mergeCell ref="AA48:AB49"/>
    <mergeCell ref="AA50:AB51"/>
    <mergeCell ref="AC50:AE51"/>
    <mergeCell ref="AF50:AH51"/>
    <mergeCell ref="W54:Z54"/>
    <mergeCell ref="AA54:AB54"/>
    <mergeCell ref="AC54:AE54"/>
    <mergeCell ref="Y52:Z53"/>
    <mergeCell ref="AA52:AB53"/>
    <mergeCell ref="Y63:AH63"/>
    <mergeCell ref="G2:M2"/>
    <mergeCell ref="G1:M1"/>
    <mergeCell ref="C1:F1"/>
    <mergeCell ref="C2:F2"/>
    <mergeCell ref="AF24:AH25"/>
    <mergeCell ref="AC24:AE25"/>
    <mergeCell ref="AF56:AH56"/>
    <mergeCell ref="AC23:AH23"/>
    <mergeCell ref="AC55:AE55"/>
    <mergeCell ref="U25:V25"/>
    <mergeCell ref="AF54:AH54"/>
    <mergeCell ref="L29:T29"/>
    <mergeCell ref="L53:T53"/>
    <mergeCell ref="L35:T35"/>
    <mergeCell ref="AA25:AB25"/>
    <mergeCell ref="Y25:Z25"/>
    <mergeCell ref="W25:X25"/>
    <mergeCell ref="H36:V36"/>
    <mergeCell ref="AA44:AB45"/>
    <mergeCell ref="Y32:Z33"/>
    <mergeCell ref="AA32:AB33"/>
    <mergeCell ref="AA34:AB35"/>
    <mergeCell ref="AC34:AE35"/>
    <mergeCell ref="B32:B33"/>
    <mergeCell ref="L33:T33"/>
    <mergeCell ref="L39:T39"/>
    <mergeCell ref="C44:C45"/>
    <mergeCell ref="D44:G45"/>
    <mergeCell ref="H44:V44"/>
    <mergeCell ref="H32:V32"/>
    <mergeCell ref="B34:B35"/>
    <mergeCell ref="H35:J35"/>
    <mergeCell ref="H33:J33"/>
    <mergeCell ref="B38:B39"/>
    <mergeCell ref="H39:J39"/>
    <mergeCell ref="B36:B37"/>
    <mergeCell ref="H38:V38"/>
    <mergeCell ref="H37:J37"/>
    <mergeCell ref="L37:T37"/>
    <mergeCell ref="B28:B29"/>
    <mergeCell ref="W28:X29"/>
    <mergeCell ref="AA28:AB29"/>
    <mergeCell ref="AC28:AE29"/>
    <mergeCell ref="AF28:AH29"/>
    <mergeCell ref="B26:B27"/>
    <mergeCell ref="H27:J27"/>
    <mergeCell ref="L27:T27"/>
    <mergeCell ref="AF30:AH31"/>
    <mergeCell ref="AF26:AH27"/>
    <mergeCell ref="AC26:AE27"/>
    <mergeCell ref="AA26:AB27"/>
    <mergeCell ref="Y26:Z27"/>
    <mergeCell ref="W26:X27"/>
    <mergeCell ref="W30:X31"/>
    <mergeCell ref="L31:T31"/>
    <mergeCell ref="Y30:Z31"/>
    <mergeCell ref="AA30:AB31"/>
    <mergeCell ref="AC30:AE31"/>
    <mergeCell ref="H31:J31"/>
    <mergeCell ref="H29:J29"/>
    <mergeCell ref="B30:B31"/>
    <mergeCell ref="H28:V28"/>
    <mergeCell ref="H30:V30"/>
    <mergeCell ref="N58:P58"/>
    <mergeCell ref="Q58:T58"/>
    <mergeCell ref="Y50:Z51"/>
    <mergeCell ref="H40:V40"/>
    <mergeCell ref="N57:P57"/>
    <mergeCell ref="Q57:V57"/>
    <mergeCell ref="G54:H54"/>
    <mergeCell ref="AF52:AH53"/>
    <mergeCell ref="AA40:AB41"/>
    <mergeCell ref="AC40:AE41"/>
    <mergeCell ref="AF40:AH41"/>
    <mergeCell ref="AC56:AE56"/>
    <mergeCell ref="D48:G49"/>
    <mergeCell ref="H48:V48"/>
    <mergeCell ref="H51:J51"/>
    <mergeCell ref="L51:T51"/>
    <mergeCell ref="H50:V50"/>
    <mergeCell ref="D50:G51"/>
    <mergeCell ref="W50:X51"/>
    <mergeCell ref="H46:V46"/>
    <mergeCell ref="W48:X49"/>
    <mergeCell ref="I54:J54"/>
    <mergeCell ref="B52:B53"/>
    <mergeCell ref="W52:X53"/>
    <mergeCell ref="H53:J53"/>
    <mergeCell ref="B40:B41"/>
    <mergeCell ref="B48:B49"/>
    <mergeCell ref="W40:X41"/>
    <mergeCell ref="AF36:AH37"/>
    <mergeCell ref="AF34:AH35"/>
    <mergeCell ref="Y40:Z41"/>
    <mergeCell ref="H41:J41"/>
    <mergeCell ref="L41:T41"/>
    <mergeCell ref="B42:B43"/>
    <mergeCell ref="B44:B45"/>
    <mergeCell ref="B46:B47"/>
    <mergeCell ref="C48:C49"/>
    <mergeCell ref="C52:C53"/>
    <mergeCell ref="B50:B51"/>
    <mergeCell ref="C50:C51"/>
    <mergeCell ref="AC38:AE39"/>
  </mergeCells>
  <phoneticPr fontId="4"/>
  <conditionalFormatting sqref="G21">
    <cfRule type="notContainsBlanks" dxfId="12" priority="13" stopIfTrue="1">
      <formula>LEN(TRIM(G21))&gt;0</formula>
    </cfRule>
    <cfRule type="expression" dxfId="11" priority="14" stopIfTrue="1">
      <formula>$C$21="Other"</formula>
    </cfRule>
    <cfRule type="expression" dxfId="10" priority="15" stopIfTrue="1">
      <formula>$C$21="AIR"</formula>
    </cfRule>
    <cfRule type="expression" dxfId="9" priority="17" stopIfTrue="1">
      <formula>$C$21="Vessel"</formula>
    </cfRule>
  </conditionalFormatting>
  <conditionalFormatting sqref="C21:F21">
    <cfRule type="expression" dxfId="8" priority="16" stopIfTrue="1">
      <formula>$C$21="(SELECT)"</formula>
    </cfRule>
  </conditionalFormatting>
  <conditionalFormatting sqref="L21:Z21">
    <cfRule type="containsBlanks" dxfId="7" priority="12" stopIfTrue="1">
      <formula>LEN(TRIM(L21))=0</formula>
    </cfRule>
  </conditionalFormatting>
  <conditionalFormatting sqref="U19:V19">
    <cfRule type="expression" dxfId="6" priority="11" stopIfTrue="1">
      <formula>$U$19="(SELECT)"</formula>
    </cfRule>
  </conditionalFormatting>
  <conditionalFormatting sqref="AG7:AH7">
    <cfRule type="containsBlanks" dxfId="5" priority="10" stopIfTrue="1">
      <formula>LEN(TRIM(AG7))=0</formula>
    </cfRule>
  </conditionalFormatting>
  <conditionalFormatting sqref="C23:Z23">
    <cfRule type="containsBlanks" dxfId="4" priority="9" stopIfTrue="1">
      <formula>LEN(TRIM(C23))=0</formula>
    </cfRule>
  </conditionalFormatting>
  <conditionalFormatting sqref="AC23:AH23">
    <cfRule type="containsBlanks" dxfId="3" priority="8" stopIfTrue="1">
      <formula>LEN(TRIM(AC23))=0</formula>
    </cfRule>
  </conditionalFormatting>
  <conditionalFormatting sqref="G8:T13">
    <cfRule type="expression" dxfId="2" priority="7" stopIfTrue="1">
      <formula>$G$8=""</formula>
    </cfRule>
  </conditionalFormatting>
  <conditionalFormatting sqref="G14:T19">
    <cfRule type="expression" dxfId="1" priority="6" stopIfTrue="1">
      <formula>$G$14=""</formula>
    </cfRule>
  </conditionalFormatting>
  <conditionalFormatting sqref="H27:T27 H26 H29:T29 H28 H31:T31 H30 H33:T33 H32 H35:T35 H34 H37:T37 H36 H39:T39 H38 H41:T41 H40 H43:T43 H42 H45:T45 H44 H47:T47 H46 H49:T49 H48 H51:T51 H50 H53:T53 H52">
    <cfRule type="expression" dxfId="0" priority="3" stopIfTrue="1">
      <formula>COUNTIF($AC26,"*per*")</formula>
    </cfRule>
  </conditionalFormatting>
  <dataValidations count="3">
    <dataValidation type="list" allowBlank="1" showInputMessage="1" showErrorMessage="1" sqref="U19:V19" xr:uid="{00000000-0002-0000-0800-000000000000}">
      <formula1>"(SELECT),Advanced Payment,NET 30days,NET 60days"</formula1>
    </dataValidation>
    <dataValidation type="list" allowBlank="1" showInputMessage="1" showErrorMessage="1" sqref="K27 K49 K29 K31 K33 K35 K37 K51 K43 K45 K39 K41 K47 K53" xr:uid="{00000000-0002-0000-0800-000001000000}">
      <formula1>"mm,cm,m,　"</formula1>
    </dataValidation>
    <dataValidation type="list" allowBlank="1" showInputMessage="1" showErrorMessage="1" sqref="C21:F21" xr:uid="{00000000-0002-0000-0800-000002000000}">
      <formula1>"(SELECT),FedEx,UPS,DHL,Other,Vessel,AIR"</formula1>
    </dataValidation>
  </dataValidations>
  <printOptions horizontalCentered="1"/>
  <pageMargins left="0.19685039370078741" right="0.19685039370078741" top="0.39370078740157483" bottom="0.39370078740157483" header="0.31496062992125984" footer="0.31496062992125984"/>
  <pageSetup paperSize="9" scale="7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22</xdr:col>
                    <xdr:colOff>19050</xdr:colOff>
                    <xdr:row>5</xdr:row>
                    <xdr:rowOff>228600</xdr:rowOff>
                  </from>
                  <to>
                    <xdr:col>22</xdr:col>
                    <xdr:colOff>323850</xdr:colOff>
                    <xdr:row>7</xdr:row>
                    <xdr:rowOff>0</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25</xdr:col>
                    <xdr:colOff>133350</xdr:colOff>
                    <xdr:row>5</xdr:row>
                    <xdr:rowOff>228600</xdr:rowOff>
                  </from>
                  <to>
                    <xdr:col>26</xdr:col>
                    <xdr:colOff>66675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8</vt:i4>
      </vt:variant>
    </vt:vector>
  </HeadingPairs>
  <TitlesOfParts>
    <vt:vector size="17" baseType="lpstr">
      <vt:lpstr>EU BackOrder</vt:lpstr>
      <vt:lpstr>取引先マスタ</vt:lpstr>
      <vt:lpstr>仕入先マスタ</vt:lpstr>
      <vt:lpstr>Invoice(EU)</vt:lpstr>
      <vt:lpstr>Invoice(SF大阪)</vt:lpstr>
      <vt:lpstr>発注書</vt:lpstr>
      <vt:lpstr>carton mark </vt:lpstr>
      <vt:lpstr>顧客連絡用シートEU</vt:lpstr>
      <vt:lpstr>Invoice(Sample)</vt:lpstr>
      <vt:lpstr>'carton mark '!Print_Area</vt:lpstr>
      <vt:lpstr>'EU BackOrder'!Print_Area</vt:lpstr>
      <vt:lpstr>'Invoice(EU)'!Print_Area</vt:lpstr>
      <vt:lpstr>'Invoice(Sample)'!Print_Area</vt:lpstr>
      <vt:lpstr>'Invoice(SF大阪)'!Print_Area</vt:lpstr>
      <vt:lpstr>発注書!Print_Area</vt:lpstr>
      <vt:lpstr>'Invoice(EU)'!Print_Titles</vt:lpstr>
      <vt:lpstr>発注書!Print_Titles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Ishida</dc:creator>
  <cp:lastModifiedBy>Megumi Chiba</cp:lastModifiedBy>
  <cp:lastPrinted>2023-02-14T04:21:32Z</cp:lastPrinted>
  <dcterms:created xsi:type="dcterms:W3CDTF">2004-11-16T02:15:36Z</dcterms:created>
  <dcterms:modified xsi:type="dcterms:W3CDTF">2026-03-30T08:28:56Z</dcterms:modified>
</cp:coreProperties>
</file>